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2.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8.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9.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0.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2.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3.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2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25.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26.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27.xml" ContentType="application/vnd.openxmlformats-officedocument.drawing+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30.xml" ContentType="application/vnd.openxmlformats-officedocument.drawingml.chartshapes+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33.xml" ContentType="application/vnd.openxmlformats-officedocument.drawingml.chartshapes+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34.xml" ContentType="application/vnd.openxmlformats-officedocument.drawingml.chartshapes+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drawings/drawing35.xml" ContentType="application/vnd.openxmlformats-officedocument.drawingml.chartshapes+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6.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37.xml" ContentType="application/vnd.openxmlformats-officedocument.drawingml.chartshapes+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38.xml" ContentType="application/vnd.openxmlformats-officedocument.drawingml.chartshapes+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41.xml" ContentType="application/vnd.openxmlformats-officedocument.drawingml.chartshapes+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42.xml" ContentType="application/vnd.openxmlformats-officedocument.drawingml.chartshapes+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45.xml" ContentType="application/vnd.openxmlformats-officedocument.drawingml.chartshapes+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46.xml" ContentType="application/vnd.openxmlformats-officedocument.drawingml.chartshapes+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49.xml" ContentType="application/vnd.openxmlformats-officedocument.drawingml.chartshapes+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50.xml" ContentType="application/vnd.openxmlformats-officedocument.drawingml.chartshapes+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53.xml" ContentType="application/vnd.openxmlformats-officedocument.drawingml.chartshapes+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54.xml" ContentType="application/vnd.openxmlformats-officedocument.drawingml.chartshapes+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57.xml" ContentType="application/vnd.openxmlformats-officedocument.drawing+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Q:\FYH\ANÁLISIS ECONÓMICOS\DATOS FEGA - REGEPA\ANÁLISIS DE LA REALIDAD PRODUCTIVA 2021\FRUTOS SECOS\"/>
    </mc:Choice>
  </mc:AlternateContent>
  <xr:revisionPtr revIDLastSave="0" documentId="13_ncr:1_{174F84D5-B82B-4B4D-B109-BFD28DB4D150}" xr6:coauthVersionLast="47" xr6:coauthVersionMax="47" xr10:uidLastSave="{00000000-0000-0000-0000-000000000000}"/>
  <bookViews>
    <workbookView xWindow="-110" yWindow="-110" windowWidth="19420" windowHeight="10420" activeTab="1" xr2:uid="{2770EEEE-7972-415F-A153-EA598A289E9E}"/>
  </bookViews>
  <sheets>
    <sheet name="ÍNDICE" sheetId="2" r:id="rId1"/>
    <sheet name="FRUTOS SECOS TOTAL" sheetId="32" r:id="rId2"/>
    <sheet name="ALM-REPR" sheetId="1" r:id="rId3"/>
    <sheet name="PIS-REPR" sheetId="4" r:id="rId4"/>
    <sheet name="AVE-REPR" sheetId="5" r:id="rId5"/>
    <sheet name="ALG-REPR" sheetId="6" r:id="rId6"/>
    <sheet name="NOG-REPR" sheetId="11" r:id="rId7"/>
    <sheet name="CAS-REPR" sheetId="12" r:id="rId8"/>
    <sheet name="ALM-ECO" sheetId="7" r:id="rId9"/>
    <sheet name="PIS-ECO" sheetId="8" r:id="rId10"/>
    <sheet name="AVE-ECO" sheetId="9" r:id="rId11"/>
    <sheet name="ALG-ECO" sheetId="10" r:id="rId12"/>
    <sheet name="ALM-EDAD" sheetId="13" r:id="rId13"/>
    <sheet name="PIS-EDAD" sheetId="14" r:id="rId14"/>
    <sheet name="AVE-EDAD" sheetId="15" r:id="rId15"/>
    <sheet name="ALG-EDAD" sheetId="16" r:id="rId16"/>
    <sheet name="NOG-EDAD" sheetId="17" r:id="rId17"/>
    <sheet name="CAS-EDAD" sheetId="18" r:id="rId18"/>
    <sheet name="ALM S-VAR" sheetId="19" r:id="rId19"/>
    <sheet name="ALM R-VAR" sheetId="20" r:id="rId20"/>
    <sheet name="PIS S-VAR" sheetId="21" r:id="rId21"/>
    <sheet name="PIS R-VAR" sheetId="22" r:id="rId22"/>
    <sheet name="AVE S-VAR" sheetId="23" r:id="rId23"/>
    <sheet name="AVE R-VAR" sheetId="24" r:id="rId24"/>
    <sheet name="ALG S-VAR" sheetId="25" r:id="rId25"/>
    <sheet name="ALG R-VAR" sheetId="26" r:id="rId26"/>
    <sheet name="ALM-VAR-EDAD" sheetId="30" r:id="rId27"/>
    <sheet name="PIS-VAR-EDAD" sheetId="31"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9" i="32" l="1"/>
  <c r="C79" i="32"/>
  <c r="D79" i="32"/>
  <c r="W15" i="19"/>
  <c r="X15" i="19"/>
  <c r="W16" i="19"/>
  <c r="X16" i="19"/>
  <c r="W17" i="19"/>
  <c r="X17" i="19"/>
  <c r="W18" i="19"/>
  <c r="X18" i="19"/>
  <c r="W19" i="19"/>
  <c r="X19" i="19"/>
  <c r="W20" i="19"/>
  <c r="X20" i="19"/>
  <c r="W21" i="19"/>
  <c r="X21" i="19"/>
  <c r="W22" i="19"/>
  <c r="X22" i="19"/>
  <c r="W24" i="19"/>
  <c r="X24" i="19"/>
  <c r="X14" i="19"/>
  <c r="W14" i="19"/>
  <c r="E7" i="8"/>
  <c r="E484" i="14"/>
  <c r="E483" i="14"/>
  <c r="E482" i="14"/>
  <c r="E481" i="14"/>
  <c r="E480" i="14"/>
  <c r="E479" i="14"/>
  <c r="E478" i="14"/>
  <c r="D484" i="14"/>
  <c r="D483" i="14"/>
  <c r="D482" i="14"/>
  <c r="D481" i="14"/>
  <c r="D480" i="14"/>
  <c r="D479" i="14"/>
  <c r="C484" i="14"/>
  <c r="C483" i="14"/>
  <c r="C482" i="14"/>
  <c r="C481" i="14"/>
  <c r="C480" i="14"/>
  <c r="C479" i="14"/>
  <c r="B484" i="14"/>
  <c r="B483" i="14"/>
  <c r="B482" i="14"/>
  <c r="B481" i="14"/>
  <c r="B480" i="14"/>
  <c r="B479" i="14"/>
  <c r="C477" i="14"/>
  <c r="B477" i="14"/>
  <c r="C476" i="14"/>
  <c r="B476" i="14"/>
  <c r="C475" i="14"/>
  <c r="B475" i="14"/>
  <c r="C474" i="14"/>
  <c r="B474" i="14"/>
  <c r="C473" i="14"/>
  <c r="B473" i="14"/>
  <c r="C472" i="14"/>
  <c r="B472" i="14"/>
  <c r="E477" i="14"/>
  <c r="D477" i="14"/>
  <c r="E476" i="14"/>
  <c r="D476" i="14"/>
  <c r="E475" i="14"/>
  <c r="D475" i="14"/>
  <c r="E474" i="14"/>
  <c r="D474" i="14"/>
  <c r="E473" i="14"/>
  <c r="D473" i="14"/>
  <c r="E472" i="14"/>
  <c r="D472" i="14"/>
  <c r="J98" i="4"/>
  <c r="E76" i="32"/>
  <c r="F76" i="32"/>
  <c r="G76" i="32"/>
  <c r="E77" i="32"/>
  <c r="F77" i="32"/>
  <c r="G77" i="32"/>
  <c r="E78" i="32"/>
  <c r="F78" i="32"/>
  <c r="G78" i="32"/>
  <c r="F75" i="32"/>
  <c r="G75" i="32"/>
  <c r="E75" i="32"/>
  <c r="D76" i="32"/>
  <c r="D77" i="32"/>
  <c r="D78" i="32"/>
  <c r="D75" i="32"/>
  <c r="C78" i="32"/>
  <c r="B78" i="32"/>
  <c r="C77" i="32"/>
  <c r="B77" i="32"/>
  <c r="C76" i="32"/>
  <c r="B76" i="32"/>
  <c r="C75" i="32"/>
  <c r="B75" i="32"/>
  <c r="C484" i="13"/>
  <c r="C483" i="13"/>
  <c r="C482" i="13"/>
  <c r="C481" i="13"/>
  <c r="C480" i="13"/>
  <c r="C479" i="13"/>
  <c r="C478" i="13"/>
  <c r="C477" i="13"/>
  <c r="C476" i="13"/>
  <c r="C475" i="13"/>
  <c r="C474" i="13"/>
  <c r="C473" i="13"/>
  <c r="C472" i="13"/>
  <c r="B484" i="13"/>
  <c r="B483" i="13"/>
  <c r="B482" i="13"/>
  <c r="B481" i="13"/>
  <c r="B480" i="13"/>
  <c r="B479" i="13"/>
  <c r="B478" i="13"/>
  <c r="B477" i="13"/>
  <c r="B476" i="13"/>
  <c r="B475" i="13"/>
  <c r="B474" i="13"/>
  <c r="B473" i="13"/>
  <c r="AH166" i="13"/>
  <c r="B472" i="13" s="1"/>
  <c r="F62" i="32"/>
  <c r="E62" i="32"/>
  <c r="G62" i="32" s="1"/>
  <c r="D62" i="32" s="1"/>
  <c r="F63" i="32"/>
  <c r="E63" i="32"/>
  <c r="G64" i="32"/>
  <c r="G65" i="32"/>
  <c r="D65" i="32"/>
  <c r="D64" i="32"/>
  <c r="C63" i="32"/>
  <c r="B63" i="32"/>
  <c r="C62" i="32"/>
  <c r="B62" i="32"/>
  <c r="AG369" i="13"/>
  <c r="AG368" i="13"/>
  <c r="D483" i="13" s="1"/>
  <c r="AG367" i="13"/>
  <c r="AG366" i="13"/>
  <c r="D482" i="13" s="1"/>
  <c r="AG365" i="13"/>
  <c r="AG364" i="13"/>
  <c r="D481" i="13" s="1"/>
  <c r="AG363" i="13"/>
  <c r="AG362" i="13"/>
  <c r="D480" i="13" s="1"/>
  <c r="AG361" i="13"/>
  <c r="AG360" i="13"/>
  <c r="AG359" i="13"/>
  <c r="D479" i="13" s="1"/>
  <c r="AG358" i="13"/>
  <c r="AG357" i="13"/>
  <c r="D478" i="13" s="1"/>
  <c r="AG356" i="13"/>
  <c r="AG355" i="13"/>
  <c r="AG354" i="13"/>
  <c r="AG352" i="13"/>
  <c r="AG351" i="13"/>
  <c r="AG350" i="13"/>
  <c r="AG349" i="13"/>
  <c r="AG348" i="13"/>
  <c r="AG347" i="13"/>
  <c r="D477" i="13" s="1"/>
  <c r="AG346" i="13"/>
  <c r="AG345" i="13"/>
  <c r="AG344" i="13"/>
  <c r="AG343" i="13"/>
  <c r="AG342" i="13"/>
  <c r="AG341" i="13"/>
  <c r="D476" i="13" s="1"/>
  <c r="AG340" i="13"/>
  <c r="AG339" i="13"/>
  <c r="AG338" i="13"/>
  <c r="AG337" i="13"/>
  <c r="AG336" i="13"/>
  <c r="D475" i="13" s="1"/>
  <c r="AG335" i="13"/>
  <c r="AG334" i="13"/>
  <c r="AG333" i="13"/>
  <c r="AG332" i="13"/>
  <c r="D474" i="13" s="1"/>
  <c r="AG331" i="13"/>
  <c r="AG330" i="13"/>
  <c r="AG329" i="13"/>
  <c r="AG328" i="13"/>
  <c r="D473" i="13" s="1"/>
  <c r="AG327" i="13"/>
  <c r="AG326" i="13"/>
  <c r="AG325" i="13"/>
  <c r="AG324" i="13"/>
  <c r="AG323" i="13"/>
  <c r="AG322" i="13"/>
  <c r="AG321" i="13"/>
  <c r="AG320" i="13"/>
  <c r="AG370" i="13"/>
  <c r="D484" i="13" s="1"/>
  <c r="AC448" i="13"/>
  <c r="AD448" i="13"/>
  <c r="AE448" i="13"/>
  <c r="AF448" i="13"/>
  <c r="AG444" i="13"/>
  <c r="AG443" i="13"/>
  <c r="E483" i="13" s="1"/>
  <c r="AG442" i="13"/>
  <c r="AG441" i="13"/>
  <c r="E482" i="13" s="1"/>
  <c r="AG440" i="13"/>
  <c r="AG439" i="13"/>
  <c r="E481" i="13" s="1"/>
  <c r="AG438" i="13"/>
  <c r="AG437" i="13"/>
  <c r="E480" i="13" s="1"/>
  <c r="AG436" i="13"/>
  <c r="AG435" i="13"/>
  <c r="AG434" i="13"/>
  <c r="E479" i="13" s="1"/>
  <c r="AG433" i="13"/>
  <c r="AG432" i="13"/>
  <c r="E478" i="13" s="1"/>
  <c r="AG431" i="13"/>
  <c r="AG430" i="13"/>
  <c r="AG429" i="13"/>
  <c r="AG427" i="13"/>
  <c r="AG425" i="13"/>
  <c r="AG423" i="13"/>
  <c r="E477" i="13" s="1"/>
  <c r="AG422" i="13"/>
  <c r="AG420" i="13"/>
  <c r="AG419" i="13"/>
  <c r="AG418" i="13"/>
  <c r="AG417" i="13"/>
  <c r="E476" i="13" s="1"/>
  <c r="AG416" i="13"/>
  <c r="AG415" i="13"/>
  <c r="AG414" i="13"/>
  <c r="AG412" i="13"/>
  <c r="E475" i="13" s="1"/>
  <c r="AG411" i="13"/>
  <c r="AG410" i="13"/>
  <c r="AG409" i="13"/>
  <c r="AG408" i="13"/>
  <c r="E474" i="13" s="1"/>
  <c r="AG407" i="13"/>
  <c r="AG406" i="13"/>
  <c r="AG405" i="13"/>
  <c r="AG404" i="13"/>
  <c r="E473" i="13" s="1"/>
  <c r="AG403" i="13"/>
  <c r="AG402" i="13"/>
  <c r="AG401" i="13"/>
  <c r="AG400" i="13"/>
  <c r="AG399" i="13"/>
  <c r="AG398" i="13"/>
  <c r="AG397" i="13"/>
  <c r="AG396" i="13"/>
  <c r="AG395" i="13"/>
  <c r="E472" i="13" s="1"/>
  <c r="AG445" i="13"/>
  <c r="E484" i="13" s="1"/>
  <c r="M52" i="32"/>
  <c r="M51" i="32"/>
  <c r="M50" i="32"/>
  <c r="M49" i="32"/>
  <c r="M48" i="32"/>
  <c r="M47" i="32"/>
  <c r="M46" i="32"/>
  <c r="M45" i="32"/>
  <c r="M44" i="32"/>
  <c r="L52" i="32"/>
  <c r="L51" i="32"/>
  <c r="L50" i="32"/>
  <c r="L49" i="32"/>
  <c r="L48" i="32"/>
  <c r="L47" i="32"/>
  <c r="L46" i="32"/>
  <c r="L45" i="32"/>
  <c r="L44" i="32"/>
  <c r="K52" i="32"/>
  <c r="K51" i="32"/>
  <c r="K49" i="32"/>
  <c r="K47" i="32"/>
  <c r="K46" i="32"/>
  <c r="K45" i="32"/>
  <c r="K44" i="32"/>
  <c r="J52" i="32"/>
  <c r="J51" i="32"/>
  <c r="J49" i="32"/>
  <c r="J47" i="32"/>
  <c r="J46" i="32"/>
  <c r="J45" i="32"/>
  <c r="J44" i="32"/>
  <c r="D39" i="6"/>
  <c r="I19" i="32" s="1"/>
  <c r="I51" i="32"/>
  <c r="I50" i="32"/>
  <c r="I49" i="32"/>
  <c r="I48" i="32"/>
  <c r="I46" i="32"/>
  <c r="I45" i="32"/>
  <c r="I44" i="32"/>
  <c r="H51" i="32"/>
  <c r="H50" i="32"/>
  <c r="H49" i="32"/>
  <c r="H48" i="32"/>
  <c r="H46" i="32"/>
  <c r="H45" i="32"/>
  <c r="H44" i="32"/>
  <c r="G52" i="32"/>
  <c r="G51" i="32"/>
  <c r="G49" i="32"/>
  <c r="G47" i="32"/>
  <c r="G46" i="32"/>
  <c r="G45" i="32"/>
  <c r="G44" i="32"/>
  <c r="F52" i="32"/>
  <c r="F51" i="32"/>
  <c r="F49" i="32"/>
  <c r="F47" i="32"/>
  <c r="F46" i="32"/>
  <c r="F45" i="32"/>
  <c r="F44" i="32"/>
  <c r="E52" i="32"/>
  <c r="E51" i="32"/>
  <c r="E50" i="32"/>
  <c r="E49" i="32"/>
  <c r="E48" i="32"/>
  <c r="E47" i="32"/>
  <c r="E46" i="32"/>
  <c r="E45" i="32"/>
  <c r="E44" i="32"/>
  <c r="D52" i="32"/>
  <c r="D51" i="32"/>
  <c r="D50" i="32"/>
  <c r="D49" i="32"/>
  <c r="D48" i="32"/>
  <c r="D47" i="32"/>
  <c r="D46" i="32"/>
  <c r="D45" i="32"/>
  <c r="D44" i="32"/>
  <c r="J16" i="32"/>
  <c r="I16" i="32"/>
  <c r="K16" i="32" s="1"/>
  <c r="C54" i="32" s="1"/>
  <c r="C52" i="32"/>
  <c r="C51" i="32"/>
  <c r="C50" i="32"/>
  <c r="C49" i="32"/>
  <c r="C48" i="32"/>
  <c r="C47" i="32"/>
  <c r="C46" i="32"/>
  <c r="C45" i="32"/>
  <c r="C44" i="32"/>
  <c r="B52" i="32"/>
  <c r="B51" i="32"/>
  <c r="B50" i="32"/>
  <c r="B49" i="32"/>
  <c r="B48" i="32"/>
  <c r="B47" i="32"/>
  <c r="B46" i="32"/>
  <c r="B45" i="32"/>
  <c r="B44" i="32"/>
  <c r="B32" i="32"/>
  <c r="B31" i="32"/>
  <c r="B35" i="32"/>
  <c r="B30" i="32"/>
  <c r="M37" i="32"/>
  <c r="M36" i="32"/>
  <c r="M35" i="32"/>
  <c r="M34" i="32"/>
  <c r="M33" i="32"/>
  <c r="M32" i="32"/>
  <c r="O32" i="32" s="1"/>
  <c r="M31" i="32"/>
  <c r="M30" i="32"/>
  <c r="M29" i="32"/>
  <c r="L37" i="32"/>
  <c r="L36" i="32"/>
  <c r="L35" i="32"/>
  <c r="L34" i="32"/>
  <c r="L33" i="32"/>
  <c r="L32" i="32"/>
  <c r="L30" i="32"/>
  <c r="L31" i="32"/>
  <c r="L29" i="32"/>
  <c r="K37" i="32"/>
  <c r="K36" i="32"/>
  <c r="K34" i="32"/>
  <c r="K32" i="32"/>
  <c r="K31" i="32"/>
  <c r="K30" i="32"/>
  <c r="K29" i="32"/>
  <c r="J37" i="32"/>
  <c r="J36" i="32"/>
  <c r="J34" i="32"/>
  <c r="J32" i="32"/>
  <c r="J31" i="32"/>
  <c r="J30" i="32"/>
  <c r="J29" i="32"/>
  <c r="I36" i="32"/>
  <c r="I35" i="32"/>
  <c r="I34" i="32"/>
  <c r="I33" i="32"/>
  <c r="I31" i="32"/>
  <c r="I30" i="32"/>
  <c r="I29" i="32"/>
  <c r="H36" i="32"/>
  <c r="H35" i="32"/>
  <c r="H34" i="32"/>
  <c r="H33" i="32"/>
  <c r="H31" i="32"/>
  <c r="H30" i="32"/>
  <c r="H29" i="32"/>
  <c r="G37" i="32"/>
  <c r="G36" i="32"/>
  <c r="G34" i="32"/>
  <c r="G32" i="32"/>
  <c r="G31" i="32"/>
  <c r="G30" i="32"/>
  <c r="G29" i="32"/>
  <c r="F39" i="32"/>
  <c r="F37" i="32"/>
  <c r="F36" i="32"/>
  <c r="F34" i="32"/>
  <c r="F32" i="32"/>
  <c r="F31" i="32"/>
  <c r="F30" i="32"/>
  <c r="F29" i="32"/>
  <c r="E37" i="32"/>
  <c r="E36" i="32"/>
  <c r="E35" i="32"/>
  <c r="E34" i="32"/>
  <c r="E33" i="32"/>
  <c r="E32" i="32"/>
  <c r="E31" i="32"/>
  <c r="E30" i="32"/>
  <c r="E29" i="32"/>
  <c r="C37" i="32"/>
  <c r="B37" i="32"/>
  <c r="D37" i="32"/>
  <c r="D36" i="32"/>
  <c r="D35" i="32"/>
  <c r="D34" i="32"/>
  <c r="D33" i="32"/>
  <c r="D32" i="32"/>
  <c r="D31" i="32"/>
  <c r="D30" i="32"/>
  <c r="D29" i="32"/>
  <c r="C36" i="32"/>
  <c r="C34" i="32"/>
  <c r="C33" i="32"/>
  <c r="C32" i="32"/>
  <c r="C31" i="32"/>
  <c r="C30" i="32"/>
  <c r="C29" i="32"/>
  <c r="B36" i="32"/>
  <c r="B34" i="32"/>
  <c r="B33" i="32"/>
  <c r="B29" i="32"/>
  <c r="K21" i="32"/>
  <c r="M54" i="32" s="1"/>
  <c r="K20" i="32"/>
  <c r="K54" i="32" s="1"/>
  <c r="J19" i="32"/>
  <c r="J18" i="32"/>
  <c r="I18" i="32"/>
  <c r="J17" i="32"/>
  <c r="I17" i="32"/>
  <c r="K11" i="32"/>
  <c r="L54" i="32" s="1"/>
  <c r="K10" i="32"/>
  <c r="J54" i="32" s="1"/>
  <c r="J9" i="32"/>
  <c r="I9" i="32"/>
  <c r="J8" i="32"/>
  <c r="I8" i="32"/>
  <c r="J7" i="32"/>
  <c r="I7" i="32"/>
  <c r="J6" i="32"/>
  <c r="I6" i="32"/>
  <c r="D21" i="32"/>
  <c r="E21" i="32" s="1"/>
  <c r="D20" i="32"/>
  <c r="C19" i="32"/>
  <c r="B19" i="32"/>
  <c r="C18" i="32"/>
  <c r="B18" i="32"/>
  <c r="C17" i="32"/>
  <c r="B17" i="32"/>
  <c r="C16" i="32"/>
  <c r="B16" i="32"/>
  <c r="D10" i="32"/>
  <c r="D11" i="32"/>
  <c r="F11" i="32" s="1"/>
  <c r="C9" i="32"/>
  <c r="B9" i="32"/>
  <c r="C8" i="32"/>
  <c r="B8" i="32"/>
  <c r="D8" i="32" s="1"/>
  <c r="C7" i="32"/>
  <c r="B7" i="32"/>
  <c r="C6" i="32"/>
  <c r="B6" i="32"/>
  <c r="W26" i="22"/>
  <c r="U26" i="22"/>
  <c r="W25" i="22"/>
  <c r="W15" i="22"/>
  <c r="W16" i="22"/>
  <c r="W17" i="22"/>
  <c r="W18" i="22"/>
  <c r="W19" i="22"/>
  <c r="W20" i="22"/>
  <c r="W21" i="22"/>
  <c r="W22" i="22"/>
  <c r="W23" i="22"/>
  <c r="W24" i="22"/>
  <c r="U15" i="22"/>
  <c r="U16" i="22"/>
  <c r="U17" i="22"/>
  <c r="U18" i="22"/>
  <c r="U19" i="22"/>
  <c r="U20" i="22"/>
  <c r="U21" i="22"/>
  <c r="U22" i="22"/>
  <c r="U23" i="22"/>
  <c r="U24" i="22"/>
  <c r="U25" i="22"/>
  <c r="W14" i="22"/>
  <c r="U14" i="22"/>
  <c r="V25" i="22"/>
  <c r="V24" i="22"/>
  <c r="V23" i="22"/>
  <c r="V22" i="22"/>
  <c r="V21" i="22"/>
  <c r="V20" i="22"/>
  <c r="V19" i="22"/>
  <c r="V18" i="22"/>
  <c r="V17" i="22"/>
  <c r="V16" i="22"/>
  <c r="V15" i="22"/>
  <c r="V14" i="22"/>
  <c r="T24" i="22"/>
  <c r="T23" i="22"/>
  <c r="T22" i="22"/>
  <c r="T21" i="22"/>
  <c r="T20" i="22"/>
  <c r="T19" i="22"/>
  <c r="T18" i="22"/>
  <c r="T17" i="22"/>
  <c r="T16" i="22"/>
  <c r="T15" i="22"/>
  <c r="T14" i="22"/>
  <c r="W26" i="21"/>
  <c r="W15" i="21"/>
  <c r="W16" i="21"/>
  <c r="W17" i="21"/>
  <c r="W18" i="21"/>
  <c r="W19" i="21"/>
  <c r="W20" i="21"/>
  <c r="W21" i="21"/>
  <c r="W22" i="21"/>
  <c r="W23" i="21"/>
  <c r="W24" i="21"/>
  <c r="W25" i="21"/>
  <c r="U15" i="21"/>
  <c r="U16" i="21"/>
  <c r="U17" i="21"/>
  <c r="U18" i="21"/>
  <c r="U19" i="21"/>
  <c r="U20" i="21"/>
  <c r="U21" i="21"/>
  <c r="U22" i="21"/>
  <c r="U23" i="21"/>
  <c r="U24" i="21"/>
  <c r="U25" i="21"/>
  <c r="U26" i="21"/>
  <c r="W14" i="21"/>
  <c r="U14" i="21"/>
  <c r="V25" i="21"/>
  <c r="V24" i="21"/>
  <c r="V23" i="21"/>
  <c r="V22" i="21"/>
  <c r="V21" i="21"/>
  <c r="V20" i="21"/>
  <c r="V19" i="21"/>
  <c r="V18" i="21"/>
  <c r="V17" i="21"/>
  <c r="V16" i="21"/>
  <c r="V15" i="21"/>
  <c r="V14" i="21"/>
  <c r="T26" i="21"/>
  <c r="T25" i="21"/>
  <c r="T24" i="21"/>
  <c r="T23" i="21"/>
  <c r="T22" i="21"/>
  <c r="T21" i="21"/>
  <c r="T20" i="21"/>
  <c r="T19" i="21"/>
  <c r="T18" i="21"/>
  <c r="T17" i="21"/>
  <c r="T16" i="21"/>
  <c r="T15" i="21"/>
  <c r="T14" i="21"/>
  <c r="U14" i="20"/>
  <c r="S14" i="20"/>
  <c r="Q14" i="20"/>
  <c r="U17" i="19"/>
  <c r="S17" i="19"/>
  <c r="R17" i="19"/>
  <c r="Q17" i="19"/>
  <c r="D13" i="16"/>
  <c r="I13" i="16"/>
  <c r="K13" i="16"/>
  <c r="N13" i="16"/>
  <c r="O13" i="16"/>
  <c r="P13" i="16"/>
  <c r="B14" i="16"/>
  <c r="C14" i="16"/>
  <c r="D14" i="16"/>
  <c r="E14" i="16"/>
  <c r="F14" i="16"/>
  <c r="G14" i="16"/>
  <c r="H14" i="16"/>
  <c r="I14" i="16"/>
  <c r="J14" i="16"/>
  <c r="K14" i="16"/>
  <c r="L14" i="16"/>
  <c r="M14" i="16"/>
  <c r="N14" i="16"/>
  <c r="O14" i="16"/>
  <c r="P14" i="16"/>
  <c r="Q14" i="16"/>
  <c r="R14" i="16"/>
  <c r="S14" i="16"/>
  <c r="T14" i="16"/>
  <c r="U14" i="16"/>
  <c r="V14" i="16"/>
  <c r="W14" i="16"/>
  <c r="X14" i="16"/>
  <c r="Y14" i="16"/>
  <c r="AE14" i="16" s="1"/>
  <c r="B15" i="16"/>
  <c r="C15" i="16"/>
  <c r="D15" i="16"/>
  <c r="E15" i="16"/>
  <c r="F15" i="16"/>
  <c r="G15" i="16"/>
  <c r="H15" i="16"/>
  <c r="I15" i="16"/>
  <c r="J15" i="16"/>
  <c r="K15" i="16"/>
  <c r="L15" i="16"/>
  <c r="M15" i="16"/>
  <c r="N15" i="16"/>
  <c r="O15" i="16"/>
  <c r="P15" i="16"/>
  <c r="Q15" i="16"/>
  <c r="R15" i="16"/>
  <c r="S15" i="16"/>
  <c r="T15" i="16"/>
  <c r="U15" i="16"/>
  <c r="V15" i="16"/>
  <c r="W15" i="16"/>
  <c r="X15" i="16"/>
  <c r="Y15" i="16"/>
  <c r="AE15" i="16" s="1"/>
  <c r="B16" i="16"/>
  <c r="C16" i="16"/>
  <c r="D16" i="16"/>
  <c r="E16" i="16"/>
  <c r="F16" i="16"/>
  <c r="G16" i="16"/>
  <c r="H16" i="16"/>
  <c r="I16" i="16"/>
  <c r="J16" i="16"/>
  <c r="K16" i="16"/>
  <c r="L16" i="16"/>
  <c r="M16" i="16"/>
  <c r="N16" i="16"/>
  <c r="O16" i="16"/>
  <c r="P16" i="16"/>
  <c r="Q16" i="16"/>
  <c r="R16" i="16"/>
  <c r="S16" i="16"/>
  <c r="T16" i="16"/>
  <c r="U16" i="16"/>
  <c r="V16" i="16"/>
  <c r="W16" i="16"/>
  <c r="X16" i="16"/>
  <c r="Y16" i="16"/>
  <c r="AE16" i="16" s="1"/>
  <c r="B17" i="16"/>
  <c r="C17" i="16"/>
  <c r="D17" i="16"/>
  <c r="E17" i="16"/>
  <c r="F17" i="16"/>
  <c r="G17" i="16"/>
  <c r="H17" i="16"/>
  <c r="I17" i="16"/>
  <c r="J17" i="16"/>
  <c r="K17" i="16"/>
  <c r="L17" i="16"/>
  <c r="M17" i="16"/>
  <c r="N17" i="16"/>
  <c r="O17" i="16"/>
  <c r="P17" i="16"/>
  <c r="Q17" i="16"/>
  <c r="R17" i="16"/>
  <c r="S17" i="16"/>
  <c r="T17" i="16"/>
  <c r="U17" i="16"/>
  <c r="V17" i="16"/>
  <c r="W17" i="16"/>
  <c r="X17" i="16"/>
  <c r="Y17" i="16"/>
  <c r="AE17" i="16" s="1"/>
  <c r="B18" i="16"/>
  <c r="C18" i="16"/>
  <c r="D18" i="16"/>
  <c r="E18" i="16"/>
  <c r="F18" i="16"/>
  <c r="G18" i="16"/>
  <c r="H18" i="16"/>
  <c r="I18" i="16"/>
  <c r="J18" i="16"/>
  <c r="K18" i="16"/>
  <c r="L18" i="16"/>
  <c r="M18" i="16"/>
  <c r="N18" i="16"/>
  <c r="O18" i="16"/>
  <c r="P18" i="16"/>
  <c r="Q18" i="16"/>
  <c r="R18" i="16"/>
  <c r="S18" i="16"/>
  <c r="T18" i="16"/>
  <c r="U18" i="16"/>
  <c r="V18" i="16"/>
  <c r="W18" i="16"/>
  <c r="X18" i="16"/>
  <c r="Y18" i="16"/>
  <c r="AE18" i="16" s="1"/>
  <c r="B19" i="16"/>
  <c r="C19" i="16"/>
  <c r="D19" i="16"/>
  <c r="E19" i="16"/>
  <c r="F19" i="16"/>
  <c r="G19" i="16"/>
  <c r="H19" i="16"/>
  <c r="I19" i="16"/>
  <c r="J19" i="16"/>
  <c r="K19" i="16"/>
  <c r="L19" i="16"/>
  <c r="M19" i="16"/>
  <c r="N19" i="16"/>
  <c r="O19" i="16"/>
  <c r="P19" i="16"/>
  <c r="Q19" i="16"/>
  <c r="R19" i="16"/>
  <c r="S19" i="16"/>
  <c r="T19" i="16"/>
  <c r="U19" i="16"/>
  <c r="V19" i="16"/>
  <c r="W19" i="16"/>
  <c r="X19" i="16"/>
  <c r="Y19" i="16"/>
  <c r="AE19" i="16"/>
  <c r="B20" i="16"/>
  <c r="D20" i="16"/>
  <c r="E20" i="16"/>
  <c r="F20" i="16"/>
  <c r="G20" i="16"/>
  <c r="H20" i="16"/>
  <c r="I20" i="16"/>
  <c r="J20" i="16"/>
  <c r="K20" i="16"/>
  <c r="L20" i="16"/>
  <c r="M20" i="16"/>
  <c r="N20" i="16"/>
  <c r="O20" i="16"/>
  <c r="P20" i="16"/>
  <c r="Q20" i="16"/>
  <c r="R20" i="16"/>
  <c r="S20" i="16"/>
  <c r="T20" i="16"/>
  <c r="U20" i="16"/>
  <c r="V20" i="16"/>
  <c r="W20" i="16"/>
  <c r="X20" i="16"/>
  <c r="Y20" i="16"/>
  <c r="AE20" i="16"/>
  <c r="C21" i="16"/>
  <c r="D21" i="16"/>
  <c r="E21" i="16"/>
  <c r="F21" i="16"/>
  <c r="G21" i="16"/>
  <c r="H21" i="16"/>
  <c r="I21" i="16"/>
  <c r="J21" i="16"/>
  <c r="K21" i="16"/>
  <c r="L21" i="16"/>
  <c r="M21" i="16"/>
  <c r="N21" i="16"/>
  <c r="O21" i="16"/>
  <c r="P21" i="16"/>
  <c r="Q21" i="16"/>
  <c r="S21" i="16"/>
  <c r="T21" i="16"/>
  <c r="U21" i="16"/>
  <c r="V21" i="16"/>
  <c r="W21" i="16"/>
  <c r="X21" i="16"/>
  <c r="Y21" i="16"/>
  <c r="AE21" i="16" s="1"/>
  <c r="B22" i="16"/>
  <c r="C22" i="16"/>
  <c r="D22" i="16"/>
  <c r="E22" i="16"/>
  <c r="F22" i="16"/>
  <c r="G22" i="16"/>
  <c r="H22" i="16"/>
  <c r="I22" i="16"/>
  <c r="J22" i="16"/>
  <c r="K22" i="16"/>
  <c r="L22" i="16"/>
  <c r="M22" i="16"/>
  <c r="N22" i="16"/>
  <c r="O22" i="16"/>
  <c r="P22" i="16"/>
  <c r="Q22" i="16"/>
  <c r="R22" i="16"/>
  <c r="S22" i="16"/>
  <c r="T22" i="16"/>
  <c r="U22" i="16"/>
  <c r="V22" i="16"/>
  <c r="W22" i="16"/>
  <c r="X22" i="16"/>
  <c r="Y22" i="16"/>
  <c r="AE22" i="16" s="1"/>
  <c r="B23" i="16"/>
  <c r="C23" i="16"/>
  <c r="D23" i="16"/>
  <c r="E23" i="16"/>
  <c r="F23" i="16"/>
  <c r="G23" i="16"/>
  <c r="H23" i="16"/>
  <c r="I23" i="16"/>
  <c r="J23" i="16"/>
  <c r="K23" i="16"/>
  <c r="L23" i="16"/>
  <c r="M23" i="16"/>
  <c r="N23" i="16"/>
  <c r="O23" i="16"/>
  <c r="P23" i="16"/>
  <c r="Q23" i="16"/>
  <c r="R23" i="16"/>
  <c r="S23" i="16"/>
  <c r="T23" i="16"/>
  <c r="U23" i="16"/>
  <c r="V23" i="16"/>
  <c r="W23" i="16"/>
  <c r="X23" i="16"/>
  <c r="Y23" i="16"/>
  <c r="AE23" i="16" s="1"/>
  <c r="B24" i="16"/>
  <c r="C24" i="16"/>
  <c r="D24" i="16"/>
  <c r="E24" i="16"/>
  <c r="F24" i="16"/>
  <c r="G24" i="16"/>
  <c r="H24" i="16"/>
  <c r="I24" i="16"/>
  <c r="J24" i="16"/>
  <c r="K24" i="16"/>
  <c r="L24" i="16"/>
  <c r="M24" i="16"/>
  <c r="N24" i="16"/>
  <c r="O24" i="16"/>
  <c r="P24" i="16"/>
  <c r="Q24" i="16"/>
  <c r="R24" i="16"/>
  <c r="S24" i="16"/>
  <c r="T24" i="16"/>
  <c r="U24" i="16"/>
  <c r="V24" i="16"/>
  <c r="W24" i="16"/>
  <c r="X24" i="16"/>
  <c r="Y24" i="16"/>
  <c r="AE24" i="16" s="1"/>
  <c r="B26" i="16"/>
  <c r="D26" i="16"/>
  <c r="E26" i="16"/>
  <c r="F26" i="16"/>
  <c r="G26" i="16"/>
  <c r="H26" i="16"/>
  <c r="I26" i="16"/>
  <c r="J26" i="16"/>
  <c r="K26" i="16"/>
  <c r="L26" i="16"/>
  <c r="M26" i="16"/>
  <c r="N26" i="16"/>
  <c r="O26" i="16"/>
  <c r="P26" i="16"/>
  <c r="Q26" i="16"/>
  <c r="R26" i="16"/>
  <c r="S26" i="16"/>
  <c r="T26" i="16"/>
  <c r="U26" i="16"/>
  <c r="V26" i="16"/>
  <c r="W26" i="16"/>
  <c r="X26" i="16"/>
  <c r="AQ26" i="16"/>
  <c r="B27" i="16"/>
  <c r="C27" i="16"/>
  <c r="D27" i="16"/>
  <c r="E27" i="16"/>
  <c r="F27" i="16"/>
  <c r="G27" i="16"/>
  <c r="H27" i="16"/>
  <c r="I27" i="16"/>
  <c r="J27" i="16"/>
  <c r="K27" i="16"/>
  <c r="L27" i="16"/>
  <c r="M27" i="16"/>
  <c r="N27" i="16"/>
  <c r="O27" i="16"/>
  <c r="P27" i="16"/>
  <c r="Q27" i="16"/>
  <c r="R27" i="16"/>
  <c r="S27" i="16"/>
  <c r="T27" i="16"/>
  <c r="U27" i="16"/>
  <c r="V27" i="16"/>
  <c r="W27" i="16"/>
  <c r="X27" i="16"/>
  <c r="AQ27" i="16"/>
  <c r="B28" i="16"/>
  <c r="C28" i="16"/>
  <c r="D28" i="16"/>
  <c r="E28" i="16"/>
  <c r="F28" i="16"/>
  <c r="G28" i="16"/>
  <c r="H28" i="16"/>
  <c r="I28" i="16"/>
  <c r="J28" i="16"/>
  <c r="K28" i="16"/>
  <c r="L28" i="16"/>
  <c r="M28" i="16"/>
  <c r="N28" i="16"/>
  <c r="O28" i="16"/>
  <c r="P28" i="16"/>
  <c r="Q28" i="16"/>
  <c r="R28" i="16"/>
  <c r="S28" i="16"/>
  <c r="T28" i="16"/>
  <c r="U28" i="16"/>
  <c r="V28" i="16"/>
  <c r="W28" i="16"/>
  <c r="X28" i="16"/>
  <c r="Y28" i="16"/>
  <c r="AE28" i="16" s="1"/>
  <c r="AL28" i="16"/>
  <c r="AQ28" i="16"/>
  <c r="AL29" i="16"/>
  <c r="AQ29" i="16"/>
  <c r="C30" i="16"/>
  <c r="D30" i="16"/>
  <c r="E30" i="16"/>
  <c r="F30" i="16"/>
  <c r="G30" i="16"/>
  <c r="H30" i="16"/>
  <c r="I30" i="16"/>
  <c r="J30" i="16"/>
  <c r="K30" i="16"/>
  <c r="L30" i="16"/>
  <c r="M30" i="16"/>
  <c r="N30" i="16"/>
  <c r="O30" i="16"/>
  <c r="P30" i="16"/>
  <c r="Q30" i="16"/>
  <c r="R30" i="16"/>
  <c r="S30" i="16"/>
  <c r="T30" i="16"/>
  <c r="U30" i="16"/>
  <c r="V30" i="16"/>
  <c r="W30" i="16"/>
  <c r="Y30" i="16"/>
  <c r="AE30" i="16" s="1"/>
  <c r="AL30" i="16"/>
  <c r="AQ30" i="16"/>
  <c r="B31" i="16"/>
  <c r="C31" i="16"/>
  <c r="D31" i="16"/>
  <c r="E31" i="16"/>
  <c r="F31" i="16"/>
  <c r="G31" i="16"/>
  <c r="H31" i="16"/>
  <c r="I31" i="16"/>
  <c r="J31" i="16"/>
  <c r="K31" i="16"/>
  <c r="L31" i="16"/>
  <c r="M31" i="16"/>
  <c r="N31" i="16"/>
  <c r="O31" i="16"/>
  <c r="P31" i="16"/>
  <c r="Q31" i="16"/>
  <c r="R31" i="16"/>
  <c r="S31" i="16"/>
  <c r="T31" i="16"/>
  <c r="U31" i="16"/>
  <c r="V31" i="16"/>
  <c r="W31" i="16"/>
  <c r="X31" i="16"/>
  <c r="Y31" i="16"/>
  <c r="AE31" i="16" s="1"/>
  <c r="AL31" i="16"/>
  <c r="B32" i="16"/>
  <c r="D32" i="16"/>
  <c r="E32" i="16"/>
  <c r="F32" i="16"/>
  <c r="G32" i="16"/>
  <c r="H32" i="16"/>
  <c r="J32" i="16"/>
  <c r="K32" i="16"/>
  <c r="L32" i="16"/>
  <c r="N32" i="16"/>
  <c r="Q32" i="16"/>
  <c r="S32" i="16"/>
  <c r="T32" i="16"/>
  <c r="U32" i="16"/>
  <c r="V32" i="16"/>
  <c r="W32" i="16"/>
  <c r="X32" i="16"/>
  <c r="Y32" i="16"/>
  <c r="AE32" i="16" s="1"/>
  <c r="AL32" i="16"/>
  <c r="AL33" i="16"/>
  <c r="B34" i="16"/>
  <c r="C34" i="16"/>
  <c r="D34" i="16"/>
  <c r="E34" i="16"/>
  <c r="F34" i="16"/>
  <c r="G34" i="16"/>
  <c r="H34" i="16"/>
  <c r="I34" i="16"/>
  <c r="J34" i="16"/>
  <c r="K34" i="16"/>
  <c r="L34" i="16"/>
  <c r="M34" i="16"/>
  <c r="N34" i="16"/>
  <c r="O34" i="16"/>
  <c r="P34" i="16"/>
  <c r="Q34" i="16"/>
  <c r="R34" i="16"/>
  <c r="S34" i="16"/>
  <c r="T34" i="16"/>
  <c r="U34" i="16"/>
  <c r="V34" i="16"/>
  <c r="W34" i="16"/>
  <c r="X34" i="16"/>
  <c r="Y34" i="16"/>
  <c r="AE34" i="16" s="1"/>
  <c r="AL34" i="16"/>
  <c r="AL35" i="16"/>
  <c r="B36" i="16"/>
  <c r="C36" i="16"/>
  <c r="D36" i="16"/>
  <c r="F36" i="16"/>
  <c r="G36" i="16"/>
  <c r="H36" i="16"/>
  <c r="J36" i="16"/>
  <c r="M36" i="16"/>
  <c r="N36" i="16"/>
  <c r="O36" i="16"/>
  <c r="P36" i="16"/>
  <c r="Q36" i="16"/>
  <c r="S36" i="16"/>
  <c r="U36" i="16"/>
  <c r="V36" i="16"/>
  <c r="W36" i="16"/>
  <c r="Y36" i="16"/>
  <c r="AE36" i="16" s="1"/>
  <c r="AL36" i="16"/>
  <c r="AL37" i="16"/>
  <c r="B38" i="16"/>
  <c r="C38" i="16"/>
  <c r="D38" i="16"/>
  <c r="E38" i="16"/>
  <c r="F38" i="16"/>
  <c r="G38" i="16"/>
  <c r="I38" i="16"/>
  <c r="J38" i="16"/>
  <c r="K38" i="16"/>
  <c r="L38" i="16"/>
  <c r="M38" i="16"/>
  <c r="P38" i="16"/>
  <c r="T38" i="16"/>
  <c r="V38" i="16"/>
  <c r="W38" i="16"/>
  <c r="X38" i="16"/>
  <c r="Y38" i="16"/>
  <c r="AE38" i="16" s="1"/>
  <c r="D58" i="16"/>
  <c r="F58" i="16"/>
  <c r="G58" i="16"/>
  <c r="I58" i="16"/>
  <c r="L58" i="16"/>
  <c r="N58" i="16"/>
  <c r="O58" i="16"/>
  <c r="P58" i="16"/>
  <c r="Q58" i="16"/>
  <c r="S58" i="16"/>
  <c r="T58" i="16"/>
  <c r="U58" i="16"/>
  <c r="V58" i="16"/>
  <c r="W58" i="16"/>
  <c r="X58" i="16"/>
  <c r="B59" i="16"/>
  <c r="C59" i="16"/>
  <c r="D59" i="16"/>
  <c r="E59" i="16"/>
  <c r="F59" i="16"/>
  <c r="G59" i="16"/>
  <c r="H59" i="16"/>
  <c r="I59" i="16"/>
  <c r="J59" i="16"/>
  <c r="K59" i="16"/>
  <c r="L59" i="16"/>
  <c r="M59" i="16"/>
  <c r="N59" i="16"/>
  <c r="O59" i="16"/>
  <c r="P59" i="16"/>
  <c r="Q59" i="16"/>
  <c r="R59" i="16"/>
  <c r="S59" i="16"/>
  <c r="T59" i="16"/>
  <c r="U59" i="16"/>
  <c r="V59" i="16"/>
  <c r="W59" i="16"/>
  <c r="X59" i="16"/>
  <c r="Y59" i="16"/>
  <c r="AE59" i="16" s="1"/>
  <c r="B60" i="16"/>
  <c r="C60" i="16"/>
  <c r="D60" i="16"/>
  <c r="E60" i="16"/>
  <c r="F60" i="16"/>
  <c r="G60" i="16"/>
  <c r="H60" i="16"/>
  <c r="I60" i="16"/>
  <c r="J60" i="16"/>
  <c r="K60" i="16"/>
  <c r="L60" i="16"/>
  <c r="M60" i="16"/>
  <c r="N60" i="16"/>
  <c r="O60" i="16"/>
  <c r="P60" i="16"/>
  <c r="Q60" i="16"/>
  <c r="R60" i="16"/>
  <c r="S60" i="16"/>
  <c r="T60" i="16"/>
  <c r="U60" i="16"/>
  <c r="V60" i="16"/>
  <c r="W60" i="16"/>
  <c r="X60" i="16"/>
  <c r="Y60" i="16"/>
  <c r="AE60" i="16" s="1"/>
  <c r="B61" i="16"/>
  <c r="C61" i="16"/>
  <c r="D61" i="16"/>
  <c r="E61" i="16"/>
  <c r="F61" i="16"/>
  <c r="G61" i="16"/>
  <c r="H61" i="16"/>
  <c r="I61" i="16"/>
  <c r="J61" i="16"/>
  <c r="K61" i="16"/>
  <c r="L61" i="16"/>
  <c r="M61" i="16"/>
  <c r="N61" i="16"/>
  <c r="O61" i="16"/>
  <c r="P61" i="16"/>
  <c r="Q61" i="16"/>
  <c r="R61" i="16"/>
  <c r="S61" i="16"/>
  <c r="T61" i="16"/>
  <c r="U61" i="16"/>
  <c r="V61" i="16"/>
  <c r="W61" i="16"/>
  <c r="X61" i="16"/>
  <c r="Y61" i="16"/>
  <c r="AE61" i="16" s="1"/>
  <c r="B62" i="16"/>
  <c r="C62" i="16"/>
  <c r="D62" i="16"/>
  <c r="E62" i="16"/>
  <c r="F62" i="16"/>
  <c r="G62" i="16"/>
  <c r="H62" i="16"/>
  <c r="I62" i="16"/>
  <c r="J62" i="16"/>
  <c r="K62" i="16"/>
  <c r="L62" i="16"/>
  <c r="M62" i="16"/>
  <c r="N62" i="16"/>
  <c r="O62" i="16"/>
  <c r="P62" i="16"/>
  <c r="Q62" i="16"/>
  <c r="R62" i="16"/>
  <c r="S62" i="16"/>
  <c r="T62" i="16"/>
  <c r="U62" i="16"/>
  <c r="V62" i="16"/>
  <c r="W62" i="16"/>
  <c r="X62" i="16"/>
  <c r="Y62" i="16"/>
  <c r="AE62" i="16" s="1"/>
  <c r="B63" i="16"/>
  <c r="C63" i="16"/>
  <c r="D63" i="16"/>
  <c r="E63" i="16"/>
  <c r="F63" i="16"/>
  <c r="G63" i="16"/>
  <c r="H63" i="16"/>
  <c r="I63" i="16"/>
  <c r="J63" i="16"/>
  <c r="K63" i="16"/>
  <c r="L63" i="16"/>
  <c r="M63" i="16"/>
  <c r="N63" i="16"/>
  <c r="O63" i="16"/>
  <c r="P63" i="16"/>
  <c r="Q63" i="16"/>
  <c r="R63" i="16"/>
  <c r="S63" i="16"/>
  <c r="T63" i="16"/>
  <c r="U63" i="16"/>
  <c r="V63" i="16"/>
  <c r="W63" i="16"/>
  <c r="X63" i="16"/>
  <c r="Y63" i="16"/>
  <c r="AE63" i="16"/>
  <c r="B64" i="16"/>
  <c r="C64" i="16"/>
  <c r="D64" i="16"/>
  <c r="E64" i="16"/>
  <c r="F64" i="16"/>
  <c r="G64" i="16"/>
  <c r="H64" i="16"/>
  <c r="I64" i="16"/>
  <c r="J64" i="16"/>
  <c r="K64" i="16"/>
  <c r="L64" i="16"/>
  <c r="M64" i="16"/>
  <c r="N64" i="16"/>
  <c r="O64" i="16"/>
  <c r="P64" i="16"/>
  <c r="Q64" i="16"/>
  <c r="R64" i="16"/>
  <c r="S64" i="16"/>
  <c r="T64" i="16"/>
  <c r="U64" i="16"/>
  <c r="V64" i="16"/>
  <c r="W64" i="16"/>
  <c r="X64" i="16"/>
  <c r="Y64" i="16"/>
  <c r="AE64" i="16" s="1"/>
  <c r="D65" i="16"/>
  <c r="F65" i="16"/>
  <c r="I65" i="16"/>
  <c r="J65" i="16"/>
  <c r="B66" i="16"/>
  <c r="C66" i="16"/>
  <c r="D66" i="16"/>
  <c r="E66" i="16"/>
  <c r="F66" i="16"/>
  <c r="G66" i="16"/>
  <c r="H66" i="16"/>
  <c r="I66" i="16"/>
  <c r="J66" i="16"/>
  <c r="K66" i="16"/>
  <c r="L66" i="16"/>
  <c r="M66" i="16"/>
  <c r="N66" i="16"/>
  <c r="O66" i="16"/>
  <c r="P66" i="16"/>
  <c r="Q66" i="16"/>
  <c r="R66" i="16"/>
  <c r="S66" i="16"/>
  <c r="T66" i="16"/>
  <c r="U66" i="16"/>
  <c r="V66" i="16"/>
  <c r="W66" i="16"/>
  <c r="X66" i="16"/>
  <c r="B67" i="16"/>
  <c r="C67" i="16"/>
  <c r="D67" i="16"/>
  <c r="E67" i="16"/>
  <c r="F67" i="16"/>
  <c r="G67" i="16"/>
  <c r="H67" i="16"/>
  <c r="I67" i="16"/>
  <c r="J67" i="16"/>
  <c r="K67" i="16"/>
  <c r="L67" i="16"/>
  <c r="M67" i="16"/>
  <c r="N67" i="16"/>
  <c r="O67" i="16"/>
  <c r="P67" i="16"/>
  <c r="Q67" i="16"/>
  <c r="R67" i="16"/>
  <c r="S67" i="16"/>
  <c r="T67" i="16"/>
  <c r="U67" i="16"/>
  <c r="V67" i="16"/>
  <c r="W67" i="16"/>
  <c r="X67" i="16"/>
  <c r="Y67" i="16"/>
  <c r="AE67" i="16" s="1"/>
  <c r="B68" i="16"/>
  <c r="C68" i="16"/>
  <c r="D68" i="16"/>
  <c r="E68" i="16"/>
  <c r="F68" i="16"/>
  <c r="G68" i="16"/>
  <c r="H68" i="16"/>
  <c r="I68" i="16"/>
  <c r="J68" i="16"/>
  <c r="K68" i="16"/>
  <c r="L68" i="16"/>
  <c r="M68" i="16"/>
  <c r="N68" i="16"/>
  <c r="O68" i="16"/>
  <c r="P68" i="16"/>
  <c r="Q68" i="16"/>
  <c r="R68" i="16"/>
  <c r="S68" i="16"/>
  <c r="T68" i="16"/>
  <c r="U68" i="16"/>
  <c r="V68" i="16"/>
  <c r="W68" i="16"/>
  <c r="X68" i="16"/>
  <c r="B70" i="16"/>
  <c r="C70" i="16"/>
  <c r="D70" i="16"/>
  <c r="E70" i="16"/>
  <c r="F70" i="16"/>
  <c r="G70" i="16"/>
  <c r="H70" i="16"/>
  <c r="I70" i="16"/>
  <c r="J70" i="16"/>
  <c r="K70" i="16"/>
  <c r="L70" i="16"/>
  <c r="M70" i="16"/>
  <c r="N70" i="16"/>
  <c r="O70" i="16"/>
  <c r="P70" i="16"/>
  <c r="Q70" i="16"/>
  <c r="R70" i="16"/>
  <c r="S70" i="16"/>
  <c r="T70" i="16"/>
  <c r="U70" i="16"/>
  <c r="V70" i="16"/>
  <c r="W70" i="16"/>
  <c r="X70" i="16"/>
  <c r="Y70" i="16"/>
  <c r="AE70" i="16" s="1"/>
  <c r="B71" i="16"/>
  <c r="C71" i="16"/>
  <c r="D71" i="16"/>
  <c r="E71" i="16"/>
  <c r="F71" i="16"/>
  <c r="G71" i="16"/>
  <c r="H71" i="16"/>
  <c r="I71" i="16"/>
  <c r="J71" i="16"/>
  <c r="K71" i="16"/>
  <c r="L71" i="16"/>
  <c r="M71" i="16"/>
  <c r="N71" i="16"/>
  <c r="O71" i="16"/>
  <c r="P71" i="16"/>
  <c r="Q71" i="16"/>
  <c r="R71" i="16"/>
  <c r="S71" i="16"/>
  <c r="T71" i="16"/>
  <c r="U71" i="16"/>
  <c r="V71" i="16"/>
  <c r="W71" i="16"/>
  <c r="X71" i="16"/>
  <c r="Y71" i="16"/>
  <c r="AE71" i="16" s="1"/>
  <c r="AR71" i="16"/>
  <c r="C72" i="16"/>
  <c r="D72" i="16"/>
  <c r="E72" i="16"/>
  <c r="F72" i="16"/>
  <c r="G72" i="16"/>
  <c r="H72" i="16"/>
  <c r="I72" i="16"/>
  <c r="J72" i="16"/>
  <c r="K72" i="16"/>
  <c r="L72" i="16"/>
  <c r="M72" i="16"/>
  <c r="N72" i="16"/>
  <c r="O72" i="16"/>
  <c r="P72" i="16"/>
  <c r="Q72" i="16"/>
  <c r="R72" i="16"/>
  <c r="S72" i="16"/>
  <c r="T72" i="16"/>
  <c r="U72" i="16"/>
  <c r="V72" i="16"/>
  <c r="W72" i="16"/>
  <c r="Y72" i="16"/>
  <c r="AE72" i="16" s="1"/>
  <c r="AL72" i="16"/>
  <c r="AR72" i="16"/>
  <c r="B73" i="16"/>
  <c r="C73" i="16"/>
  <c r="D73" i="16"/>
  <c r="E73" i="16"/>
  <c r="F73" i="16"/>
  <c r="G73" i="16"/>
  <c r="H73" i="16"/>
  <c r="I73" i="16"/>
  <c r="J73" i="16"/>
  <c r="K73" i="16"/>
  <c r="L73" i="16"/>
  <c r="M73" i="16"/>
  <c r="N73" i="16"/>
  <c r="O73" i="16"/>
  <c r="P73" i="16"/>
  <c r="Q73" i="16"/>
  <c r="R73" i="16"/>
  <c r="S73" i="16"/>
  <c r="T73" i="16"/>
  <c r="U73" i="16"/>
  <c r="V73" i="16"/>
  <c r="W73" i="16"/>
  <c r="X73" i="16"/>
  <c r="Y73" i="16"/>
  <c r="AE73" i="16" s="1"/>
  <c r="AL73" i="16"/>
  <c r="AR73" i="16"/>
  <c r="B74" i="16"/>
  <c r="C74" i="16"/>
  <c r="D74" i="16"/>
  <c r="E74" i="16"/>
  <c r="F74" i="16"/>
  <c r="G74" i="16"/>
  <c r="H74" i="16"/>
  <c r="I74" i="16"/>
  <c r="J74" i="16"/>
  <c r="K74" i="16"/>
  <c r="L74" i="16"/>
  <c r="M74" i="16"/>
  <c r="N74" i="16"/>
  <c r="O74" i="16"/>
  <c r="P74" i="16"/>
  <c r="Q74" i="16"/>
  <c r="R74" i="16"/>
  <c r="S74" i="16"/>
  <c r="T74" i="16"/>
  <c r="U74" i="16"/>
  <c r="V74" i="16"/>
  <c r="W74" i="16"/>
  <c r="X74" i="16"/>
  <c r="AD74" i="16" s="1"/>
  <c r="Y74" i="16"/>
  <c r="AE74" i="16" s="1"/>
  <c r="AL74" i="16"/>
  <c r="B75" i="16"/>
  <c r="C75" i="16"/>
  <c r="D75" i="16"/>
  <c r="E75" i="16"/>
  <c r="F75" i="16"/>
  <c r="G75" i="16"/>
  <c r="H75" i="16"/>
  <c r="I75" i="16"/>
  <c r="J75" i="16"/>
  <c r="K75" i="16"/>
  <c r="L75" i="16"/>
  <c r="M75" i="16"/>
  <c r="N75" i="16"/>
  <c r="O75" i="16"/>
  <c r="P75" i="16"/>
  <c r="Q75" i="16"/>
  <c r="R75" i="16"/>
  <c r="S75" i="16"/>
  <c r="T75" i="16"/>
  <c r="U75" i="16"/>
  <c r="V75" i="16"/>
  <c r="W75" i="16"/>
  <c r="X75" i="16"/>
  <c r="Y75" i="16"/>
  <c r="AE75" i="16"/>
  <c r="AL75" i="16"/>
  <c r="B76" i="16"/>
  <c r="C76" i="16"/>
  <c r="D76" i="16"/>
  <c r="E76" i="16"/>
  <c r="F76" i="16"/>
  <c r="G76" i="16"/>
  <c r="H76" i="16"/>
  <c r="I76" i="16"/>
  <c r="J76" i="16"/>
  <c r="K76" i="16"/>
  <c r="L76" i="16"/>
  <c r="M76" i="16"/>
  <c r="N76" i="16"/>
  <c r="O76" i="16"/>
  <c r="P76" i="16"/>
  <c r="Q76" i="16"/>
  <c r="R76" i="16"/>
  <c r="S76" i="16"/>
  <c r="T76" i="16"/>
  <c r="U76" i="16"/>
  <c r="V76" i="16"/>
  <c r="W76" i="16"/>
  <c r="X76" i="16"/>
  <c r="Y76" i="16"/>
  <c r="AE76" i="16" s="1"/>
  <c r="AL76" i="16"/>
  <c r="B77" i="16"/>
  <c r="C77" i="16"/>
  <c r="D77" i="16"/>
  <c r="E77" i="16"/>
  <c r="F77" i="16"/>
  <c r="G77" i="16"/>
  <c r="H77" i="16"/>
  <c r="I77" i="16"/>
  <c r="J77" i="16"/>
  <c r="K77" i="16"/>
  <c r="L77" i="16"/>
  <c r="M77" i="16"/>
  <c r="N77" i="16"/>
  <c r="O77" i="16"/>
  <c r="P77" i="16"/>
  <c r="Q77" i="16"/>
  <c r="R77" i="16"/>
  <c r="S77" i="16"/>
  <c r="T77" i="16"/>
  <c r="U77" i="16"/>
  <c r="V77" i="16"/>
  <c r="W77" i="16"/>
  <c r="AD77" i="16" s="1"/>
  <c r="X77" i="16"/>
  <c r="Y77" i="16"/>
  <c r="AE77" i="16" s="1"/>
  <c r="AL77" i="16"/>
  <c r="B78" i="16"/>
  <c r="C78" i="16"/>
  <c r="D78" i="16"/>
  <c r="E78" i="16"/>
  <c r="F78" i="16"/>
  <c r="G78" i="16"/>
  <c r="H78" i="16"/>
  <c r="I78" i="16"/>
  <c r="J78" i="16"/>
  <c r="K78" i="16"/>
  <c r="L78" i="16"/>
  <c r="M78" i="16"/>
  <c r="N78" i="16"/>
  <c r="O78" i="16"/>
  <c r="P78" i="16"/>
  <c r="Q78" i="16"/>
  <c r="R78" i="16"/>
  <c r="S78" i="16"/>
  <c r="T78" i="16"/>
  <c r="U78" i="16"/>
  <c r="V78" i="16"/>
  <c r="W78" i="16"/>
  <c r="X78" i="16"/>
  <c r="Y78" i="16"/>
  <c r="AE78" i="16" s="1"/>
  <c r="AL78" i="16"/>
  <c r="Z65" i="13"/>
  <c r="Z64" i="13"/>
  <c r="AG297" i="13"/>
  <c r="AF297" i="13"/>
  <c r="AE297" i="13"/>
  <c r="AD297" i="13"/>
  <c r="AC297" i="13"/>
  <c r="AN297" i="13"/>
  <c r="AL297" i="13"/>
  <c r="AK297" i="13"/>
  <c r="AJ297" i="13"/>
  <c r="AI297" i="13"/>
  <c r="AQ186" i="13"/>
  <c r="AP186" i="13"/>
  <c r="AN222" i="13"/>
  <c r="AL222" i="13"/>
  <c r="AK222" i="13"/>
  <c r="AJ222" i="13"/>
  <c r="AI222" i="13"/>
  <c r="AG222" i="13"/>
  <c r="AF222" i="13"/>
  <c r="AE222" i="13"/>
  <c r="AD222" i="13"/>
  <c r="AC222" i="13"/>
  <c r="AF144" i="13"/>
  <c r="AF69" i="13"/>
  <c r="K12" i="10"/>
  <c r="I45" i="10"/>
  <c r="H45" i="10"/>
  <c r="G45" i="10"/>
  <c r="D6" i="10"/>
  <c r="E6" i="10" s="1"/>
  <c r="E5" i="10"/>
  <c r="E4" i="10"/>
  <c r="D5" i="10"/>
  <c r="D4" i="10"/>
  <c r="L11" i="9"/>
  <c r="I67" i="9"/>
  <c r="H67" i="9"/>
  <c r="G67" i="9"/>
  <c r="I13" i="9"/>
  <c r="H13" i="9"/>
  <c r="G13" i="9"/>
  <c r="E6" i="9"/>
  <c r="E5" i="9"/>
  <c r="E4" i="9"/>
  <c r="D5" i="9"/>
  <c r="D6" i="9" s="1"/>
  <c r="F4" i="9" s="1"/>
  <c r="D4" i="9"/>
  <c r="H12" i="8"/>
  <c r="G12" i="8"/>
  <c r="H75" i="8"/>
  <c r="G74" i="8"/>
  <c r="H74" i="8"/>
  <c r="E5" i="8"/>
  <c r="E4" i="8"/>
  <c r="E6" i="8"/>
  <c r="D5" i="8"/>
  <c r="D4" i="8"/>
  <c r="H79" i="7"/>
  <c r="H78" i="7"/>
  <c r="H77" i="7"/>
  <c r="H76" i="7"/>
  <c r="I76" i="7" s="1"/>
  <c r="H75" i="7"/>
  <c r="I75" i="7" s="1"/>
  <c r="I78" i="7"/>
  <c r="I79" i="7"/>
  <c r="I77" i="7"/>
  <c r="F61" i="7"/>
  <c r="E61" i="7"/>
  <c r="F5" i="7"/>
  <c r="F4" i="7"/>
  <c r="E4" i="7"/>
  <c r="E5" i="7"/>
  <c r="E6" i="7"/>
  <c r="D6" i="7"/>
  <c r="D5" i="7"/>
  <c r="D4" i="7"/>
  <c r="O14" i="12"/>
  <c r="O13" i="12"/>
  <c r="O12" i="12"/>
  <c r="O11" i="12"/>
  <c r="O17" i="11"/>
  <c r="O16" i="11"/>
  <c r="O14" i="11"/>
  <c r="O15" i="11"/>
  <c r="O13" i="11"/>
  <c r="O12" i="11"/>
  <c r="O11" i="11"/>
  <c r="O51" i="6"/>
  <c r="O50" i="6"/>
  <c r="O49" i="6"/>
  <c r="O48" i="6"/>
  <c r="O47" i="6"/>
  <c r="G6" i="6"/>
  <c r="G5" i="6"/>
  <c r="O16" i="6"/>
  <c r="O15" i="6"/>
  <c r="O14" i="6"/>
  <c r="O13" i="6"/>
  <c r="O12" i="6"/>
  <c r="O13" i="5"/>
  <c r="O12" i="5"/>
  <c r="G6" i="5"/>
  <c r="G5" i="5"/>
  <c r="O79" i="4"/>
  <c r="O78" i="4"/>
  <c r="O77" i="4"/>
  <c r="O76" i="4"/>
  <c r="O75" i="4"/>
  <c r="G6" i="1"/>
  <c r="G5" i="1"/>
  <c r="H6" i="4"/>
  <c r="H5" i="4"/>
  <c r="G7" i="4"/>
  <c r="G6" i="4"/>
  <c r="G5" i="4"/>
  <c r="O16" i="4"/>
  <c r="O15" i="4"/>
  <c r="O14" i="4"/>
  <c r="O13" i="4"/>
  <c r="O12" i="4"/>
  <c r="Q82" i="1"/>
  <c r="Q81" i="1"/>
  <c r="Q80" i="1"/>
  <c r="Q79" i="1"/>
  <c r="Q78" i="1"/>
  <c r="Q77" i="1"/>
  <c r="Q17" i="1"/>
  <c r="Q16" i="1"/>
  <c r="Q15" i="1"/>
  <c r="Q14" i="1"/>
  <c r="Q13" i="1"/>
  <c r="Q12" i="1"/>
  <c r="N33" i="32" l="1"/>
  <c r="N36" i="32"/>
  <c r="O37" i="32"/>
  <c r="F10" i="32"/>
  <c r="G63" i="32"/>
  <c r="O30" i="32"/>
  <c r="R30" i="32" s="1"/>
  <c r="O29" i="32"/>
  <c r="D7" i="32"/>
  <c r="E20" i="32"/>
  <c r="F38" i="32"/>
  <c r="L10" i="32"/>
  <c r="L11" i="32"/>
  <c r="N34" i="32"/>
  <c r="O33" i="32"/>
  <c r="N45" i="32"/>
  <c r="K17" i="32"/>
  <c r="E54" i="32" s="1"/>
  <c r="E53" i="32" s="1"/>
  <c r="O34" i="32"/>
  <c r="O35" i="32"/>
  <c r="O31" i="32"/>
  <c r="D6" i="32"/>
  <c r="B39" i="32" s="1"/>
  <c r="B38" i="32" s="1"/>
  <c r="D19" i="32"/>
  <c r="I39" i="32" s="1"/>
  <c r="N29" i="32"/>
  <c r="N37" i="32"/>
  <c r="O36" i="32"/>
  <c r="M53" i="32"/>
  <c r="K53" i="32"/>
  <c r="J53" i="32"/>
  <c r="O50" i="32"/>
  <c r="O48" i="32"/>
  <c r="H53" i="32"/>
  <c r="G53" i="32"/>
  <c r="O51" i="32"/>
  <c r="O49" i="32"/>
  <c r="N51" i="32"/>
  <c r="N48" i="32"/>
  <c r="N44" i="32"/>
  <c r="C53" i="32"/>
  <c r="O47" i="32"/>
  <c r="R32" i="32" s="1"/>
  <c r="O52" i="32"/>
  <c r="R37" i="32" s="1"/>
  <c r="O45" i="32"/>
  <c r="N52" i="32"/>
  <c r="N50" i="32"/>
  <c r="N49" i="32"/>
  <c r="N47" i="32"/>
  <c r="O46" i="32"/>
  <c r="N46" i="32"/>
  <c r="O44" i="32"/>
  <c r="L53" i="32"/>
  <c r="P34" i="32"/>
  <c r="J39" i="32"/>
  <c r="J38" i="32" s="1"/>
  <c r="K39" i="32"/>
  <c r="K38" i="32" s="1"/>
  <c r="D17" i="32"/>
  <c r="E39" i="32" s="1"/>
  <c r="E38" i="32" s="1"/>
  <c r="L39" i="32"/>
  <c r="D9" i="32"/>
  <c r="D63" i="32" s="1"/>
  <c r="D18" i="32"/>
  <c r="G39" i="32" s="1"/>
  <c r="G38" i="32" s="1"/>
  <c r="M39" i="32"/>
  <c r="M38" i="32" s="1"/>
  <c r="N30" i="32"/>
  <c r="N35" i="32"/>
  <c r="N32" i="32"/>
  <c r="I38" i="32"/>
  <c r="N31" i="32"/>
  <c r="K8" i="32"/>
  <c r="E11" i="32"/>
  <c r="E10" i="32"/>
  <c r="D16" i="32"/>
  <c r="K19" i="32"/>
  <c r="K9" i="32"/>
  <c r="H54" i="32" s="1"/>
  <c r="K18" i="32"/>
  <c r="G54" i="32" s="1"/>
  <c r="K7" i="32"/>
  <c r="F7" i="32" s="1"/>
  <c r="K6" i="32"/>
  <c r="B54" i="32" s="1"/>
  <c r="B53" i="32" s="1"/>
  <c r="AD73" i="16"/>
  <c r="AC71" i="16"/>
  <c r="AF71" i="16" s="1"/>
  <c r="AG71" i="16" s="1"/>
  <c r="AD68" i="16"/>
  <c r="AD61" i="16"/>
  <c r="AD75" i="16"/>
  <c r="AC74" i="16"/>
  <c r="AF74" i="16" s="1"/>
  <c r="AD71" i="16"/>
  <c r="AC15" i="16"/>
  <c r="AF15" i="16" s="1"/>
  <c r="AG15" i="16" s="1"/>
  <c r="AD31" i="16"/>
  <c r="AG31" i="16" s="1"/>
  <c r="AD17" i="16"/>
  <c r="AC67" i="16"/>
  <c r="AD63" i="16"/>
  <c r="AD60" i="16"/>
  <c r="AD22" i="16"/>
  <c r="AD19" i="16"/>
  <c r="AC19" i="16"/>
  <c r="AD58" i="16"/>
  <c r="AD78" i="16"/>
  <c r="AD76" i="16"/>
  <c r="AD59" i="16"/>
  <c r="AD32" i="16"/>
  <c r="AD14" i="16"/>
  <c r="AC70" i="16"/>
  <c r="AC64" i="16"/>
  <c r="AF64" i="16" s="1"/>
  <c r="AD62" i="16"/>
  <c r="AD28" i="16"/>
  <c r="AD27" i="16"/>
  <c r="AD26" i="16"/>
  <c r="AD24" i="16"/>
  <c r="AD23" i="16"/>
  <c r="AD21" i="16"/>
  <c r="AD18" i="16"/>
  <c r="AC76" i="16"/>
  <c r="AC68" i="16"/>
  <c r="AC18" i="16"/>
  <c r="AD67" i="16"/>
  <c r="AD66" i="16"/>
  <c r="AC63" i="16"/>
  <c r="AC23" i="16"/>
  <c r="AF23" i="16" s="1"/>
  <c r="AD16" i="16"/>
  <c r="AC78" i="16"/>
  <c r="AF78" i="16" s="1"/>
  <c r="AG78" i="16" s="1"/>
  <c r="AC73" i="16"/>
  <c r="AF73" i="16" s="1"/>
  <c r="AC31" i="16"/>
  <c r="AF31" i="16" s="1"/>
  <c r="AD15" i="16"/>
  <c r="AC75" i="16"/>
  <c r="AF75" i="16" s="1"/>
  <c r="AG75" i="16" s="1"/>
  <c r="AD70" i="16"/>
  <c r="AD34" i="16"/>
  <c r="AC16" i="16"/>
  <c r="AG74" i="16"/>
  <c r="AC77" i="16"/>
  <c r="AF77" i="16" s="1"/>
  <c r="AG77" i="16" s="1"/>
  <c r="AC66" i="16"/>
  <c r="AD64" i="16"/>
  <c r="AC60" i="16"/>
  <c r="AF60" i="16" s="1"/>
  <c r="AG60" i="16" s="1"/>
  <c r="AC27" i="16"/>
  <c r="AC24" i="16"/>
  <c r="AF24" i="16" s="1"/>
  <c r="AD20" i="16"/>
  <c r="AC62" i="16"/>
  <c r="AC59" i="16"/>
  <c r="AC34" i="16"/>
  <c r="AC61" i="16"/>
  <c r="AC22" i="16"/>
  <c r="AF22" i="16" s="1"/>
  <c r="AF19" i="16"/>
  <c r="AG19" i="16" s="1"/>
  <c r="AC17" i="16"/>
  <c r="AF17" i="16" s="1"/>
  <c r="AG17" i="16" s="1"/>
  <c r="AC28" i="16"/>
  <c r="AC14" i="16"/>
  <c r="AF14" i="16" s="1"/>
  <c r="AG14" i="16" s="1"/>
  <c r="AR186" i="13"/>
  <c r="F4" i="10"/>
  <c r="F5" i="10"/>
  <c r="F5" i="9"/>
  <c r="D6" i="8"/>
  <c r="F5" i="8" s="1"/>
  <c r="F4" i="8"/>
  <c r="G7" i="6"/>
  <c r="H5" i="6" s="1"/>
  <c r="G7" i="5"/>
  <c r="H5" i="5" s="1"/>
  <c r="G7" i="1"/>
  <c r="H6" i="1" s="1"/>
  <c r="AL66" i="17"/>
  <c r="AC15" i="17"/>
  <c r="AC16" i="17"/>
  <c r="AC17" i="17"/>
  <c r="AC18" i="17"/>
  <c r="AC19" i="17"/>
  <c r="AC21" i="17"/>
  <c r="AC22" i="17"/>
  <c r="AC23" i="17"/>
  <c r="AC24" i="17"/>
  <c r="AC25" i="17"/>
  <c r="AC27" i="17"/>
  <c r="AC28" i="17"/>
  <c r="AC29" i="17"/>
  <c r="AC31" i="17"/>
  <c r="AC32" i="17"/>
  <c r="AC33" i="17"/>
  <c r="AC34" i="17"/>
  <c r="AC35" i="17"/>
  <c r="AC36" i="17"/>
  <c r="AC37" i="17"/>
  <c r="AC38" i="17"/>
  <c r="AC39" i="17"/>
  <c r="AC41" i="17"/>
  <c r="AC42" i="17"/>
  <c r="AC43" i="17"/>
  <c r="AC44" i="17"/>
  <c r="AC45" i="17"/>
  <c r="AC46" i="17"/>
  <c r="AC47" i="17"/>
  <c r="AC49" i="17"/>
  <c r="AC50" i="17"/>
  <c r="AC51" i="17"/>
  <c r="AC52" i="17"/>
  <c r="AC54" i="17"/>
  <c r="AC55" i="17"/>
  <c r="AC57" i="17"/>
  <c r="AC58" i="17"/>
  <c r="AC59" i="17"/>
  <c r="AC60" i="17"/>
  <c r="AC61" i="17"/>
  <c r="AC62" i="17"/>
  <c r="AC63" i="17"/>
  <c r="AC64" i="17"/>
  <c r="AC65" i="17"/>
  <c r="AC66" i="17"/>
  <c r="AC67" i="17"/>
  <c r="AC68" i="17"/>
  <c r="AC69" i="17"/>
  <c r="AC70" i="17"/>
  <c r="AC71" i="17"/>
  <c r="AC72" i="17"/>
  <c r="AC73" i="17"/>
  <c r="AC75" i="17"/>
  <c r="AC76" i="17"/>
  <c r="AC77" i="17"/>
  <c r="AC13" i="17"/>
  <c r="AC14" i="17"/>
  <c r="AC12" i="17"/>
  <c r="AD76" i="17"/>
  <c r="AD77" i="17"/>
  <c r="AD75" i="17"/>
  <c r="AD73" i="17"/>
  <c r="AD71" i="17"/>
  <c r="AD69" i="17"/>
  <c r="AD67" i="17"/>
  <c r="AD65" i="17"/>
  <c r="AD64" i="17"/>
  <c r="AD62" i="17"/>
  <c r="AD55" i="17"/>
  <c r="AD54" i="17"/>
  <c r="AD60" i="17"/>
  <c r="AD59" i="17"/>
  <c r="AD58" i="17"/>
  <c r="AD57" i="17"/>
  <c r="AD50" i="17"/>
  <c r="AD51" i="17"/>
  <c r="AD52" i="17"/>
  <c r="AD49" i="17"/>
  <c r="AD47" i="17"/>
  <c r="AD42" i="17"/>
  <c r="AD43" i="17"/>
  <c r="AD44" i="17"/>
  <c r="AD45" i="17"/>
  <c r="AD41" i="17"/>
  <c r="AD32" i="17"/>
  <c r="AD33" i="17"/>
  <c r="AD34" i="17"/>
  <c r="AD35" i="17"/>
  <c r="AD36" i="17"/>
  <c r="AD37" i="17"/>
  <c r="AD38" i="17"/>
  <c r="AD39" i="17"/>
  <c r="AD31" i="17"/>
  <c r="AD25" i="17"/>
  <c r="AD29" i="17"/>
  <c r="AD28" i="17"/>
  <c r="AD27" i="17"/>
  <c r="AD22" i="17"/>
  <c r="AD23" i="17"/>
  <c r="AD21" i="17"/>
  <c r="AD72" i="17"/>
  <c r="AD70" i="17"/>
  <c r="AD68" i="17"/>
  <c r="AD66" i="17"/>
  <c r="AD63" i="17"/>
  <c r="AD61" i="17"/>
  <c r="AD46" i="17"/>
  <c r="AD24" i="17"/>
  <c r="AD13" i="17"/>
  <c r="AD14" i="17"/>
  <c r="AD15" i="17"/>
  <c r="AD16" i="17"/>
  <c r="AD17" i="17"/>
  <c r="AD18" i="17"/>
  <c r="AD19" i="17"/>
  <c r="D39" i="32" l="1"/>
  <c r="D38" i="32" s="1"/>
  <c r="Q33" i="32"/>
  <c r="Q36" i="32"/>
  <c r="P31" i="32"/>
  <c r="Q31" i="32"/>
  <c r="C39" i="32"/>
  <c r="C38" i="32" s="1"/>
  <c r="R36" i="32"/>
  <c r="R34" i="32"/>
  <c r="P37" i="32"/>
  <c r="Q37" i="32"/>
  <c r="P30" i="32"/>
  <c r="Q30" i="32"/>
  <c r="R33" i="32"/>
  <c r="P32" i="32"/>
  <c r="Q32" i="32"/>
  <c r="P35" i="32"/>
  <c r="Q35" i="32"/>
  <c r="L7" i="32"/>
  <c r="D54" i="32"/>
  <c r="D53" i="32" s="1"/>
  <c r="Q34" i="32"/>
  <c r="P29" i="32"/>
  <c r="Q29" i="32"/>
  <c r="F8" i="32"/>
  <c r="F54" i="32"/>
  <c r="F53" i="32" s="1"/>
  <c r="P45" i="32"/>
  <c r="R31" i="32"/>
  <c r="P36" i="32"/>
  <c r="R35" i="32"/>
  <c r="P33" i="32"/>
  <c r="R29" i="32"/>
  <c r="P50" i="32"/>
  <c r="E19" i="32"/>
  <c r="I54" i="32"/>
  <c r="P48" i="32"/>
  <c r="P51" i="32"/>
  <c r="P49" i="32"/>
  <c r="P44" i="32"/>
  <c r="P47" i="32"/>
  <c r="P52" i="32"/>
  <c r="P46" i="32"/>
  <c r="L9" i="32"/>
  <c r="E17" i="32"/>
  <c r="E7" i="32"/>
  <c r="E9" i="32"/>
  <c r="H39" i="32"/>
  <c r="H38" i="32" s="1"/>
  <c r="D12" i="32"/>
  <c r="E18" i="32"/>
  <c r="E8" i="32"/>
  <c r="L38" i="32"/>
  <c r="F9" i="32"/>
  <c r="K22" i="32"/>
  <c r="E16" i="32"/>
  <c r="L6" i="32"/>
  <c r="F6" i="32"/>
  <c r="E6" i="32"/>
  <c r="L8" i="32"/>
  <c r="D22" i="32"/>
  <c r="K12" i="32"/>
  <c r="AF18" i="16"/>
  <c r="AG18" i="16" s="1"/>
  <c r="AF61" i="16"/>
  <c r="AF76" i="16"/>
  <c r="AG76" i="16"/>
  <c r="AG64" i="16"/>
  <c r="AF16" i="16"/>
  <c r="AG16" i="16" s="1"/>
  <c r="AF34" i="16"/>
  <c r="AG34" i="16" s="1"/>
  <c r="AF63" i="16"/>
  <c r="AG63" i="16" s="1"/>
  <c r="AF28" i="16"/>
  <c r="AG28" i="16" s="1"/>
  <c r="AF59" i="16"/>
  <c r="AG59" i="16" s="1"/>
  <c r="AF67" i="16"/>
  <c r="AG67" i="16" s="1"/>
  <c r="AF62" i="16"/>
  <c r="AG62" i="16" s="1"/>
  <c r="AF70" i="16"/>
  <c r="AG70" i="16" s="1"/>
  <c r="H6" i="6"/>
  <c r="H5" i="1"/>
  <c r="H6" i="5"/>
  <c r="AD12" i="17"/>
  <c r="O39" i="32" l="1"/>
  <c r="E12" i="32"/>
  <c r="N54" i="32"/>
  <c r="N53" i="32" s="1"/>
  <c r="O54" i="32"/>
  <c r="I53" i="32"/>
  <c r="N39" i="32"/>
  <c r="Q39" i="32" s="1"/>
  <c r="L12" i="32"/>
  <c r="E22" i="32"/>
  <c r="F12" i="32"/>
  <c r="R39" i="32" l="1"/>
  <c r="S32" i="32"/>
  <c r="S37" i="32"/>
  <c r="S30" i="32"/>
  <c r="S34" i="32"/>
  <c r="O38" i="32"/>
  <c r="S29" i="32"/>
  <c r="S36" i="32"/>
  <c r="S31" i="32"/>
  <c r="S33" i="32"/>
  <c r="S35" i="32"/>
  <c r="P54" i="32"/>
  <c r="O53" i="32"/>
  <c r="N38" i="32"/>
  <c r="Q38" i="32" s="1"/>
  <c r="P39" i="32"/>
  <c r="I74" i="8"/>
  <c r="I12" i="8"/>
  <c r="AB362" i="13"/>
  <c r="E121" i="7"/>
  <c r="E123" i="7"/>
  <c r="E125" i="7"/>
  <c r="E129" i="7"/>
  <c r="E127" i="7"/>
  <c r="E118" i="7"/>
  <c r="E116" i="7"/>
  <c r="S38" i="32" l="1"/>
  <c r="R38" i="32"/>
  <c r="AQ27" i="18"/>
  <c r="AQ26" i="18"/>
  <c r="AQ25" i="18"/>
  <c r="AL41" i="18"/>
  <c r="AL40" i="18"/>
  <c r="AL39" i="18"/>
  <c r="AL38" i="18"/>
  <c r="AL37" i="18"/>
  <c r="AL36" i="18"/>
  <c r="AL35" i="18"/>
  <c r="AL34" i="18"/>
  <c r="AL33" i="18"/>
  <c r="AL32" i="18"/>
  <c r="AL31" i="18"/>
  <c r="AL30" i="18"/>
  <c r="AL29" i="18"/>
  <c r="AL28" i="18"/>
  <c r="AL27" i="18"/>
  <c r="AR30" i="17"/>
  <c r="AR31" i="17"/>
  <c r="AR29" i="17"/>
  <c r="AR28" i="17"/>
  <c r="AR27" i="17"/>
  <c r="AR26" i="17"/>
  <c r="AL35" i="17"/>
  <c r="AL36" i="17"/>
  <c r="AL37" i="17"/>
  <c r="AL38" i="17"/>
  <c r="AL39" i="17"/>
  <c r="AL40" i="17"/>
  <c r="AL41" i="17"/>
  <c r="AL42" i="17"/>
  <c r="AL43" i="17"/>
  <c r="AL44" i="17"/>
  <c r="AL45" i="17"/>
  <c r="AL46" i="17"/>
  <c r="AL47" i="17"/>
  <c r="AL48" i="17"/>
  <c r="AL49" i="17"/>
  <c r="AL50" i="17"/>
  <c r="AL51" i="17"/>
  <c r="AL52" i="17"/>
  <c r="AL53" i="17"/>
  <c r="AL54" i="17"/>
  <c r="AL55" i="17"/>
  <c r="AL56" i="17"/>
  <c r="AL57" i="17"/>
  <c r="AL58" i="17"/>
  <c r="AL59" i="17"/>
  <c r="AL60" i="17"/>
  <c r="AL61" i="17"/>
  <c r="AL62" i="17"/>
  <c r="AL63" i="17"/>
  <c r="AL64" i="17"/>
  <c r="AL65" i="17"/>
  <c r="AL34" i="17"/>
  <c r="AL33" i="17"/>
  <c r="AL32" i="17"/>
  <c r="AL31" i="17"/>
  <c r="AL30" i="17"/>
  <c r="AL29" i="17"/>
  <c r="AL28" i="17"/>
  <c r="AQ156" i="16"/>
  <c r="AQ155" i="16"/>
  <c r="AQ154" i="16"/>
  <c r="AL161" i="16"/>
  <c r="AL160" i="16"/>
  <c r="AL159" i="16"/>
  <c r="AL158" i="16"/>
  <c r="AL157" i="16"/>
  <c r="AL156" i="16"/>
  <c r="AR111" i="16"/>
  <c r="AR108" i="16"/>
  <c r="AR110" i="16"/>
  <c r="AR109" i="16"/>
  <c r="AL119" i="16"/>
  <c r="AL118" i="16"/>
  <c r="AL117" i="16"/>
  <c r="AL116" i="16"/>
  <c r="AL115" i="16"/>
  <c r="AL114" i="16"/>
  <c r="AL113" i="16"/>
  <c r="AL112" i="16"/>
  <c r="AL111" i="16"/>
  <c r="AL110" i="16"/>
  <c r="AQ240" i="16"/>
  <c r="AQ239" i="16"/>
  <c r="AQ238" i="16"/>
  <c r="AL242" i="16"/>
  <c r="AL241" i="16"/>
  <c r="AL240" i="16"/>
  <c r="AL239" i="16"/>
  <c r="AQ193" i="16"/>
  <c r="AQ196" i="16"/>
  <c r="AQ195" i="16"/>
  <c r="AQ194" i="16"/>
  <c r="AL201" i="16"/>
  <c r="AL200" i="16"/>
  <c r="AL199" i="16"/>
  <c r="AL198" i="16"/>
  <c r="AL197" i="16"/>
  <c r="AL196" i="16"/>
  <c r="AL195" i="16"/>
  <c r="AR97" i="15"/>
  <c r="AR96" i="15"/>
  <c r="AM109" i="15"/>
  <c r="AM108" i="15"/>
  <c r="AM107" i="15"/>
  <c r="AM106" i="15"/>
  <c r="AM105" i="15"/>
  <c r="AM104" i="15"/>
  <c r="AM103" i="15"/>
  <c r="AM102" i="15"/>
  <c r="AM101" i="15"/>
  <c r="AM100" i="15"/>
  <c r="AM99" i="15"/>
  <c r="AM98" i="15"/>
  <c r="AR34" i="15"/>
  <c r="AR33" i="15"/>
  <c r="AR32" i="15"/>
  <c r="AR31" i="15"/>
  <c r="AM46" i="15"/>
  <c r="AM47" i="15"/>
  <c r="AM48" i="15"/>
  <c r="AM49" i="15"/>
  <c r="AM50" i="15"/>
  <c r="AM45" i="15"/>
  <c r="AM44" i="15"/>
  <c r="AM43" i="15"/>
  <c r="AM42" i="15"/>
  <c r="AM41" i="15"/>
  <c r="AM40" i="15"/>
  <c r="AM39" i="15"/>
  <c r="AM38" i="15"/>
  <c r="AM37" i="15"/>
  <c r="AM36" i="15"/>
  <c r="AM35" i="15"/>
  <c r="AM34" i="15"/>
  <c r="AR211" i="15"/>
  <c r="AR210" i="15"/>
  <c r="AM224" i="15"/>
  <c r="AM223" i="15"/>
  <c r="AM222" i="15"/>
  <c r="AM221" i="15"/>
  <c r="AM220" i="15"/>
  <c r="AM219" i="15"/>
  <c r="AM218" i="15"/>
  <c r="AM217" i="15"/>
  <c r="AM216" i="15"/>
  <c r="AM215" i="15"/>
  <c r="AM214" i="15"/>
  <c r="AM213" i="15"/>
  <c r="AR145" i="15"/>
  <c r="AR144" i="15"/>
  <c r="AR143" i="15"/>
  <c r="AM158" i="15"/>
  <c r="AM157" i="15"/>
  <c r="AM156" i="15"/>
  <c r="AM155" i="15"/>
  <c r="AM154" i="15"/>
  <c r="AM153" i="15"/>
  <c r="AM152" i="15"/>
  <c r="AM151" i="15"/>
  <c r="AM150" i="15"/>
  <c r="AM149" i="15"/>
  <c r="AM148" i="15"/>
  <c r="AM147" i="15"/>
  <c r="AM146" i="15"/>
  <c r="AM145" i="15"/>
  <c r="AR329" i="15"/>
  <c r="AR328" i="15"/>
  <c r="AM332" i="15"/>
  <c r="AM331" i="15"/>
  <c r="AM330" i="15"/>
  <c r="AS264" i="15"/>
  <c r="AS263" i="15"/>
  <c r="AS262" i="15"/>
  <c r="AS261" i="15"/>
  <c r="AS260" i="15"/>
  <c r="AS259" i="15"/>
  <c r="AM266" i="15"/>
  <c r="AM265" i="15"/>
  <c r="AM264" i="15"/>
  <c r="AM263" i="15"/>
  <c r="AM262" i="15"/>
  <c r="AM261" i="15"/>
  <c r="AM260" i="15"/>
  <c r="AQ113" i="14" l="1"/>
  <c r="AQ114" i="14"/>
  <c r="AQ108" i="14"/>
  <c r="AQ112" i="14"/>
  <c r="AQ111" i="14"/>
  <c r="AQ110" i="14"/>
  <c r="AQ109" i="14"/>
  <c r="AL129" i="14"/>
  <c r="AL128" i="14"/>
  <c r="AL127" i="14"/>
  <c r="AL126" i="14"/>
  <c r="AL125" i="14"/>
  <c r="AL124" i="14"/>
  <c r="AL123" i="14"/>
  <c r="AL122" i="14"/>
  <c r="AL121" i="14"/>
  <c r="AL120" i="14"/>
  <c r="AL119" i="14"/>
  <c r="AL118" i="14"/>
  <c r="AL117" i="14"/>
  <c r="AL116" i="14"/>
  <c r="AL115" i="14"/>
  <c r="AL114" i="14"/>
  <c r="AL113" i="14"/>
  <c r="AL112" i="14"/>
  <c r="AL111" i="14"/>
  <c r="AL110" i="14"/>
  <c r="AQ337" i="14"/>
  <c r="AQ336" i="14"/>
  <c r="AQ412" i="14"/>
  <c r="AQ413" i="14"/>
  <c r="AQ183" i="14"/>
  <c r="AQ182" i="14"/>
  <c r="AQ260" i="14"/>
  <c r="AQ261" i="14"/>
  <c r="AQ29" i="14"/>
  <c r="AQ30" i="14"/>
  <c r="AQ35" i="14"/>
  <c r="AQ36" i="14"/>
  <c r="AQ34" i="14"/>
  <c r="AQ33" i="14"/>
  <c r="AQ32" i="14"/>
  <c r="AQ31" i="14"/>
  <c r="AL59" i="14"/>
  <c r="AL60" i="14"/>
  <c r="AL61" i="14"/>
  <c r="AL62" i="14"/>
  <c r="AL58" i="14"/>
  <c r="AL57" i="14"/>
  <c r="AL56" i="14"/>
  <c r="AL55" i="14"/>
  <c r="AL54" i="14"/>
  <c r="AL53" i="14"/>
  <c r="AL52" i="14"/>
  <c r="AL51" i="14"/>
  <c r="AL50" i="14"/>
  <c r="AL49" i="14"/>
  <c r="AL48" i="14"/>
  <c r="AL47" i="14"/>
  <c r="AL46" i="14"/>
  <c r="AL45" i="14"/>
  <c r="AL44" i="14"/>
  <c r="AL43" i="14"/>
  <c r="AL42" i="14"/>
  <c r="AL41" i="14"/>
  <c r="AL40" i="14"/>
  <c r="AL39" i="14"/>
  <c r="AL38" i="14"/>
  <c r="AL37" i="14"/>
  <c r="AL36" i="14"/>
  <c r="AL35" i="14"/>
  <c r="AL34" i="14"/>
  <c r="AL33" i="14"/>
  <c r="AQ266" i="14"/>
  <c r="AQ265" i="14"/>
  <c r="AQ264" i="14"/>
  <c r="AQ263" i="14"/>
  <c r="AQ262" i="14"/>
  <c r="AL277" i="14"/>
  <c r="AL276" i="14"/>
  <c r="AL275" i="14"/>
  <c r="AL274" i="14"/>
  <c r="AL273" i="14"/>
  <c r="AL272" i="14"/>
  <c r="AL271" i="14"/>
  <c r="AL270" i="14"/>
  <c r="AL269" i="14"/>
  <c r="AL268" i="14"/>
  <c r="AL267" i="14"/>
  <c r="AL266" i="14"/>
  <c r="AL265" i="14"/>
  <c r="AL264" i="14"/>
  <c r="AL263" i="14"/>
  <c r="AL262" i="14"/>
  <c r="AL261" i="14"/>
  <c r="AQ186" i="14"/>
  <c r="AQ185" i="14"/>
  <c r="AQ184" i="14"/>
  <c r="AL206" i="14"/>
  <c r="AL205" i="14"/>
  <c r="AL204" i="14"/>
  <c r="AL203" i="14"/>
  <c r="AL202" i="14"/>
  <c r="AL201" i="14"/>
  <c r="AL200" i="14"/>
  <c r="AL199" i="14"/>
  <c r="AL198" i="14"/>
  <c r="AL197" i="14"/>
  <c r="AL196" i="14"/>
  <c r="AL195" i="14"/>
  <c r="AL194" i="14"/>
  <c r="AL193" i="14"/>
  <c r="AL192" i="14"/>
  <c r="AL191" i="14"/>
  <c r="AL190" i="14"/>
  <c r="AL189" i="14"/>
  <c r="AL188" i="14"/>
  <c r="AL187" i="14"/>
  <c r="AL186" i="14"/>
  <c r="AL185" i="14"/>
  <c r="AL184" i="14"/>
  <c r="AQ417" i="14"/>
  <c r="AQ416" i="14"/>
  <c r="AQ415" i="14"/>
  <c r="AQ414" i="14"/>
  <c r="AL428" i="14"/>
  <c r="AL427" i="14"/>
  <c r="AL426" i="14"/>
  <c r="AL425" i="14"/>
  <c r="AL424" i="14"/>
  <c r="AL423" i="14"/>
  <c r="AL422" i="14"/>
  <c r="AL421" i="14"/>
  <c r="AL420" i="14"/>
  <c r="AL419" i="14"/>
  <c r="AL418" i="14"/>
  <c r="AL417" i="14"/>
  <c r="AL416" i="14"/>
  <c r="AL415" i="14"/>
  <c r="AQ342" i="14"/>
  <c r="AQ341" i="14"/>
  <c r="AQ340" i="14"/>
  <c r="AQ339" i="14"/>
  <c r="AQ338" i="14"/>
  <c r="AL356" i="14"/>
  <c r="AL357" i="14"/>
  <c r="AL355" i="14"/>
  <c r="AL354" i="14"/>
  <c r="AL353" i="14"/>
  <c r="AL352" i="14"/>
  <c r="AL351" i="14"/>
  <c r="AL350" i="14"/>
  <c r="AL349" i="14"/>
  <c r="AL348" i="14"/>
  <c r="AL347" i="14"/>
  <c r="AL346" i="14"/>
  <c r="AL345" i="14"/>
  <c r="AL344" i="14"/>
  <c r="AL343" i="14"/>
  <c r="AL342" i="14"/>
  <c r="AL341" i="14"/>
  <c r="AL340" i="14"/>
  <c r="AL339" i="14"/>
  <c r="AL338" i="14"/>
  <c r="F34" i="31"/>
  <c r="F35" i="31"/>
  <c r="F36" i="31"/>
  <c r="F37" i="31"/>
  <c r="F38" i="31"/>
  <c r="F39" i="31"/>
  <c r="F40" i="31"/>
  <c r="F41" i="31"/>
  <c r="F42" i="31"/>
  <c r="F43" i="31"/>
  <c r="F44" i="31"/>
  <c r="F46" i="31"/>
  <c r="F33" i="31"/>
  <c r="C34" i="31"/>
  <c r="C35" i="31"/>
  <c r="C36" i="31"/>
  <c r="C37" i="31"/>
  <c r="C38" i="31"/>
  <c r="C39" i="31"/>
  <c r="C40" i="31"/>
  <c r="C41" i="31"/>
  <c r="C42" i="31"/>
  <c r="C43" i="31"/>
  <c r="C44" i="31"/>
  <c r="C46" i="31"/>
  <c r="C33" i="31"/>
  <c r="E45" i="31"/>
  <c r="F45" i="31" s="1"/>
  <c r="B45" i="31"/>
  <c r="C45" i="31" s="1"/>
  <c r="F11" i="31"/>
  <c r="F12" i="31"/>
  <c r="F13" i="31"/>
  <c r="F14" i="31"/>
  <c r="F15" i="31"/>
  <c r="F16" i="31"/>
  <c r="F17" i="31"/>
  <c r="F18" i="31"/>
  <c r="F19" i="31"/>
  <c r="F20" i="31"/>
  <c r="F21" i="31"/>
  <c r="F23" i="31"/>
  <c r="F10" i="31"/>
  <c r="C11" i="31"/>
  <c r="C12" i="31"/>
  <c r="C13" i="31"/>
  <c r="C14" i="31"/>
  <c r="C15" i="31"/>
  <c r="C16" i="31"/>
  <c r="C17" i="31"/>
  <c r="C18" i="31"/>
  <c r="C19" i="31"/>
  <c r="C20" i="31"/>
  <c r="C21" i="31"/>
  <c r="C23" i="31"/>
  <c r="C10" i="31"/>
  <c r="E22" i="31"/>
  <c r="F22" i="31" s="1"/>
  <c r="B22" i="31"/>
  <c r="C22" i="31" s="1"/>
  <c r="F38" i="30" l="1"/>
  <c r="F39" i="30"/>
  <c r="F40" i="30"/>
  <c r="F41" i="30"/>
  <c r="F42" i="30"/>
  <c r="F43" i="30"/>
  <c r="F44" i="30"/>
  <c r="F45" i="30"/>
  <c r="F46" i="30"/>
  <c r="F47" i="30"/>
  <c r="F48" i="30"/>
  <c r="F49" i="30"/>
  <c r="F50" i="30"/>
  <c r="F51" i="30"/>
  <c r="F52" i="30"/>
  <c r="F53" i="30"/>
  <c r="F54" i="30"/>
  <c r="F56" i="30"/>
  <c r="F37" i="30"/>
  <c r="C38" i="30"/>
  <c r="C39" i="30"/>
  <c r="C40" i="30"/>
  <c r="C41" i="30"/>
  <c r="C42" i="30"/>
  <c r="C43" i="30"/>
  <c r="C44" i="30"/>
  <c r="C45" i="30"/>
  <c r="C46" i="30"/>
  <c r="C47" i="30"/>
  <c r="C48" i="30"/>
  <c r="C49" i="30"/>
  <c r="C50" i="30"/>
  <c r="C51" i="30"/>
  <c r="C52" i="30"/>
  <c r="C53" i="30"/>
  <c r="C54" i="30"/>
  <c r="C56" i="30"/>
  <c r="C37" i="30"/>
  <c r="E55" i="30"/>
  <c r="F55" i="30" s="1"/>
  <c r="B55" i="30"/>
  <c r="C55" i="30" s="1"/>
  <c r="B28" i="30"/>
  <c r="C28" i="30" s="1"/>
  <c r="F11" i="30"/>
  <c r="F12" i="30"/>
  <c r="F13" i="30"/>
  <c r="F14" i="30"/>
  <c r="F15" i="30"/>
  <c r="F16" i="30"/>
  <c r="F17" i="30"/>
  <c r="F18" i="30"/>
  <c r="F19" i="30"/>
  <c r="F20" i="30"/>
  <c r="F21" i="30"/>
  <c r="F22" i="30"/>
  <c r="F23" i="30"/>
  <c r="F24" i="30"/>
  <c r="F25" i="30"/>
  <c r="F26" i="30"/>
  <c r="F27" i="30"/>
  <c r="F29" i="30"/>
  <c r="F10" i="30"/>
  <c r="C11" i="30"/>
  <c r="C12" i="30"/>
  <c r="C13" i="30"/>
  <c r="C14" i="30"/>
  <c r="C15" i="30"/>
  <c r="C16" i="30"/>
  <c r="C17" i="30"/>
  <c r="C18" i="30"/>
  <c r="C19" i="30"/>
  <c r="C20" i="30"/>
  <c r="C21" i="30"/>
  <c r="C22" i="30"/>
  <c r="C23" i="30"/>
  <c r="C24" i="30"/>
  <c r="C25" i="30"/>
  <c r="C26" i="30"/>
  <c r="C27" i="30"/>
  <c r="C29" i="30"/>
  <c r="C10" i="30"/>
  <c r="E28" i="30"/>
  <c r="F28" i="30" s="1"/>
  <c r="S72" i="26"/>
  <c r="S79" i="26"/>
  <c r="S71" i="26"/>
  <c r="S74" i="26"/>
  <c r="S70" i="26"/>
  <c r="S73" i="26"/>
  <c r="S77" i="26"/>
  <c r="S78" i="26"/>
  <c r="S75" i="26"/>
  <c r="S76" i="26"/>
  <c r="S43" i="26"/>
  <c r="S51" i="26"/>
  <c r="S42" i="26"/>
  <c r="S46" i="26"/>
  <c r="S44" i="26"/>
  <c r="S50" i="26"/>
  <c r="S49" i="26"/>
  <c r="S48" i="26"/>
  <c r="S47" i="26"/>
  <c r="S45" i="26"/>
  <c r="S16" i="26"/>
  <c r="S23" i="26"/>
  <c r="S14" i="26"/>
  <c r="S18" i="26"/>
  <c r="S15" i="26"/>
  <c r="S17" i="26"/>
  <c r="S21" i="26"/>
  <c r="S22" i="26"/>
  <c r="S19" i="26"/>
  <c r="S20" i="26"/>
  <c r="S78" i="25"/>
  <c r="S75" i="25"/>
  <c r="S76" i="25"/>
  <c r="S74" i="25"/>
  <c r="S79" i="25"/>
  <c r="S80" i="25"/>
  <c r="S81" i="25"/>
  <c r="S83" i="25"/>
  <c r="S82" i="25"/>
  <c r="S77" i="25"/>
  <c r="S45" i="25"/>
  <c r="S44" i="25"/>
  <c r="S51" i="25"/>
  <c r="S46" i="25"/>
  <c r="S47" i="25"/>
  <c r="S53" i="25"/>
  <c r="S49" i="25"/>
  <c r="S52" i="25"/>
  <c r="S48" i="25"/>
  <c r="S50" i="25"/>
  <c r="S17" i="25"/>
  <c r="S15" i="25"/>
  <c r="S16" i="25"/>
  <c r="S14" i="25"/>
  <c r="S19" i="25"/>
  <c r="S20" i="25"/>
  <c r="S21" i="25"/>
  <c r="S23" i="25"/>
  <c r="S22" i="25"/>
  <c r="S18" i="25"/>
  <c r="S88" i="24"/>
  <c r="S87" i="24"/>
  <c r="S86" i="24"/>
  <c r="S85" i="24"/>
  <c r="S84" i="24"/>
  <c r="S89" i="24"/>
  <c r="S93" i="24"/>
  <c r="S90" i="24"/>
  <c r="S92" i="24"/>
  <c r="S91" i="24"/>
  <c r="S53" i="24"/>
  <c r="S50" i="24"/>
  <c r="S52" i="24"/>
  <c r="S51" i="24"/>
  <c r="S49" i="24"/>
  <c r="S55" i="24"/>
  <c r="S54" i="24"/>
  <c r="S58" i="24"/>
  <c r="S57" i="24"/>
  <c r="S56" i="24"/>
  <c r="S18" i="24"/>
  <c r="S17" i="24"/>
  <c r="S16" i="24"/>
  <c r="S15" i="24"/>
  <c r="S14" i="24"/>
  <c r="S19" i="24"/>
  <c r="S22" i="24"/>
  <c r="S20" i="24"/>
  <c r="S23" i="24"/>
  <c r="S21" i="24"/>
  <c r="S121" i="23"/>
  <c r="S122" i="23"/>
  <c r="S119" i="23"/>
  <c r="S118" i="23"/>
  <c r="S120" i="23"/>
  <c r="S124" i="23"/>
  <c r="S127" i="23"/>
  <c r="S123" i="23"/>
  <c r="S125" i="23"/>
  <c r="S126" i="23"/>
  <c r="S71" i="23"/>
  <c r="S68" i="23"/>
  <c r="S67" i="23"/>
  <c r="S66" i="23"/>
  <c r="S75" i="23"/>
  <c r="S74" i="23"/>
  <c r="S73" i="23"/>
  <c r="S69" i="23"/>
  <c r="S72" i="23"/>
  <c r="S70" i="23"/>
  <c r="S17" i="23"/>
  <c r="S18" i="23"/>
  <c r="S15" i="23"/>
  <c r="S14" i="23"/>
  <c r="S16" i="23"/>
  <c r="S20" i="23"/>
  <c r="S23" i="23"/>
  <c r="S19" i="23"/>
  <c r="S21" i="23"/>
  <c r="S22" i="23"/>
  <c r="S137" i="22"/>
  <c r="S142" i="22"/>
  <c r="S143" i="22"/>
  <c r="S138" i="22"/>
  <c r="S139" i="22"/>
  <c r="S136" i="22"/>
  <c r="S140" i="22"/>
  <c r="S145" i="22"/>
  <c r="S144" i="22"/>
  <c r="S141" i="22"/>
  <c r="S76" i="22"/>
  <c r="S81" i="22"/>
  <c r="S77" i="22"/>
  <c r="S78" i="22"/>
  <c r="S79" i="22"/>
  <c r="S75" i="22"/>
  <c r="S82" i="22"/>
  <c r="S80" i="22"/>
  <c r="S84" i="22"/>
  <c r="S83" i="22"/>
  <c r="S15" i="22"/>
  <c r="S21" i="22"/>
  <c r="S19" i="22"/>
  <c r="S16" i="22"/>
  <c r="S17" i="22"/>
  <c r="S14" i="22"/>
  <c r="S18" i="22"/>
  <c r="S22" i="22"/>
  <c r="S23" i="22"/>
  <c r="S20" i="22"/>
  <c r="S137" i="21"/>
  <c r="S141" i="21"/>
  <c r="S142" i="21"/>
  <c r="S140" i="21"/>
  <c r="S138" i="21"/>
  <c r="S136" i="21"/>
  <c r="S144" i="21"/>
  <c r="S145" i="21"/>
  <c r="S143" i="21"/>
  <c r="S139" i="21"/>
  <c r="S76" i="21"/>
  <c r="S82" i="21"/>
  <c r="S81" i="21"/>
  <c r="S79" i="21"/>
  <c r="S77" i="21"/>
  <c r="S75" i="21"/>
  <c r="S80" i="21"/>
  <c r="S83" i="21"/>
  <c r="S78" i="21"/>
  <c r="S84" i="21"/>
  <c r="S15" i="21"/>
  <c r="S20" i="21"/>
  <c r="S21" i="21"/>
  <c r="S17" i="21"/>
  <c r="S16" i="21"/>
  <c r="S14" i="21"/>
  <c r="S22" i="21"/>
  <c r="S23" i="21"/>
  <c r="S19" i="21"/>
  <c r="S18" i="21"/>
  <c r="AR107" i="13"/>
  <c r="AR108" i="13"/>
  <c r="AR109" i="13"/>
  <c r="AR110" i="13"/>
  <c r="AR106" i="13"/>
  <c r="AM109" i="13"/>
  <c r="AM110" i="13"/>
  <c r="AM111" i="13"/>
  <c r="AM112" i="13"/>
  <c r="AM113" i="13"/>
  <c r="AM114" i="13"/>
  <c r="AM115" i="13"/>
  <c r="AM116" i="13"/>
  <c r="AM117" i="13"/>
  <c r="AM118" i="13"/>
  <c r="AM119" i="13"/>
  <c r="AM120" i="13"/>
  <c r="AM121" i="13"/>
  <c r="AM122" i="13"/>
  <c r="AM123" i="13"/>
  <c r="AM124" i="13"/>
  <c r="AM125" i="13"/>
  <c r="AM126" i="13"/>
  <c r="AM127" i="13"/>
  <c r="AM108"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31" i="13"/>
  <c r="AR36" i="13"/>
  <c r="AR31" i="13"/>
  <c r="AR32" i="13"/>
  <c r="AR33" i="13"/>
  <c r="AR34" i="13"/>
  <c r="AR35" i="13"/>
  <c r="AR30" i="13"/>
  <c r="AR260" i="13"/>
  <c r="AR261" i="13"/>
  <c r="AR262" i="13"/>
  <c r="AR263" i="13"/>
  <c r="AR264" i="13"/>
  <c r="AR259" i="13"/>
  <c r="AM262" i="13"/>
  <c r="AM263" i="13"/>
  <c r="AM264" i="13"/>
  <c r="AM265" i="13"/>
  <c r="AM266" i="13"/>
  <c r="AM267" i="13"/>
  <c r="AM268" i="13"/>
  <c r="AM269" i="13"/>
  <c r="AM270" i="13"/>
  <c r="AM271" i="13"/>
  <c r="AM272" i="13"/>
  <c r="AM273" i="13"/>
  <c r="AM274" i="13"/>
  <c r="AM275" i="13"/>
  <c r="AM276" i="13"/>
  <c r="AM277" i="13"/>
  <c r="AM278" i="13"/>
  <c r="AM279" i="13"/>
  <c r="AM280" i="13"/>
  <c r="AM281" i="13"/>
  <c r="AM282" i="13"/>
  <c r="AM283" i="13"/>
  <c r="AM284" i="13"/>
  <c r="AM285" i="13"/>
  <c r="AM286" i="13"/>
  <c r="AM287" i="13"/>
  <c r="AM261" i="13"/>
  <c r="AR181" i="13"/>
  <c r="AR182" i="13"/>
  <c r="AR183" i="13"/>
  <c r="AR184" i="13"/>
  <c r="AR185" i="13"/>
  <c r="AR180" i="13"/>
  <c r="AQ412" i="13"/>
  <c r="AQ413" i="13"/>
  <c r="AM183" i="13"/>
  <c r="AM184" i="13"/>
  <c r="AM185" i="13"/>
  <c r="AM186" i="13"/>
  <c r="AM187" i="13"/>
  <c r="AM188" i="13"/>
  <c r="AM189" i="13"/>
  <c r="AM190" i="13"/>
  <c r="AM191" i="13"/>
  <c r="AM192" i="13"/>
  <c r="AM193" i="13"/>
  <c r="AM194" i="13"/>
  <c r="AM195" i="13"/>
  <c r="AM196" i="13"/>
  <c r="AM197" i="13"/>
  <c r="AM198" i="13"/>
  <c r="AM199" i="13"/>
  <c r="AM200" i="13"/>
  <c r="AM201" i="13"/>
  <c r="AM202" i="13"/>
  <c r="AM203" i="13"/>
  <c r="AM204" i="13"/>
  <c r="AM205" i="13"/>
  <c r="AM182" i="13"/>
  <c r="AQ419" i="13"/>
  <c r="AQ414" i="13"/>
  <c r="AQ415" i="13"/>
  <c r="AQ416" i="13"/>
  <c r="AQ417" i="13"/>
  <c r="AQ418" i="13"/>
  <c r="AL415" i="13"/>
  <c r="AL416" i="13"/>
  <c r="AL417" i="13"/>
  <c r="AL418" i="13"/>
  <c r="AL419" i="13"/>
  <c r="AL420" i="13"/>
  <c r="AL421" i="13"/>
  <c r="AL422" i="13"/>
  <c r="AL423" i="13"/>
  <c r="AL424" i="13"/>
  <c r="AL425" i="13"/>
  <c r="AL426" i="13"/>
  <c r="AL427" i="13"/>
  <c r="AL414" i="13"/>
  <c r="AQ335" i="13"/>
  <c r="AQ336" i="13"/>
  <c r="AQ337" i="13"/>
  <c r="AQ338" i="13"/>
  <c r="AQ339" i="13"/>
  <c r="AQ340" i="13"/>
  <c r="AQ341" i="13"/>
  <c r="AL338" i="13"/>
  <c r="AL339" i="13"/>
  <c r="AL340" i="13"/>
  <c r="AL341" i="13"/>
  <c r="AL342" i="13"/>
  <c r="AL343" i="13"/>
  <c r="AL344" i="13"/>
  <c r="AL345" i="13"/>
  <c r="AL346" i="13"/>
  <c r="AL347" i="13"/>
  <c r="AL348" i="13"/>
  <c r="AL349" i="13"/>
  <c r="AL350" i="13"/>
  <c r="AL351" i="13"/>
  <c r="AL352" i="13"/>
  <c r="AL353" i="13"/>
  <c r="AL354" i="13"/>
  <c r="AL337" i="13"/>
  <c r="AM222" i="13" l="1"/>
  <c r="AM297" i="13"/>
  <c r="H44" i="10"/>
  <c r="H43" i="10"/>
  <c r="H42" i="10"/>
  <c r="F44" i="10"/>
  <c r="F43" i="10"/>
  <c r="F42" i="10"/>
  <c r="H15" i="10"/>
  <c r="H14" i="10"/>
  <c r="H13" i="10"/>
  <c r="H12" i="10"/>
  <c r="H11" i="10"/>
  <c r="G13" i="10"/>
  <c r="G11" i="10"/>
  <c r="I11" i="10" s="1"/>
  <c r="F15" i="10"/>
  <c r="F14" i="10"/>
  <c r="F13" i="10"/>
  <c r="F12" i="10"/>
  <c r="F11" i="10"/>
  <c r="H66" i="9"/>
  <c r="H12" i="9"/>
  <c r="H11" i="9"/>
  <c r="H76" i="8"/>
  <c r="G76" i="8"/>
  <c r="I13" i="8"/>
  <c r="I14" i="8"/>
  <c r="I15" i="8"/>
  <c r="I76" i="8" l="1"/>
  <c r="I13" i="10"/>
  <c r="I13" i="7"/>
  <c r="H15" i="7"/>
  <c r="I15" i="7" s="1"/>
  <c r="H14" i="7"/>
  <c r="I14" i="7" s="1"/>
  <c r="H13" i="7"/>
  <c r="H12" i="7"/>
  <c r="I12" i="7" s="1"/>
  <c r="H11" i="7"/>
  <c r="I11" i="7" s="1"/>
  <c r="T14" i="12"/>
  <c r="T13" i="12"/>
  <c r="T12" i="12"/>
  <c r="T11" i="12"/>
  <c r="M14" i="12"/>
  <c r="M13" i="12"/>
  <c r="M12" i="12"/>
  <c r="M11" i="12"/>
  <c r="T12" i="11"/>
  <c r="T13" i="11"/>
  <c r="T14" i="11"/>
  <c r="T15" i="11"/>
  <c r="T16" i="11"/>
  <c r="T17" i="11"/>
  <c r="T11" i="11"/>
  <c r="M17" i="11"/>
  <c r="M16" i="11"/>
  <c r="M15" i="11"/>
  <c r="M14" i="11"/>
  <c r="M13" i="11"/>
  <c r="M12" i="11"/>
  <c r="M11" i="11"/>
  <c r="T51" i="6"/>
  <c r="T50" i="6"/>
  <c r="T49" i="6"/>
  <c r="T48" i="6"/>
  <c r="T47" i="6"/>
  <c r="M51" i="6"/>
  <c r="M50" i="6"/>
  <c r="M49" i="6"/>
  <c r="M48" i="6"/>
  <c r="M47" i="6"/>
  <c r="L51" i="6"/>
  <c r="N51" i="6" s="1"/>
  <c r="L49" i="6"/>
  <c r="N49" i="6" s="1"/>
  <c r="M16" i="6"/>
  <c r="M15" i="6"/>
  <c r="M14" i="6"/>
  <c r="M13" i="6"/>
  <c r="M12" i="6"/>
  <c r="T16" i="6"/>
  <c r="T15" i="6"/>
  <c r="T14" i="6"/>
  <c r="T13" i="6"/>
  <c r="T12" i="6"/>
  <c r="L16" i="6"/>
  <c r="N16" i="6" s="1"/>
  <c r="L14" i="6"/>
  <c r="N14" i="6" s="1"/>
  <c r="M68" i="5"/>
  <c r="Q68" i="5"/>
  <c r="S68" i="5" s="1"/>
  <c r="T79" i="4"/>
  <c r="T78" i="4"/>
  <c r="T77" i="4"/>
  <c r="T76" i="4"/>
  <c r="T75" i="4"/>
  <c r="M79" i="4"/>
  <c r="M78" i="4"/>
  <c r="M77" i="4"/>
  <c r="M76" i="4"/>
  <c r="M75" i="4"/>
  <c r="O82" i="1"/>
  <c r="O81" i="1"/>
  <c r="O80" i="1"/>
  <c r="O79" i="1"/>
  <c r="O78" i="1"/>
  <c r="O77" i="1"/>
  <c r="V82" i="1"/>
  <c r="V81" i="1"/>
  <c r="V80" i="1"/>
  <c r="V79" i="1"/>
  <c r="V78" i="1"/>
  <c r="V77" i="1"/>
  <c r="C56" i="5" l="1"/>
  <c r="D56" i="5"/>
  <c r="E56" i="5"/>
  <c r="C39" i="5"/>
  <c r="D39" i="5"/>
  <c r="E39" i="5"/>
  <c r="C32" i="5"/>
  <c r="E32" i="5"/>
  <c r="C26" i="5"/>
  <c r="D26" i="5"/>
  <c r="E26" i="5"/>
  <c r="C22" i="5"/>
  <c r="D22" i="5"/>
  <c r="E22" i="5"/>
  <c r="C16" i="5"/>
  <c r="D16" i="5"/>
  <c r="D60" i="5" s="1"/>
  <c r="E16" i="5"/>
  <c r="C13" i="5"/>
  <c r="D13" i="5"/>
  <c r="E13" i="5"/>
  <c r="E60" i="5" s="1"/>
  <c r="D51" i="4"/>
  <c r="E51" i="4"/>
  <c r="D41" i="4"/>
  <c r="E41" i="4"/>
  <c r="D35" i="4"/>
  <c r="E35" i="4"/>
  <c r="C30" i="4"/>
  <c r="D30" i="4"/>
  <c r="E30" i="4"/>
  <c r="D26" i="4"/>
  <c r="E26" i="4"/>
  <c r="C26" i="4"/>
  <c r="C22" i="4"/>
  <c r="D22" i="4"/>
  <c r="E22" i="4"/>
  <c r="C13" i="4"/>
  <c r="D13" i="4"/>
  <c r="E13" i="4"/>
  <c r="C51" i="1"/>
  <c r="D51" i="1"/>
  <c r="F51" i="1"/>
  <c r="G51" i="1"/>
  <c r="D41" i="1"/>
  <c r="F41" i="1"/>
  <c r="G41" i="1"/>
  <c r="C35" i="1"/>
  <c r="D35" i="1"/>
  <c r="F35" i="1"/>
  <c r="G35" i="1"/>
  <c r="C30" i="1"/>
  <c r="D30" i="1"/>
  <c r="F30" i="1"/>
  <c r="G30" i="1"/>
  <c r="C26" i="1"/>
  <c r="D26" i="1"/>
  <c r="F26" i="1"/>
  <c r="G26" i="1"/>
  <c r="G22" i="1"/>
  <c r="C22" i="1"/>
  <c r="D22" i="1"/>
  <c r="F22" i="1"/>
  <c r="C13" i="1"/>
  <c r="D13" i="1"/>
  <c r="F13" i="1"/>
  <c r="G13" i="1"/>
  <c r="E39" i="6"/>
  <c r="F69" i="6"/>
  <c r="G67" i="6"/>
  <c r="F67" i="6"/>
  <c r="G65" i="6"/>
  <c r="F65" i="6"/>
  <c r="G63" i="6"/>
  <c r="F63" i="6"/>
  <c r="F59" i="6"/>
  <c r="F55" i="6"/>
  <c r="F48" i="6"/>
  <c r="G37" i="6"/>
  <c r="G35" i="6"/>
  <c r="G33" i="6"/>
  <c r="G22" i="6"/>
  <c r="F22" i="6"/>
  <c r="D67" i="4" l="1"/>
  <c r="E67" i="4"/>
  <c r="G69" i="1"/>
  <c r="F69" i="1"/>
  <c r="M13" i="5" l="1"/>
  <c r="M12" i="5"/>
  <c r="L13" i="5"/>
  <c r="L12" i="5"/>
  <c r="T13" i="4"/>
  <c r="T14" i="4"/>
  <c r="T15" i="4"/>
  <c r="T16" i="4"/>
  <c r="T12" i="4"/>
  <c r="N13" i="4"/>
  <c r="N14" i="4"/>
  <c r="N15" i="4"/>
  <c r="N16" i="4"/>
  <c r="N12" i="4"/>
  <c r="V13" i="1"/>
  <c r="V14" i="1"/>
  <c r="V15" i="1"/>
  <c r="V16" i="1"/>
  <c r="V17" i="1"/>
  <c r="V12" i="1"/>
  <c r="P13" i="1"/>
  <c r="P14" i="1"/>
  <c r="P15" i="1"/>
  <c r="P16" i="1"/>
  <c r="P17" i="1"/>
  <c r="P12" i="1"/>
  <c r="N12" i="5" l="1"/>
  <c r="N13" i="5"/>
  <c r="G79" i="11" l="1"/>
  <c r="F79" i="11"/>
  <c r="G62" i="11"/>
  <c r="G64" i="11"/>
  <c r="F64" i="11"/>
  <c r="G67" i="11"/>
  <c r="G69" i="11"/>
  <c r="G71" i="11"/>
  <c r="G73" i="11"/>
  <c r="G47" i="11"/>
  <c r="G25" i="11"/>
  <c r="F22" i="11"/>
  <c r="G22" i="11"/>
  <c r="F23" i="11"/>
  <c r="G23" i="11"/>
  <c r="F24" i="11"/>
  <c r="G24" i="11"/>
  <c r="F26" i="11"/>
  <c r="G26" i="11"/>
  <c r="F28" i="11"/>
  <c r="G28" i="11"/>
  <c r="F29" i="11"/>
  <c r="G29" i="11"/>
  <c r="F30" i="11"/>
  <c r="G30" i="11"/>
  <c r="F32" i="11"/>
  <c r="G32" i="11"/>
  <c r="F33" i="11"/>
  <c r="G33" i="11"/>
  <c r="F34" i="11"/>
  <c r="G34" i="11"/>
  <c r="F35" i="11"/>
  <c r="G35" i="11"/>
  <c r="F36" i="11"/>
  <c r="G36" i="11"/>
  <c r="F37" i="11"/>
  <c r="G37" i="11"/>
  <c r="F38" i="11"/>
  <c r="G38" i="11"/>
  <c r="F39" i="11"/>
  <c r="G39" i="11"/>
  <c r="F40" i="11"/>
  <c r="G40" i="11"/>
  <c r="F42" i="11"/>
  <c r="G42" i="11"/>
  <c r="F43" i="11"/>
  <c r="G43" i="11"/>
  <c r="F44" i="11"/>
  <c r="G44" i="11"/>
  <c r="F45" i="11"/>
  <c r="G45" i="11"/>
  <c r="F46" i="11"/>
  <c r="G46" i="11"/>
  <c r="F48" i="11"/>
  <c r="G48" i="11"/>
  <c r="F50" i="11"/>
  <c r="G50" i="11"/>
  <c r="F51" i="11"/>
  <c r="G51" i="11"/>
  <c r="F52" i="11"/>
  <c r="G52" i="11"/>
  <c r="F53" i="11"/>
  <c r="G53" i="11"/>
  <c r="F55" i="11"/>
  <c r="G55" i="11"/>
  <c r="F56" i="11"/>
  <c r="G56" i="11"/>
  <c r="F58" i="11"/>
  <c r="G58" i="11"/>
  <c r="F59" i="11"/>
  <c r="G59" i="11"/>
  <c r="F60" i="11"/>
  <c r="G60" i="11"/>
  <c r="F61" i="11"/>
  <c r="G61" i="11"/>
  <c r="F63" i="11"/>
  <c r="G63" i="11"/>
  <c r="F65" i="11"/>
  <c r="G65" i="11"/>
  <c r="F66" i="11"/>
  <c r="G66" i="11"/>
  <c r="F68" i="11"/>
  <c r="G68" i="11"/>
  <c r="F70" i="11"/>
  <c r="G70" i="11"/>
  <c r="F72" i="11"/>
  <c r="G72" i="11"/>
  <c r="F74" i="11"/>
  <c r="G74" i="11"/>
  <c r="F76" i="11"/>
  <c r="G76" i="11"/>
  <c r="F77" i="11"/>
  <c r="G77" i="11"/>
  <c r="F78" i="11"/>
  <c r="G78" i="11"/>
  <c r="F14" i="11"/>
  <c r="G14" i="11"/>
  <c r="F15" i="11"/>
  <c r="G15" i="11"/>
  <c r="F16" i="11"/>
  <c r="G16" i="11"/>
  <c r="F17" i="11"/>
  <c r="G17" i="11"/>
  <c r="F18" i="11"/>
  <c r="G18" i="11"/>
  <c r="F19" i="11"/>
  <c r="G19" i="11"/>
  <c r="F20" i="11"/>
  <c r="G20" i="11"/>
  <c r="G13" i="11"/>
  <c r="F13" i="11"/>
  <c r="F43" i="12"/>
  <c r="F46" i="12"/>
  <c r="G53" i="12"/>
  <c r="F53" i="12"/>
  <c r="G55" i="12"/>
  <c r="F55" i="12"/>
  <c r="G57" i="12"/>
  <c r="F57" i="12"/>
  <c r="G51" i="12"/>
  <c r="F51" i="12"/>
  <c r="F38" i="12"/>
  <c r="G36" i="12"/>
  <c r="F36" i="12"/>
  <c r="G34" i="12"/>
  <c r="F34" i="12"/>
  <c r="F28" i="12"/>
  <c r="G26" i="12"/>
  <c r="F26" i="12"/>
  <c r="G24" i="12"/>
  <c r="F24" i="12"/>
  <c r="G20" i="12"/>
  <c r="F20" i="12"/>
  <c r="F12" i="12"/>
  <c r="F14" i="12"/>
  <c r="G14" i="12"/>
  <c r="F15" i="12"/>
  <c r="G15" i="12"/>
  <c r="F16" i="12"/>
  <c r="G16" i="12"/>
  <c r="F17" i="12"/>
  <c r="G17" i="12"/>
  <c r="F18" i="12"/>
  <c r="G18" i="12"/>
  <c r="F19" i="12"/>
  <c r="G19" i="12"/>
  <c r="F21" i="12"/>
  <c r="G21" i="12"/>
  <c r="F22" i="12"/>
  <c r="G22" i="12"/>
  <c r="F23" i="12"/>
  <c r="G23" i="12"/>
  <c r="F25" i="12"/>
  <c r="G25" i="12"/>
  <c r="F27" i="12"/>
  <c r="G27" i="12"/>
  <c r="F29" i="12"/>
  <c r="G29" i="12"/>
  <c r="F30" i="12"/>
  <c r="G30" i="12"/>
  <c r="F31" i="12"/>
  <c r="G31" i="12"/>
  <c r="F32" i="12"/>
  <c r="G32" i="12"/>
  <c r="F33" i="12"/>
  <c r="G33" i="12"/>
  <c r="F35" i="12"/>
  <c r="G35" i="12"/>
  <c r="F37" i="12"/>
  <c r="G37" i="12"/>
  <c r="F39" i="12"/>
  <c r="G39" i="12"/>
  <c r="F40" i="12"/>
  <c r="G40" i="12"/>
  <c r="F41" i="12"/>
  <c r="G41" i="12"/>
  <c r="F42" i="12"/>
  <c r="G42" i="12"/>
  <c r="F44" i="12"/>
  <c r="G44" i="12"/>
  <c r="F45" i="12"/>
  <c r="G45" i="12"/>
  <c r="F47" i="12"/>
  <c r="G47" i="12"/>
  <c r="F48" i="12"/>
  <c r="G48" i="12"/>
  <c r="F49" i="12"/>
  <c r="G49" i="12"/>
  <c r="F50" i="12"/>
  <c r="G50" i="12"/>
  <c r="F52" i="12"/>
  <c r="G52" i="12"/>
  <c r="F54" i="12"/>
  <c r="G54" i="12"/>
  <c r="F56" i="12"/>
  <c r="G56" i="12"/>
  <c r="F58" i="12"/>
  <c r="G58" i="12"/>
  <c r="F59" i="12"/>
  <c r="G59" i="12"/>
  <c r="G13" i="12"/>
  <c r="F13" i="12"/>
  <c r="F100" i="5"/>
  <c r="F69" i="5"/>
  <c r="F71" i="5"/>
  <c r="G71" i="5"/>
  <c r="F72" i="5"/>
  <c r="F73" i="5"/>
  <c r="G73" i="5"/>
  <c r="F74" i="5"/>
  <c r="G74" i="5"/>
  <c r="F75" i="5"/>
  <c r="G75" i="5"/>
  <c r="F76" i="5"/>
  <c r="F77" i="5"/>
  <c r="G77" i="5"/>
  <c r="F78" i="5"/>
  <c r="G78" i="5"/>
  <c r="F79" i="5"/>
  <c r="G79" i="5"/>
  <c r="F80" i="5"/>
  <c r="F81" i="5"/>
  <c r="G81" i="5"/>
  <c r="F82" i="5"/>
  <c r="G82" i="5"/>
  <c r="F83" i="5"/>
  <c r="G83" i="5"/>
  <c r="F84" i="5"/>
  <c r="F85" i="5"/>
  <c r="G85" i="5"/>
  <c r="F86" i="5"/>
  <c r="G86" i="5"/>
  <c r="F87" i="5"/>
  <c r="F88" i="5"/>
  <c r="G88" i="5"/>
  <c r="F89" i="5"/>
  <c r="G89" i="5"/>
  <c r="F90" i="5"/>
  <c r="G90" i="5"/>
  <c r="F91" i="5"/>
  <c r="G91" i="5"/>
  <c r="F92" i="5"/>
  <c r="G92" i="5"/>
  <c r="F93" i="5"/>
  <c r="G93" i="5"/>
  <c r="F94" i="5"/>
  <c r="G94" i="5"/>
  <c r="F95" i="5"/>
  <c r="G95" i="5"/>
  <c r="F96" i="5"/>
  <c r="G96" i="5"/>
  <c r="F97" i="5"/>
  <c r="G97" i="5"/>
  <c r="F98" i="5"/>
  <c r="G98" i="5"/>
  <c r="F99" i="5"/>
  <c r="G99" i="5"/>
  <c r="G70" i="5"/>
  <c r="F70" i="5"/>
  <c r="G52" i="5"/>
  <c r="G54" i="5"/>
  <c r="F58" i="5"/>
  <c r="G58" i="5"/>
  <c r="F59" i="5"/>
  <c r="G59" i="5"/>
  <c r="G57" i="5"/>
  <c r="F57" i="5"/>
  <c r="G55" i="5"/>
  <c r="F55" i="5"/>
  <c r="G53" i="5"/>
  <c r="F53" i="5"/>
  <c r="G51" i="5"/>
  <c r="F51" i="5"/>
  <c r="G49" i="5"/>
  <c r="F49" i="5"/>
  <c r="G48" i="5"/>
  <c r="F48" i="5"/>
  <c r="G46" i="5"/>
  <c r="F46" i="5"/>
  <c r="G45" i="5"/>
  <c r="F45" i="5"/>
  <c r="G38" i="5"/>
  <c r="F38" i="5"/>
  <c r="G43" i="5"/>
  <c r="F43" i="5"/>
  <c r="G42" i="5"/>
  <c r="F42" i="5"/>
  <c r="G41" i="5"/>
  <c r="F41" i="5"/>
  <c r="G40" i="5"/>
  <c r="F40" i="5"/>
  <c r="G36" i="5"/>
  <c r="F36" i="5"/>
  <c r="G35" i="5"/>
  <c r="F35" i="5"/>
  <c r="G34" i="5"/>
  <c r="F34" i="5"/>
  <c r="G33" i="5"/>
  <c r="F33" i="5"/>
  <c r="F28" i="5"/>
  <c r="G28" i="5"/>
  <c r="F29" i="5"/>
  <c r="G29" i="5"/>
  <c r="F30" i="5"/>
  <c r="G30" i="5"/>
  <c r="F31" i="5"/>
  <c r="G31" i="5"/>
  <c r="G27" i="5"/>
  <c r="F27" i="5"/>
  <c r="G21" i="5"/>
  <c r="F21" i="5"/>
  <c r="G25" i="5"/>
  <c r="F25" i="5"/>
  <c r="G24" i="5"/>
  <c r="F24" i="5"/>
  <c r="G23" i="5"/>
  <c r="F23" i="5"/>
  <c r="F19" i="5"/>
  <c r="G19" i="5"/>
  <c r="G18" i="5"/>
  <c r="F18" i="5"/>
  <c r="G17" i="5"/>
  <c r="F17" i="5"/>
  <c r="G14" i="5"/>
  <c r="G15" i="5"/>
  <c r="F15" i="5"/>
  <c r="F14" i="5"/>
  <c r="B127" i="4"/>
  <c r="F127" i="4" s="1"/>
  <c r="F76" i="4"/>
  <c r="F85" i="4"/>
  <c r="F93" i="4"/>
  <c r="F89" i="4"/>
  <c r="F98" i="4"/>
  <c r="F104" i="4"/>
  <c r="G114" i="4"/>
  <c r="F114" i="4"/>
  <c r="F116" i="4"/>
  <c r="G119" i="4"/>
  <c r="F119" i="4"/>
  <c r="G121" i="4"/>
  <c r="F121" i="4"/>
  <c r="G123" i="4"/>
  <c r="F123" i="4"/>
  <c r="G125" i="4"/>
  <c r="F125" i="4"/>
  <c r="G124" i="4"/>
  <c r="F124" i="4"/>
  <c r="G126" i="4"/>
  <c r="F126" i="4"/>
  <c r="G122" i="4"/>
  <c r="F122" i="4"/>
  <c r="G120" i="4"/>
  <c r="F120" i="4"/>
  <c r="G115" i="4"/>
  <c r="F115" i="4"/>
  <c r="G118" i="4"/>
  <c r="F118" i="4"/>
  <c r="G117" i="4"/>
  <c r="F117" i="4"/>
  <c r="F110" i="4"/>
  <c r="G110" i="4"/>
  <c r="F111" i="4"/>
  <c r="G111" i="4"/>
  <c r="F112" i="4"/>
  <c r="G112" i="4"/>
  <c r="F113" i="4"/>
  <c r="G113" i="4"/>
  <c r="G109" i="4"/>
  <c r="F109" i="4"/>
  <c r="G108" i="4"/>
  <c r="F108" i="4"/>
  <c r="G107" i="4"/>
  <c r="F107" i="4"/>
  <c r="G106" i="4"/>
  <c r="F106" i="4"/>
  <c r="G105" i="4"/>
  <c r="F105" i="4"/>
  <c r="F103" i="4"/>
  <c r="G103" i="4"/>
  <c r="G102" i="4"/>
  <c r="F102" i="4"/>
  <c r="G101" i="4"/>
  <c r="F101" i="4"/>
  <c r="G100" i="4"/>
  <c r="F100" i="4"/>
  <c r="G99" i="4"/>
  <c r="F99" i="4"/>
  <c r="F97" i="4"/>
  <c r="G97" i="4"/>
  <c r="G96" i="4"/>
  <c r="F96" i="4"/>
  <c r="G95" i="4"/>
  <c r="F95" i="4"/>
  <c r="G94" i="4"/>
  <c r="F94" i="4"/>
  <c r="G92" i="4"/>
  <c r="F92" i="4"/>
  <c r="G91" i="4"/>
  <c r="F91" i="4"/>
  <c r="G90" i="4"/>
  <c r="F90" i="4"/>
  <c r="G88" i="4"/>
  <c r="F88" i="4"/>
  <c r="G87" i="4"/>
  <c r="F87" i="4"/>
  <c r="G86" i="4"/>
  <c r="F86" i="4"/>
  <c r="G77" i="4"/>
  <c r="G78" i="4"/>
  <c r="G79" i="4"/>
  <c r="G80" i="4"/>
  <c r="G81" i="4"/>
  <c r="G82" i="4"/>
  <c r="G83" i="4"/>
  <c r="G84" i="4"/>
  <c r="F78" i="4"/>
  <c r="F79" i="4"/>
  <c r="F80" i="4"/>
  <c r="F81" i="4"/>
  <c r="F82" i="4"/>
  <c r="F83" i="4"/>
  <c r="F84" i="4"/>
  <c r="F77" i="4"/>
  <c r="F26" i="4"/>
  <c r="F35" i="4"/>
  <c r="F41" i="4"/>
  <c r="F51" i="4"/>
  <c r="F54" i="4"/>
  <c r="G59" i="4"/>
  <c r="F59" i="4"/>
  <c r="G61" i="4"/>
  <c r="F61" i="4"/>
  <c r="G63" i="4"/>
  <c r="F63" i="4"/>
  <c r="G65" i="4"/>
  <c r="F65" i="4"/>
  <c r="G66" i="4"/>
  <c r="F66" i="4"/>
  <c r="G64" i="4"/>
  <c r="F64" i="4"/>
  <c r="G62" i="4"/>
  <c r="F62" i="4"/>
  <c r="G60" i="4"/>
  <c r="F60" i="4"/>
  <c r="G58" i="4"/>
  <c r="F58" i="4"/>
  <c r="G56" i="4"/>
  <c r="F56" i="4"/>
  <c r="G55" i="4"/>
  <c r="F55" i="4"/>
  <c r="G53" i="4"/>
  <c r="F53" i="4"/>
  <c r="G52" i="4"/>
  <c r="F52" i="4"/>
  <c r="F47" i="4"/>
  <c r="G47" i="4"/>
  <c r="F48" i="4"/>
  <c r="G48" i="4"/>
  <c r="F49" i="4"/>
  <c r="G49" i="4"/>
  <c r="F50" i="4"/>
  <c r="G50" i="4"/>
  <c r="G46" i="4"/>
  <c r="F46" i="4"/>
  <c r="G45" i="4"/>
  <c r="F45" i="4"/>
  <c r="G44" i="4"/>
  <c r="F44" i="4"/>
  <c r="G43" i="4"/>
  <c r="F43" i="4"/>
  <c r="G42" i="4"/>
  <c r="F42" i="4"/>
  <c r="F40" i="4"/>
  <c r="G40" i="4"/>
  <c r="G39" i="4"/>
  <c r="F39" i="4"/>
  <c r="G38" i="4"/>
  <c r="F38" i="4"/>
  <c r="G37" i="4"/>
  <c r="F37" i="4"/>
  <c r="G36" i="4"/>
  <c r="F36" i="4"/>
  <c r="F34" i="4"/>
  <c r="G34" i="4"/>
  <c r="G33" i="4"/>
  <c r="F33" i="4"/>
  <c r="G32" i="4"/>
  <c r="F32" i="4"/>
  <c r="G31" i="4"/>
  <c r="F31" i="4"/>
  <c r="G29" i="4"/>
  <c r="F29" i="4"/>
  <c r="G28" i="4"/>
  <c r="F28" i="4"/>
  <c r="G27" i="4"/>
  <c r="F27" i="4"/>
  <c r="G23" i="4"/>
  <c r="G24" i="4"/>
  <c r="G25" i="4"/>
  <c r="F25" i="4"/>
  <c r="F24" i="4"/>
  <c r="F23" i="4"/>
  <c r="G14" i="4"/>
  <c r="G15" i="4"/>
  <c r="G16" i="4"/>
  <c r="G17" i="4"/>
  <c r="G18" i="4"/>
  <c r="G19" i="4"/>
  <c r="G20" i="4"/>
  <c r="G21" i="4"/>
  <c r="F15" i="4"/>
  <c r="F16" i="4"/>
  <c r="F17" i="4"/>
  <c r="F18" i="4"/>
  <c r="F19" i="4"/>
  <c r="F20" i="4"/>
  <c r="F21" i="4"/>
  <c r="F14" i="4"/>
  <c r="H90" i="1"/>
  <c r="H89" i="1"/>
  <c r="H88" i="1"/>
  <c r="H94" i="1"/>
  <c r="H93" i="1"/>
  <c r="H92" i="1"/>
  <c r="H112" i="1"/>
  <c r="H131" i="1"/>
  <c r="H129" i="1"/>
  <c r="H127" i="1"/>
  <c r="H125" i="1"/>
  <c r="H120" i="1"/>
  <c r="H123" i="1"/>
  <c r="H122" i="1"/>
  <c r="H118" i="1"/>
  <c r="H117" i="1"/>
  <c r="H113" i="1"/>
  <c r="H114" i="1"/>
  <c r="H115" i="1"/>
  <c r="H111" i="1"/>
  <c r="H110" i="1"/>
  <c r="H109" i="1"/>
  <c r="H108" i="1"/>
  <c r="H107" i="1"/>
  <c r="H105" i="1"/>
  <c r="H104" i="1"/>
  <c r="H103" i="1"/>
  <c r="H102" i="1"/>
  <c r="H101" i="1"/>
  <c r="H99" i="1"/>
  <c r="H98" i="1"/>
  <c r="H97" i="1"/>
  <c r="H96" i="1"/>
  <c r="H132" i="1"/>
  <c r="H119" i="1"/>
  <c r="H121" i="1"/>
  <c r="H124" i="1"/>
  <c r="H126" i="1"/>
  <c r="H128" i="1"/>
  <c r="H130" i="1"/>
  <c r="H106" i="1"/>
  <c r="H116" i="1"/>
  <c r="H100" i="1"/>
  <c r="H95" i="1"/>
  <c r="H91" i="1"/>
  <c r="H87" i="1"/>
  <c r="H78" i="1"/>
  <c r="H86" i="1"/>
  <c r="H85" i="1"/>
  <c r="H84" i="1"/>
  <c r="H83" i="1"/>
  <c r="H82" i="1"/>
  <c r="H81" i="1"/>
  <c r="H80" i="1"/>
  <c r="H79" i="1"/>
  <c r="H13" i="1"/>
  <c r="H30" i="1"/>
  <c r="H26" i="1"/>
  <c r="H22" i="1"/>
  <c r="H35" i="1"/>
  <c r="H41" i="1"/>
  <c r="H51" i="1"/>
  <c r="H54" i="1"/>
  <c r="H56" i="1"/>
  <c r="H59" i="1"/>
  <c r="H61" i="1"/>
  <c r="H63" i="1"/>
  <c r="H65" i="1"/>
  <c r="H67" i="1"/>
  <c r="H69" i="1"/>
  <c r="H62" i="1"/>
  <c r="H64" i="1"/>
  <c r="H66" i="1"/>
  <c r="H68" i="1"/>
  <c r="H60" i="1"/>
  <c r="H55" i="1"/>
  <c r="H58" i="1"/>
  <c r="H57" i="1"/>
  <c r="H53" i="1"/>
  <c r="H52" i="1"/>
  <c r="H47" i="1"/>
  <c r="H48" i="1"/>
  <c r="H49" i="1"/>
  <c r="H50" i="1"/>
  <c r="H46" i="1"/>
  <c r="H45" i="1"/>
  <c r="H44" i="1"/>
  <c r="H43" i="1"/>
  <c r="H42" i="1"/>
  <c r="H40" i="1"/>
  <c r="H39" i="1"/>
  <c r="H38" i="1"/>
  <c r="H37" i="1"/>
  <c r="H36" i="1"/>
  <c r="H34" i="1"/>
  <c r="H33" i="1"/>
  <c r="H32" i="1"/>
  <c r="H31" i="1"/>
  <c r="H29" i="1"/>
  <c r="H28" i="1"/>
  <c r="H27" i="1"/>
  <c r="H25" i="1"/>
  <c r="H24" i="1"/>
  <c r="H23" i="1"/>
  <c r="H15" i="1"/>
  <c r="H16" i="1"/>
  <c r="H17" i="1"/>
  <c r="H18" i="1"/>
  <c r="H19" i="1"/>
  <c r="H20" i="1"/>
  <c r="H21" i="1"/>
  <c r="H14" i="1"/>
  <c r="E131" i="1"/>
  <c r="E130" i="1"/>
  <c r="E129" i="1"/>
  <c r="E128" i="1"/>
  <c r="E127" i="1"/>
  <c r="E126" i="1"/>
  <c r="E125" i="1"/>
  <c r="E124" i="1"/>
  <c r="E123" i="1"/>
  <c r="E122" i="1"/>
  <c r="E121" i="1"/>
  <c r="E120" i="1"/>
  <c r="E119" i="1"/>
  <c r="E118" i="1"/>
  <c r="E117" i="1"/>
  <c r="B116" i="1"/>
  <c r="E116" i="1" s="1"/>
  <c r="E115" i="1"/>
  <c r="E114" i="1"/>
  <c r="E113" i="1"/>
  <c r="E112" i="1"/>
  <c r="E111" i="1"/>
  <c r="E110" i="1"/>
  <c r="E109" i="1"/>
  <c r="E108" i="1"/>
  <c r="E107" i="1"/>
  <c r="B106" i="1"/>
  <c r="E106" i="1" s="1"/>
  <c r="E105" i="1"/>
  <c r="E104" i="1"/>
  <c r="E103" i="1"/>
  <c r="E102" i="1"/>
  <c r="E101" i="1"/>
  <c r="C100" i="1"/>
  <c r="B100" i="1"/>
  <c r="E99" i="1"/>
  <c r="E98" i="1"/>
  <c r="E97" i="1"/>
  <c r="E96" i="1"/>
  <c r="B95" i="1"/>
  <c r="E95" i="1" s="1"/>
  <c r="E94" i="1"/>
  <c r="E93" i="1"/>
  <c r="E92" i="1"/>
  <c r="C91" i="1"/>
  <c r="B91" i="1"/>
  <c r="E90" i="1"/>
  <c r="E89" i="1"/>
  <c r="E88" i="1"/>
  <c r="B87" i="1"/>
  <c r="E87" i="1" s="1"/>
  <c r="E86" i="1"/>
  <c r="E85" i="1"/>
  <c r="E84" i="1"/>
  <c r="E83" i="1"/>
  <c r="E82" i="1"/>
  <c r="E81" i="1"/>
  <c r="E80" i="1"/>
  <c r="E79" i="1"/>
  <c r="C78" i="1"/>
  <c r="B78" i="1"/>
  <c r="E68" i="1"/>
  <c r="E67" i="1"/>
  <c r="E66" i="1"/>
  <c r="E65" i="1"/>
  <c r="E64" i="1"/>
  <c r="E63" i="1"/>
  <c r="E62" i="1"/>
  <c r="E61" i="1"/>
  <c r="E60" i="1"/>
  <c r="E59" i="1"/>
  <c r="E58" i="1"/>
  <c r="E57" i="1"/>
  <c r="E56" i="1"/>
  <c r="E55" i="1"/>
  <c r="E54" i="1"/>
  <c r="E53" i="1"/>
  <c r="E52" i="1"/>
  <c r="E51" i="1" s="1"/>
  <c r="B51" i="1"/>
  <c r="E50" i="1"/>
  <c r="E49" i="1"/>
  <c r="E48" i="1"/>
  <c r="I48" i="1" s="1"/>
  <c r="E47" i="1"/>
  <c r="I47" i="1" s="1"/>
  <c r="E46" i="1"/>
  <c r="E45" i="1"/>
  <c r="E44" i="1"/>
  <c r="I44" i="1" s="1"/>
  <c r="E43" i="1"/>
  <c r="E42" i="1"/>
  <c r="B41" i="1"/>
  <c r="E40" i="1"/>
  <c r="I40" i="1" s="1"/>
  <c r="E39" i="1"/>
  <c r="I39" i="1" s="1"/>
  <c r="E38" i="1"/>
  <c r="E37" i="1"/>
  <c r="I37" i="1" s="1"/>
  <c r="E36" i="1"/>
  <c r="B35" i="1"/>
  <c r="E34" i="1"/>
  <c r="E33" i="1"/>
  <c r="E32" i="1"/>
  <c r="I32" i="1" s="1"/>
  <c r="E31" i="1"/>
  <c r="E30" i="1" s="1"/>
  <c r="B30" i="1"/>
  <c r="E29" i="1"/>
  <c r="I29" i="1" s="1"/>
  <c r="E28" i="1"/>
  <c r="E27" i="1"/>
  <c r="E26" i="1" s="1"/>
  <c r="B26" i="1"/>
  <c r="E25" i="1"/>
  <c r="I25" i="1" s="1"/>
  <c r="E24" i="1"/>
  <c r="E23" i="1"/>
  <c r="E22" i="1" s="1"/>
  <c r="B22" i="1"/>
  <c r="E21" i="1"/>
  <c r="J21" i="1" s="1"/>
  <c r="E20" i="1"/>
  <c r="E19" i="1"/>
  <c r="J19" i="1" s="1"/>
  <c r="E18" i="1"/>
  <c r="I18" i="1" s="1"/>
  <c r="E17" i="1"/>
  <c r="J17" i="1" s="1"/>
  <c r="E16" i="1"/>
  <c r="E15" i="1"/>
  <c r="I15" i="1" s="1"/>
  <c r="E14" i="1"/>
  <c r="B13" i="1"/>
  <c r="J113" i="1" l="1"/>
  <c r="E35" i="1"/>
  <c r="K68" i="1"/>
  <c r="J84" i="1"/>
  <c r="E91" i="1"/>
  <c r="K99" i="1"/>
  <c r="I106" i="1"/>
  <c r="K114" i="1"/>
  <c r="K122" i="1"/>
  <c r="K130" i="1"/>
  <c r="J129" i="1"/>
  <c r="J85" i="1"/>
  <c r="K92" i="1"/>
  <c r="J107" i="1"/>
  <c r="J115" i="1"/>
  <c r="K123" i="1"/>
  <c r="K131" i="1"/>
  <c r="J98" i="1"/>
  <c r="I14" i="1"/>
  <c r="E13" i="1"/>
  <c r="K86" i="1"/>
  <c r="K93" i="1"/>
  <c r="J108" i="1"/>
  <c r="J116" i="1"/>
  <c r="J124" i="1"/>
  <c r="K121" i="1"/>
  <c r="J79" i="1"/>
  <c r="K87" i="1"/>
  <c r="N79" i="1"/>
  <c r="P79" i="1" s="1"/>
  <c r="K94" i="1"/>
  <c r="J101" i="1"/>
  <c r="J109" i="1"/>
  <c r="J117" i="1"/>
  <c r="K125" i="1"/>
  <c r="K105" i="1"/>
  <c r="J80" i="1"/>
  <c r="J88" i="1"/>
  <c r="J95" i="1"/>
  <c r="N80" i="1"/>
  <c r="P80" i="1" s="1"/>
  <c r="K102" i="1"/>
  <c r="K110" i="1"/>
  <c r="K118" i="1"/>
  <c r="K126" i="1"/>
  <c r="J81" i="1"/>
  <c r="K89" i="1"/>
  <c r="J96" i="1"/>
  <c r="J103" i="1"/>
  <c r="K111" i="1"/>
  <c r="J119" i="1"/>
  <c r="I127" i="1"/>
  <c r="J83" i="1"/>
  <c r="E41" i="1"/>
  <c r="K82" i="1"/>
  <c r="J90" i="1"/>
  <c r="K97" i="1"/>
  <c r="K104" i="1"/>
  <c r="K112" i="1"/>
  <c r="J120" i="1"/>
  <c r="I128" i="1"/>
  <c r="N82" i="1"/>
  <c r="P82" i="1" s="1"/>
  <c r="K59" i="1"/>
  <c r="K63" i="1"/>
  <c r="J67" i="1"/>
  <c r="I54" i="1"/>
  <c r="J62" i="1"/>
  <c r="K66" i="1"/>
  <c r="I30" i="1"/>
  <c r="K56" i="1"/>
  <c r="K60" i="1"/>
  <c r="K64" i="1"/>
  <c r="K58" i="1"/>
  <c r="K57" i="1"/>
  <c r="K61" i="1"/>
  <c r="K65" i="1"/>
  <c r="K101" i="1"/>
  <c r="I113" i="1"/>
  <c r="E78" i="1"/>
  <c r="E100" i="1"/>
  <c r="J114" i="1"/>
  <c r="I19" i="1"/>
  <c r="J122" i="1"/>
  <c r="K127" i="1"/>
  <c r="I115" i="1"/>
  <c r="J54" i="1"/>
  <c r="J87" i="1"/>
  <c r="I105" i="1"/>
  <c r="K81" i="1"/>
  <c r="K20" i="1"/>
  <c r="K41" i="1"/>
  <c r="J45" i="1"/>
  <c r="K52" i="1"/>
  <c r="J86" i="1"/>
  <c r="K17" i="1"/>
  <c r="K21" i="1"/>
  <c r="K24" i="1"/>
  <c r="K27" i="1"/>
  <c r="K31" i="1"/>
  <c r="J38" i="1"/>
  <c r="K42" i="1"/>
  <c r="K46" i="1"/>
  <c r="K50" i="1"/>
  <c r="K53" i="1"/>
  <c r="J39" i="1"/>
  <c r="K16" i="1"/>
  <c r="J82" i="1"/>
  <c r="J97" i="1"/>
  <c r="J112" i="1"/>
  <c r="J128" i="1"/>
  <c r="K79" i="1"/>
  <c r="K90" i="1"/>
  <c r="K103" i="1"/>
  <c r="K128" i="1"/>
  <c r="J20" i="1"/>
  <c r="J16" i="1"/>
  <c r="I24" i="1"/>
  <c r="I27" i="1"/>
  <c r="I42" i="1"/>
  <c r="I46" i="1"/>
  <c r="I53" i="1"/>
  <c r="I58" i="1"/>
  <c r="I60" i="1"/>
  <c r="I66" i="1"/>
  <c r="I62" i="1"/>
  <c r="I67" i="1"/>
  <c r="I63" i="1"/>
  <c r="I59" i="1"/>
  <c r="I41" i="1"/>
  <c r="I79" i="1"/>
  <c r="I81" i="1"/>
  <c r="I83" i="1"/>
  <c r="I85" i="1"/>
  <c r="I91" i="1"/>
  <c r="I100" i="1"/>
  <c r="I124" i="1"/>
  <c r="I119" i="1"/>
  <c r="I96" i="1"/>
  <c r="I98" i="1"/>
  <c r="I101" i="1"/>
  <c r="I103" i="1"/>
  <c r="I108" i="1"/>
  <c r="I110" i="1"/>
  <c r="I118" i="1"/>
  <c r="I123" i="1"/>
  <c r="I125" i="1"/>
  <c r="I129" i="1"/>
  <c r="I112" i="1"/>
  <c r="I93" i="1"/>
  <c r="I88" i="1"/>
  <c r="I90" i="1"/>
  <c r="K23" i="1"/>
  <c r="K30" i="1"/>
  <c r="K34" i="1"/>
  <c r="K37" i="1"/>
  <c r="K49" i="1"/>
  <c r="I34" i="1"/>
  <c r="I49" i="1"/>
  <c r="K18" i="1"/>
  <c r="K28" i="1"/>
  <c r="K39" i="1"/>
  <c r="K47" i="1"/>
  <c r="K54" i="1"/>
  <c r="J52" i="1"/>
  <c r="K45" i="1"/>
  <c r="J89" i="1"/>
  <c r="J105" i="1"/>
  <c r="J118" i="1"/>
  <c r="J126" i="1"/>
  <c r="K85" i="1"/>
  <c r="K96" i="1"/>
  <c r="K124" i="1"/>
  <c r="I21" i="1"/>
  <c r="I17" i="1"/>
  <c r="I50" i="1"/>
  <c r="I114" i="1"/>
  <c r="J93" i="1"/>
  <c r="K14" i="1"/>
  <c r="K25" i="1"/>
  <c r="K32" i="1"/>
  <c r="K43" i="1"/>
  <c r="J15" i="1"/>
  <c r="K19" i="1"/>
  <c r="K29" i="1"/>
  <c r="K33" i="1"/>
  <c r="J36" i="1"/>
  <c r="K40" i="1"/>
  <c r="K44" i="1"/>
  <c r="J48" i="1"/>
  <c r="J55" i="1"/>
  <c r="J66" i="1"/>
  <c r="J92" i="1"/>
  <c r="J127" i="1"/>
  <c r="K83" i="1"/>
  <c r="K98" i="1"/>
  <c r="K120" i="1"/>
  <c r="K119" i="1"/>
  <c r="J18" i="1"/>
  <c r="I20" i="1"/>
  <c r="I16" i="1"/>
  <c r="I23" i="1"/>
  <c r="I28" i="1"/>
  <c r="I31" i="1"/>
  <c r="I33" i="1"/>
  <c r="I36" i="1"/>
  <c r="I38" i="1"/>
  <c r="I43" i="1"/>
  <c r="I45" i="1"/>
  <c r="I52" i="1"/>
  <c r="I57" i="1"/>
  <c r="I55" i="1"/>
  <c r="I68" i="1"/>
  <c r="I64" i="1"/>
  <c r="I65" i="1"/>
  <c r="I61" i="1"/>
  <c r="I56" i="1"/>
  <c r="I80" i="1"/>
  <c r="I82" i="1"/>
  <c r="I84" i="1"/>
  <c r="I86" i="1"/>
  <c r="I87" i="1"/>
  <c r="I95" i="1"/>
  <c r="I116" i="1"/>
  <c r="I130" i="1"/>
  <c r="I126" i="1"/>
  <c r="I121" i="1"/>
  <c r="I97" i="1"/>
  <c r="I99" i="1"/>
  <c r="I102" i="1"/>
  <c r="I104" i="1"/>
  <c r="I107" i="1"/>
  <c r="I109" i="1"/>
  <c r="I111" i="1"/>
  <c r="I117" i="1"/>
  <c r="I122" i="1"/>
  <c r="I120" i="1"/>
  <c r="I131" i="1"/>
  <c r="I92" i="1"/>
  <c r="I94" i="1"/>
  <c r="I89" i="1"/>
  <c r="K106" i="1"/>
  <c r="J106" i="1"/>
  <c r="K113" i="1"/>
  <c r="K109" i="1"/>
  <c r="K95" i="1"/>
  <c r="J23" i="1"/>
  <c r="J37" i="1"/>
  <c r="J58" i="1"/>
  <c r="J41" i="1"/>
  <c r="B132" i="1"/>
  <c r="J102" i="1"/>
  <c r="J110" i="1"/>
  <c r="J125" i="1"/>
  <c r="J130" i="1"/>
  <c r="J121" i="1"/>
  <c r="J100" i="1"/>
  <c r="J78" i="1"/>
  <c r="K84" i="1"/>
  <c r="K80" i="1"/>
  <c r="K107" i="1"/>
  <c r="K108" i="1"/>
  <c r="K129" i="1"/>
  <c r="K116" i="1"/>
  <c r="K91" i="1"/>
  <c r="J14" i="1"/>
  <c r="J25" i="1"/>
  <c r="J43" i="1"/>
  <c r="J30" i="1"/>
  <c r="K62" i="1"/>
  <c r="J99" i="1"/>
  <c r="J111" i="1"/>
  <c r="J131" i="1"/>
  <c r="J123" i="1"/>
  <c r="K88" i="1"/>
  <c r="K115" i="1"/>
  <c r="K117" i="1"/>
  <c r="J31" i="1"/>
  <c r="J94" i="1"/>
  <c r="J104" i="1"/>
  <c r="E132" i="1"/>
  <c r="C132" i="1"/>
  <c r="K36" i="1"/>
  <c r="K55" i="1"/>
  <c r="K67" i="1"/>
  <c r="J27" i="1"/>
  <c r="J32" i="1"/>
  <c r="J40" i="1"/>
  <c r="J42" i="1"/>
  <c r="J46" i="1"/>
  <c r="J47" i="1"/>
  <c r="J57" i="1"/>
  <c r="J64" i="1"/>
  <c r="J65" i="1"/>
  <c r="J56" i="1"/>
  <c r="K15" i="1"/>
  <c r="J59" i="1"/>
  <c r="K48" i="1"/>
  <c r="J29" i="1"/>
  <c r="J33" i="1"/>
  <c r="J50" i="1"/>
  <c r="J63" i="1"/>
  <c r="K38" i="1"/>
  <c r="J24" i="1"/>
  <c r="J28" i="1"/>
  <c r="J34" i="1"/>
  <c r="J44" i="1"/>
  <c r="J49" i="1"/>
  <c r="J53" i="1"/>
  <c r="J68" i="1"/>
  <c r="J60" i="1"/>
  <c r="J61" i="1"/>
  <c r="B69" i="1"/>
  <c r="C69" i="1"/>
  <c r="J91" i="1" l="1"/>
  <c r="N81" i="1"/>
  <c r="P81" i="1" s="1"/>
  <c r="K132" i="1"/>
  <c r="K100" i="1"/>
  <c r="N78" i="1"/>
  <c r="P78" i="1" s="1"/>
  <c r="K78" i="1"/>
  <c r="N77" i="1"/>
  <c r="P77" i="1" s="1"/>
  <c r="I78" i="1"/>
  <c r="I26" i="1"/>
  <c r="I13" i="1"/>
  <c r="I51" i="1"/>
  <c r="I22" i="1"/>
  <c r="I35" i="1"/>
  <c r="J132" i="1"/>
  <c r="I132" i="1"/>
  <c r="E69" i="1"/>
  <c r="K51" i="1"/>
  <c r="J51" i="1"/>
  <c r="J22" i="1"/>
  <c r="K22" i="1"/>
  <c r="K26" i="1"/>
  <c r="J26" i="1"/>
  <c r="K35" i="1"/>
  <c r="J35" i="1"/>
  <c r="K13" i="1"/>
  <c r="J13" i="1"/>
  <c r="I69" i="1" l="1"/>
  <c r="J69" i="1"/>
  <c r="K69" i="1"/>
  <c r="S82" i="26" l="1"/>
  <c r="S80" i="26"/>
  <c r="S81" i="26"/>
  <c r="S54" i="26"/>
  <c r="S52" i="26"/>
  <c r="S53" i="26"/>
  <c r="S26" i="26"/>
  <c r="S24" i="26"/>
  <c r="S25" i="26"/>
  <c r="I89" i="26"/>
  <c r="I114" i="20"/>
  <c r="F60" i="20"/>
  <c r="I44" i="20"/>
  <c r="M79" i="19"/>
  <c r="S86" i="25"/>
  <c r="S84" i="25"/>
  <c r="S85" i="25"/>
  <c r="S55" i="25"/>
  <c r="S56" i="25"/>
  <c r="S54" i="25"/>
  <c r="S26" i="25"/>
  <c r="S24" i="25"/>
  <c r="S25" i="25"/>
  <c r="S96" i="24"/>
  <c r="S94" i="24"/>
  <c r="S95" i="24"/>
  <c r="S61" i="24"/>
  <c r="S59" i="24"/>
  <c r="S60" i="24"/>
  <c r="S26" i="24"/>
  <c r="S24" i="24"/>
  <c r="S25" i="24"/>
  <c r="S129" i="23"/>
  <c r="S130" i="23"/>
  <c r="S128" i="23"/>
  <c r="S78" i="23"/>
  <c r="S77" i="23"/>
  <c r="S26" i="23"/>
  <c r="S24" i="23"/>
  <c r="S25" i="23"/>
  <c r="S76" i="23" l="1"/>
  <c r="S146" i="22" l="1"/>
  <c r="S147" i="22"/>
  <c r="S148" i="22"/>
  <c r="S87" i="22"/>
  <c r="S85" i="22"/>
  <c r="S86" i="22"/>
  <c r="S26" i="22"/>
  <c r="S24" i="22"/>
  <c r="S25" i="22"/>
  <c r="N129" i="22"/>
  <c r="V26" i="22" s="1"/>
  <c r="N68" i="22"/>
  <c r="N21" i="22"/>
  <c r="N49" i="22"/>
  <c r="N50" i="22"/>
  <c r="N51" i="22"/>
  <c r="N55" i="22"/>
  <c r="N56" i="22"/>
  <c r="N61" i="22"/>
  <c r="N63" i="22"/>
  <c r="N65" i="22"/>
  <c r="N67" i="22"/>
  <c r="N66" i="22"/>
  <c r="N64" i="22"/>
  <c r="N62" i="22"/>
  <c r="N60" i="22"/>
  <c r="N57" i="22"/>
  <c r="N54" i="22"/>
  <c r="N52" i="22"/>
  <c r="S148" i="21"/>
  <c r="N190" i="21"/>
  <c r="N189" i="21"/>
  <c r="N188" i="21"/>
  <c r="N187" i="21"/>
  <c r="N186" i="21"/>
  <c r="N185" i="21"/>
  <c r="N184"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59" i="21"/>
  <c r="N158" i="21"/>
  <c r="N157" i="21"/>
  <c r="N156" i="21"/>
  <c r="N155" i="21"/>
  <c r="N154" i="21"/>
  <c r="N153" i="21"/>
  <c r="N152" i="21"/>
  <c r="N151" i="21"/>
  <c r="N150" i="21"/>
  <c r="N149" i="21"/>
  <c r="N148" i="21"/>
  <c r="N147" i="21"/>
  <c r="N146" i="21"/>
  <c r="N145" i="21"/>
  <c r="N144" i="21"/>
  <c r="N143" i="21"/>
  <c r="N142" i="21"/>
  <c r="N141" i="21"/>
  <c r="N140" i="21"/>
  <c r="N139" i="21"/>
  <c r="N138" i="21"/>
  <c r="N137" i="21"/>
  <c r="N136"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N105" i="21"/>
  <c r="N106" i="21"/>
  <c r="N107" i="21"/>
  <c r="N108" i="21"/>
  <c r="N109" i="21"/>
  <c r="N110" i="21"/>
  <c r="N111" i="21"/>
  <c r="N112" i="21"/>
  <c r="N113" i="21"/>
  <c r="N114" i="21"/>
  <c r="N115" i="21"/>
  <c r="N116" i="21"/>
  <c r="N117" i="21"/>
  <c r="N118" i="21"/>
  <c r="N119" i="21"/>
  <c r="N120" i="21"/>
  <c r="N121" i="21"/>
  <c r="N122" i="21"/>
  <c r="N123" i="21"/>
  <c r="N124" i="21"/>
  <c r="N125" i="21"/>
  <c r="N126" i="21"/>
  <c r="N127" i="21"/>
  <c r="N128" i="21"/>
  <c r="N129" i="21"/>
  <c r="V26" i="21" s="1"/>
  <c r="N75" i="21"/>
  <c r="N15" i="21"/>
  <c r="N16" i="21"/>
  <c r="N17" i="21"/>
  <c r="N18" i="2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14" i="21"/>
  <c r="N15" i="22"/>
  <c r="N16" i="22"/>
  <c r="N17" i="22"/>
  <c r="N18" i="22"/>
  <c r="N19" i="22"/>
  <c r="N20" i="22"/>
  <c r="N22" i="22"/>
  <c r="N23" i="22"/>
  <c r="N24" i="22"/>
  <c r="N25" i="22"/>
  <c r="N26" i="22"/>
  <c r="N27" i="22"/>
  <c r="N28" i="22"/>
  <c r="N29" i="22"/>
  <c r="N30" i="22"/>
  <c r="N31" i="22"/>
  <c r="N32" i="22"/>
  <c r="N33" i="22"/>
  <c r="N34" i="22"/>
  <c r="N35" i="22"/>
  <c r="N36" i="22"/>
  <c r="N37" i="22"/>
  <c r="N38" i="22"/>
  <c r="N39" i="22"/>
  <c r="N40" i="22"/>
  <c r="N41" i="22"/>
  <c r="N42" i="22"/>
  <c r="N43" i="22"/>
  <c r="N44" i="22"/>
  <c r="N45" i="22"/>
  <c r="N46" i="22"/>
  <c r="N47" i="22"/>
  <c r="N48" i="22"/>
  <c r="N14" i="22"/>
  <c r="S85" i="21"/>
  <c r="F68" i="21"/>
  <c r="N68" i="21" s="1"/>
  <c r="S25" i="21" l="1"/>
  <c r="S24" i="21"/>
  <c r="S26" i="21"/>
  <c r="S87" i="21"/>
  <c r="S86" i="21"/>
  <c r="S147" i="21"/>
  <c r="S146" i="21"/>
  <c r="N62" i="26"/>
  <c r="N61" i="26"/>
  <c r="N60" i="26"/>
  <c r="N59" i="26"/>
  <c r="N58" i="26"/>
  <c r="N57" i="26"/>
  <c r="N56" i="26"/>
  <c r="N55" i="26"/>
  <c r="N54" i="26"/>
  <c r="N53" i="26"/>
  <c r="N52" i="26"/>
  <c r="N51" i="26"/>
  <c r="N50" i="26"/>
  <c r="N49" i="26"/>
  <c r="N48" i="26"/>
  <c r="N47" i="26"/>
  <c r="N46" i="26"/>
  <c r="N45" i="26"/>
  <c r="N44" i="26"/>
  <c r="N43" i="26"/>
  <c r="N42" i="26"/>
  <c r="N15" i="26"/>
  <c r="N16" i="26"/>
  <c r="N17" i="26"/>
  <c r="N18" i="26"/>
  <c r="N19" i="26"/>
  <c r="N20" i="26"/>
  <c r="N21" i="26"/>
  <c r="N77" i="26" s="1"/>
  <c r="N22" i="26"/>
  <c r="N23" i="26"/>
  <c r="N24" i="26"/>
  <c r="N25" i="26"/>
  <c r="N26" i="26"/>
  <c r="N27" i="26"/>
  <c r="N28" i="26"/>
  <c r="N29" i="26"/>
  <c r="N30" i="26"/>
  <c r="N31" i="26"/>
  <c r="N32" i="26"/>
  <c r="N33" i="26"/>
  <c r="N34" i="26"/>
  <c r="N14" i="26"/>
  <c r="M91" i="26"/>
  <c r="M63" i="26"/>
  <c r="L63" i="26"/>
  <c r="K63" i="26"/>
  <c r="J63" i="26"/>
  <c r="I63" i="26"/>
  <c r="H63" i="26"/>
  <c r="G63" i="26"/>
  <c r="F63" i="26"/>
  <c r="E63" i="26"/>
  <c r="D63" i="26"/>
  <c r="C63" i="26"/>
  <c r="B63" i="26"/>
  <c r="C35" i="26"/>
  <c r="D35" i="26"/>
  <c r="E35" i="26"/>
  <c r="F35" i="26"/>
  <c r="G35" i="26"/>
  <c r="H35" i="26"/>
  <c r="I35" i="26"/>
  <c r="J35" i="26"/>
  <c r="K35" i="26"/>
  <c r="L35" i="26"/>
  <c r="M35" i="26"/>
  <c r="B35" i="26"/>
  <c r="N66" i="25"/>
  <c r="N65" i="25"/>
  <c r="N64" i="25"/>
  <c r="N63" i="25"/>
  <c r="N62" i="25"/>
  <c r="N61" i="25"/>
  <c r="N60" i="25"/>
  <c r="N59" i="25"/>
  <c r="N58" i="25"/>
  <c r="N57" i="25"/>
  <c r="N56" i="25"/>
  <c r="N55" i="25"/>
  <c r="N54" i="25"/>
  <c r="N53" i="25"/>
  <c r="N52" i="25"/>
  <c r="N51" i="25"/>
  <c r="N50" i="25"/>
  <c r="N49" i="25"/>
  <c r="N48" i="25"/>
  <c r="N47" i="25"/>
  <c r="N46" i="25"/>
  <c r="N45" i="25"/>
  <c r="N44" i="25"/>
  <c r="J36" i="25"/>
  <c r="N36" i="25" s="1"/>
  <c r="J34" i="25"/>
  <c r="N34" i="25" s="1"/>
  <c r="J32" i="25"/>
  <c r="N32" i="25" s="1"/>
  <c r="J30" i="25"/>
  <c r="N30" i="25" s="1"/>
  <c r="J29" i="25"/>
  <c r="N29" i="25" s="1"/>
  <c r="J28" i="25"/>
  <c r="N28" i="25" s="1"/>
  <c r="J26" i="25"/>
  <c r="N26" i="25" s="1"/>
  <c r="J25" i="25"/>
  <c r="N25" i="25" s="1"/>
  <c r="J24" i="25"/>
  <c r="N24" i="25" s="1"/>
  <c r="J27" i="25"/>
  <c r="N27" i="25" s="1"/>
  <c r="J16" i="25"/>
  <c r="N16" i="25" s="1"/>
  <c r="J17" i="25"/>
  <c r="N17" i="25" s="1"/>
  <c r="J18" i="25"/>
  <c r="N18" i="25" s="1"/>
  <c r="J19" i="25"/>
  <c r="N19" i="25" s="1"/>
  <c r="J20" i="25"/>
  <c r="N20" i="25" s="1"/>
  <c r="J21" i="25"/>
  <c r="N21" i="25" s="1"/>
  <c r="J22" i="25"/>
  <c r="N22" i="25" s="1"/>
  <c r="J15" i="25"/>
  <c r="N15" i="25" s="1"/>
  <c r="J35" i="25"/>
  <c r="N35" i="25" s="1"/>
  <c r="J33" i="25"/>
  <c r="N33" i="25" s="1"/>
  <c r="J31" i="25"/>
  <c r="N31" i="25" s="1"/>
  <c r="J23" i="25"/>
  <c r="N23" i="25" s="1"/>
  <c r="J14" i="25"/>
  <c r="N14" i="25" s="1"/>
  <c r="M37" i="25"/>
  <c r="M67" i="25"/>
  <c r="L67" i="25"/>
  <c r="K67" i="25"/>
  <c r="J67" i="25"/>
  <c r="I67" i="25"/>
  <c r="H67" i="25"/>
  <c r="G67" i="25"/>
  <c r="F67" i="25"/>
  <c r="E67" i="25"/>
  <c r="D67" i="25"/>
  <c r="C67" i="25"/>
  <c r="B67" i="25"/>
  <c r="C37" i="25"/>
  <c r="D37" i="25"/>
  <c r="E37" i="25"/>
  <c r="F37" i="25"/>
  <c r="G37" i="25"/>
  <c r="H37" i="25"/>
  <c r="I37" i="25"/>
  <c r="K37" i="25"/>
  <c r="L37" i="25"/>
  <c r="B37" i="25"/>
  <c r="N41" i="24"/>
  <c r="N40" i="24"/>
  <c r="N39" i="24"/>
  <c r="N38" i="24"/>
  <c r="N37" i="24"/>
  <c r="N36" i="24"/>
  <c r="N35" i="24"/>
  <c r="N34" i="24"/>
  <c r="N33" i="24"/>
  <c r="N32" i="24"/>
  <c r="N31" i="24"/>
  <c r="N30" i="24"/>
  <c r="N29" i="24"/>
  <c r="N27" i="24"/>
  <c r="N26" i="24"/>
  <c r="N25" i="24"/>
  <c r="N24" i="24"/>
  <c r="N23" i="24"/>
  <c r="N22" i="24"/>
  <c r="N21" i="24"/>
  <c r="N20" i="24"/>
  <c r="N19" i="24"/>
  <c r="N18" i="24"/>
  <c r="N17" i="24"/>
  <c r="N16" i="24"/>
  <c r="N15" i="24"/>
  <c r="N14"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F28" i="24"/>
  <c r="G28" i="24"/>
  <c r="G42" i="24" s="1"/>
  <c r="B28" i="24"/>
  <c r="M77" i="24"/>
  <c r="K77" i="24"/>
  <c r="J77" i="24"/>
  <c r="L77" i="24"/>
  <c r="I77" i="24"/>
  <c r="H77" i="24"/>
  <c r="G77" i="24"/>
  <c r="F77" i="24"/>
  <c r="E77" i="24"/>
  <c r="D77" i="24"/>
  <c r="C77" i="24"/>
  <c r="B77" i="24"/>
  <c r="C42" i="24"/>
  <c r="D42" i="24"/>
  <c r="E42" i="24"/>
  <c r="H42" i="24"/>
  <c r="I42" i="24"/>
  <c r="L42" i="24"/>
  <c r="J42" i="24"/>
  <c r="K42" i="24"/>
  <c r="M42" i="24"/>
  <c r="N79" i="26" l="1"/>
  <c r="N71" i="26"/>
  <c r="N75" i="26"/>
  <c r="N83" i="26"/>
  <c r="N70" i="26"/>
  <c r="N63" i="26"/>
  <c r="N72" i="26"/>
  <c r="N76" i="26"/>
  <c r="N80" i="26"/>
  <c r="N84" i="26"/>
  <c r="N88" i="26"/>
  <c r="N87" i="26"/>
  <c r="N73" i="26"/>
  <c r="N81" i="26"/>
  <c r="N85" i="26"/>
  <c r="N89" i="26"/>
  <c r="N74" i="26"/>
  <c r="N78" i="26"/>
  <c r="N82" i="26"/>
  <c r="N86" i="26"/>
  <c r="N90" i="26"/>
  <c r="E91" i="26"/>
  <c r="N67" i="25"/>
  <c r="F42" i="24"/>
  <c r="N77" i="24"/>
  <c r="N28" i="24"/>
  <c r="N35" i="26"/>
  <c r="C91" i="26"/>
  <c r="I91" i="26"/>
  <c r="B91" i="26"/>
  <c r="K91" i="26"/>
  <c r="G91" i="26"/>
  <c r="L91" i="26"/>
  <c r="H91" i="26"/>
  <c r="D91" i="26"/>
  <c r="J91" i="26"/>
  <c r="F91" i="26"/>
  <c r="J37" i="25"/>
  <c r="N37" i="25" s="1"/>
  <c r="N80" i="25"/>
  <c r="N76" i="25"/>
  <c r="N75" i="25"/>
  <c r="N88" i="25"/>
  <c r="N90" i="25"/>
  <c r="N94" i="25"/>
  <c r="N85" i="25"/>
  <c r="N86" i="25"/>
  <c r="N92" i="25"/>
  <c r="N96" i="25"/>
  <c r="N87" i="25"/>
  <c r="N82" i="25"/>
  <c r="N84" i="25"/>
  <c r="H97" i="25"/>
  <c r="D97" i="25"/>
  <c r="M97" i="25"/>
  <c r="N74" i="25"/>
  <c r="N81" i="25"/>
  <c r="N77" i="25"/>
  <c r="N93" i="25"/>
  <c r="N78" i="25"/>
  <c r="N91" i="25"/>
  <c r="L97" i="25"/>
  <c r="N95" i="25"/>
  <c r="N89" i="25"/>
  <c r="N79" i="25"/>
  <c r="N83" i="25"/>
  <c r="G97" i="25"/>
  <c r="K97" i="25"/>
  <c r="F97" i="25"/>
  <c r="B97" i="25"/>
  <c r="C97" i="25"/>
  <c r="I97" i="25"/>
  <c r="E97" i="25"/>
  <c r="B42" i="24"/>
  <c r="C112" i="24"/>
  <c r="E112" i="24"/>
  <c r="M112" i="24"/>
  <c r="J112" i="24"/>
  <c r="G112" i="24"/>
  <c r="I112" i="24"/>
  <c r="K112" i="24"/>
  <c r="H112" i="24"/>
  <c r="D112" i="24"/>
  <c r="B112" i="24"/>
  <c r="L112" i="24"/>
  <c r="F112" i="24"/>
  <c r="N91" i="26" l="1"/>
  <c r="N42" i="24"/>
  <c r="N97" i="25"/>
  <c r="N111" i="23" l="1"/>
  <c r="N110" i="23"/>
  <c r="N109" i="23"/>
  <c r="N108" i="23"/>
  <c r="N107" i="23"/>
  <c r="N106" i="23"/>
  <c r="N105" i="23"/>
  <c r="N104" i="23"/>
  <c r="N103" i="23"/>
  <c r="N102" i="23"/>
  <c r="N101" i="23"/>
  <c r="N100" i="23"/>
  <c r="N99" i="23"/>
  <c r="N98" i="23"/>
  <c r="N97" i="23"/>
  <c r="N96" i="23"/>
  <c r="N95" i="23"/>
  <c r="N94" i="23"/>
  <c r="N93" i="23"/>
  <c r="N92" i="23"/>
  <c r="N91" i="23"/>
  <c r="N90" i="23"/>
  <c r="N89" i="23"/>
  <c r="N88" i="23"/>
  <c r="N87" i="23"/>
  <c r="N86" i="23"/>
  <c r="N85" i="23"/>
  <c r="N84" i="23"/>
  <c r="N83" i="23"/>
  <c r="N82" i="23"/>
  <c r="N81" i="23"/>
  <c r="N80" i="23"/>
  <c r="N79" i="23"/>
  <c r="N78" i="23"/>
  <c r="N77" i="23"/>
  <c r="N76" i="23"/>
  <c r="N75" i="23"/>
  <c r="N74" i="23"/>
  <c r="N73" i="23"/>
  <c r="N72" i="23"/>
  <c r="N71" i="23"/>
  <c r="N70" i="23"/>
  <c r="N69" i="23"/>
  <c r="N68" i="23"/>
  <c r="N67" i="23"/>
  <c r="N66" i="23"/>
  <c r="N16" i="23"/>
  <c r="N15" i="23"/>
  <c r="N19" i="23"/>
  <c r="N20" i="23"/>
  <c r="N18" i="23"/>
  <c r="N22" i="23"/>
  <c r="N26" i="23"/>
  <c r="N25" i="23"/>
  <c r="N24" i="23"/>
  <c r="N30" i="23"/>
  <c r="N29" i="23"/>
  <c r="N28" i="23"/>
  <c r="N32" i="23"/>
  <c r="N33" i="23"/>
  <c r="N34" i="23"/>
  <c r="N35" i="23"/>
  <c r="N37" i="23"/>
  <c r="N45" i="23"/>
  <c r="N44" i="23"/>
  <c r="N40" i="23"/>
  <c r="N41" i="23"/>
  <c r="N42" i="23"/>
  <c r="N39" i="23"/>
  <c r="N54" i="23"/>
  <c r="N52" i="23"/>
  <c r="N50" i="23"/>
  <c r="N49" i="23"/>
  <c r="N48" i="23"/>
  <c r="N47" i="23"/>
  <c r="N57" i="23"/>
  <c r="N58" i="23"/>
  <c r="N56" i="23"/>
  <c r="N55" i="23"/>
  <c r="N53" i="23"/>
  <c r="N51" i="23"/>
  <c r="N46" i="23"/>
  <c r="N43" i="23"/>
  <c r="N38" i="23"/>
  <c r="N36" i="23"/>
  <c r="N27" i="23"/>
  <c r="N23" i="23"/>
  <c r="N21" i="23"/>
  <c r="N17" i="23"/>
  <c r="N14" i="23"/>
  <c r="N183" i="22"/>
  <c r="N182" i="22"/>
  <c r="N179" i="22"/>
  <c r="N174" i="22"/>
  <c r="N153" i="22"/>
  <c r="N156" i="22"/>
  <c r="N155" i="22"/>
  <c r="N154" i="22"/>
  <c r="N157" i="22"/>
  <c r="M151" i="22"/>
  <c r="N151" i="22" s="1"/>
  <c r="M152" i="22"/>
  <c r="N152" i="22" s="1"/>
  <c r="M150" i="22"/>
  <c r="N150" i="22" s="1"/>
  <c r="M160" i="22"/>
  <c r="N160" i="22" s="1"/>
  <c r="M161" i="22"/>
  <c r="N161" i="22" s="1"/>
  <c r="M162" i="22"/>
  <c r="N162" i="22" s="1"/>
  <c r="M163" i="22"/>
  <c r="N163" i="22" s="1"/>
  <c r="M159" i="22"/>
  <c r="N159" i="22" s="1"/>
  <c r="M158" i="22"/>
  <c r="N158" i="22" s="1"/>
  <c r="M165" i="22"/>
  <c r="N165" i="22" s="1"/>
  <c r="M166" i="22"/>
  <c r="N166" i="22" s="1"/>
  <c r="M167" i="22"/>
  <c r="N167" i="22" s="1"/>
  <c r="M168" i="22"/>
  <c r="N168" i="22" s="1"/>
  <c r="M169" i="22"/>
  <c r="N169" i="22" s="1"/>
  <c r="M170" i="22"/>
  <c r="N170" i="22" s="1"/>
  <c r="M171" i="22"/>
  <c r="N171" i="22" s="1"/>
  <c r="M172" i="22"/>
  <c r="N172" i="22" s="1"/>
  <c r="M173" i="22"/>
  <c r="N173" i="22" s="1"/>
  <c r="M177" i="22"/>
  <c r="N177" i="22" s="1"/>
  <c r="M178" i="22"/>
  <c r="N178" i="22" s="1"/>
  <c r="M185" i="22"/>
  <c r="N185" i="22" s="1"/>
  <c r="M187" i="22"/>
  <c r="N187" i="22" s="1"/>
  <c r="M189" i="22"/>
  <c r="N189" i="22" s="1"/>
  <c r="M190" i="22"/>
  <c r="M164" i="22"/>
  <c r="N164" i="22" s="1"/>
  <c r="M176" i="22"/>
  <c r="N176" i="22" s="1"/>
  <c r="M184" i="22"/>
  <c r="N184" i="22" s="1"/>
  <c r="M186" i="22"/>
  <c r="N186" i="22" s="1"/>
  <c r="M188" i="22"/>
  <c r="N188" i="22" s="1"/>
  <c r="M149" i="22"/>
  <c r="N149" i="22" s="1"/>
  <c r="M145" i="22"/>
  <c r="N145" i="22" s="1"/>
  <c r="M147" i="22"/>
  <c r="N147" i="22" s="1"/>
  <c r="M148" i="22"/>
  <c r="N148" i="22" s="1"/>
  <c r="M146" i="22"/>
  <c r="N146" i="22" s="1"/>
  <c r="M138" i="22"/>
  <c r="N138" i="22" s="1"/>
  <c r="M139" i="22"/>
  <c r="N139" i="22" s="1"/>
  <c r="M140" i="22"/>
  <c r="N140" i="22" s="1"/>
  <c r="M141" i="22"/>
  <c r="N141" i="22" s="1"/>
  <c r="M142" i="22"/>
  <c r="N142" i="22" s="1"/>
  <c r="M143" i="22"/>
  <c r="N143" i="22" s="1"/>
  <c r="M144" i="22"/>
  <c r="N144" i="22" s="1"/>
  <c r="M137" i="22"/>
  <c r="N137" i="22" s="1"/>
  <c r="M136" i="22"/>
  <c r="N136" i="22" s="1"/>
  <c r="N92" i="22"/>
  <c r="N97" i="22"/>
  <c r="N103" i="22"/>
  <c r="N113" i="22"/>
  <c r="N115" i="22"/>
  <c r="N118" i="22"/>
  <c r="N121" i="22"/>
  <c r="N123" i="22"/>
  <c r="N127" i="22"/>
  <c r="N125" i="22"/>
  <c r="N126" i="22"/>
  <c r="N124" i="22"/>
  <c r="N117" i="22"/>
  <c r="N116" i="22"/>
  <c r="N109" i="22"/>
  <c r="N110" i="22"/>
  <c r="N111" i="22"/>
  <c r="N112" i="22"/>
  <c r="N108" i="22"/>
  <c r="N107" i="22"/>
  <c r="N106" i="22"/>
  <c r="N105" i="22"/>
  <c r="N104" i="22"/>
  <c r="N102" i="22"/>
  <c r="N101" i="22"/>
  <c r="N100" i="22"/>
  <c r="N99" i="22"/>
  <c r="N98" i="22"/>
  <c r="N96" i="22"/>
  <c r="N95" i="22"/>
  <c r="N94" i="22"/>
  <c r="N93" i="22"/>
  <c r="N90" i="22"/>
  <c r="N91" i="22"/>
  <c r="N89" i="22"/>
  <c r="N86" i="22"/>
  <c r="N87" i="22"/>
  <c r="N85" i="22"/>
  <c r="N77" i="22"/>
  <c r="N78" i="22"/>
  <c r="N79" i="22"/>
  <c r="N80" i="22"/>
  <c r="N81" i="22"/>
  <c r="N82" i="22"/>
  <c r="N83" i="22"/>
  <c r="N76" i="22"/>
  <c r="N88" i="22"/>
  <c r="N84" i="22"/>
  <c r="N75" i="22"/>
  <c r="N190" i="22" l="1"/>
  <c r="T26" i="22" s="1"/>
  <c r="T25" i="22"/>
  <c r="M119" i="23"/>
  <c r="N119" i="23" s="1"/>
  <c r="M120" i="23"/>
  <c r="N120" i="23" s="1"/>
  <c r="M121" i="23"/>
  <c r="N121" i="23" s="1"/>
  <c r="M122" i="23"/>
  <c r="N122" i="23" s="1"/>
  <c r="M123" i="23"/>
  <c r="N123" i="23" s="1"/>
  <c r="M124" i="23"/>
  <c r="N124" i="23" s="1"/>
  <c r="M125" i="23"/>
  <c r="N125" i="23" s="1"/>
  <c r="M126" i="23"/>
  <c r="N126" i="23" s="1"/>
  <c r="M127" i="23"/>
  <c r="N127" i="23" s="1"/>
  <c r="M128" i="23"/>
  <c r="N128" i="23" s="1"/>
  <c r="M129" i="23"/>
  <c r="N129" i="23" s="1"/>
  <c r="M130" i="23"/>
  <c r="N130" i="23" s="1"/>
  <c r="M131" i="23"/>
  <c r="N131" i="23" s="1"/>
  <c r="M132" i="23"/>
  <c r="N132" i="23" s="1"/>
  <c r="M133" i="23"/>
  <c r="N133" i="23" s="1"/>
  <c r="M134" i="23"/>
  <c r="N134" i="23" s="1"/>
  <c r="M135" i="23"/>
  <c r="M136" i="23"/>
  <c r="N136" i="23" s="1"/>
  <c r="M137" i="23"/>
  <c r="N137" i="23" s="1"/>
  <c r="M138" i="23"/>
  <c r="N138" i="23" s="1"/>
  <c r="M139" i="23"/>
  <c r="N139" i="23" s="1"/>
  <c r="M140" i="23"/>
  <c r="N140" i="23" s="1"/>
  <c r="M141" i="23"/>
  <c r="N141" i="23" s="1"/>
  <c r="M142" i="23"/>
  <c r="N142" i="23" s="1"/>
  <c r="M143" i="23"/>
  <c r="N143" i="23" s="1"/>
  <c r="M144" i="23"/>
  <c r="N144" i="23" s="1"/>
  <c r="M145" i="23"/>
  <c r="N145" i="23" s="1"/>
  <c r="M146" i="23"/>
  <c r="N146" i="23" s="1"/>
  <c r="M147" i="23"/>
  <c r="N147" i="23" s="1"/>
  <c r="M148" i="23"/>
  <c r="N148" i="23" s="1"/>
  <c r="M149" i="23"/>
  <c r="N149" i="23" s="1"/>
  <c r="M150" i="23"/>
  <c r="N150" i="23" s="1"/>
  <c r="M151" i="23"/>
  <c r="N151" i="23" s="1"/>
  <c r="M152" i="23"/>
  <c r="N152" i="23" s="1"/>
  <c r="M153" i="23"/>
  <c r="N153" i="23" s="1"/>
  <c r="M154" i="23"/>
  <c r="N154" i="23" s="1"/>
  <c r="M155" i="23"/>
  <c r="N155" i="23" s="1"/>
  <c r="M156" i="23"/>
  <c r="N156" i="23" s="1"/>
  <c r="M157" i="23"/>
  <c r="N157" i="23" s="1"/>
  <c r="M158" i="23"/>
  <c r="N158" i="23" s="1"/>
  <c r="M159" i="23"/>
  <c r="N159" i="23" s="1"/>
  <c r="M160" i="23"/>
  <c r="N160" i="23" s="1"/>
  <c r="M161" i="23"/>
  <c r="N161" i="23" s="1"/>
  <c r="M162" i="23"/>
  <c r="N162" i="23" s="1"/>
  <c r="M163" i="23"/>
  <c r="N163" i="23" s="1"/>
  <c r="M118" i="23"/>
  <c r="N118" i="23" s="1"/>
  <c r="I135" i="23"/>
  <c r="G135" i="23"/>
  <c r="B135" i="23"/>
  <c r="N59" i="23"/>
  <c r="G31" i="23"/>
  <c r="B31" i="23"/>
  <c r="N31" i="23" l="1"/>
  <c r="N135" i="23"/>
  <c r="M76" i="20"/>
  <c r="M77" i="20"/>
  <c r="M78" i="20"/>
  <c r="M79" i="20"/>
  <c r="M81" i="20"/>
  <c r="M88" i="20"/>
  <c r="M90" i="20"/>
  <c r="M92" i="20"/>
  <c r="M95" i="20"/>
  <c r="M100" i="20"/>
  <c r="M103" i="20"/>
  <c r="M104" i="20"/>
  <c r="M105" i="20"/>
  <c r="M106" i="20"/>
  <c r="M107" i="20"/>
  <c r="M108" i="20"/>
  <c r="M109" i="20"/>
  <c r="M110" i="20"/>
  <c r="M111" i="20"/>
  <c r="M116" i="20"/>
  <c r="M118" i="20"/>
  <c r="M120" i="20"/>
  <c r="M122" i="20"/>
  <c r="M124" i="20"/>
  <c r="M126" i="20"/>
  <c r="M75" i="20"/>
  <c r="L123" i="20"/>
  <c r="L121" i="20"/>
  <c r="L117" i="20"/>
  <c r="L115" i="20"/>
  <c r="L112" i="20"/>
  <c r="L102" i="20"/>
  <c r="L96" i="20"/>
  <c r="L91" i="20"/>
  <c r="L87" i="20"/>
  <c r="L83" i="20"/>
  <c r="L74" i="20"/>
  <c r="M17" i="20"/>
  <c r="M18" i="20"/>
  <c r="M19" i="20"/>
  <c r="M20" i="20"/>
  <c r="M21" i="20"/>
  <c r="M22" i="20"/>
  <c r="M24" i="20"/>
  <c r="M26" i="20"/>
  <c r="M28" i="20"/>
  <c r="M29" i="20"/>
  <c r="M30" i="20"/>
  <c r="M34" i="20"/>
  <c r="M35" i="20"/>
  <c r="M37" i="20"/>
  <c r="M38" i="20"/>
  <c r="M40" i="20"/>
  <c r="M41" i="20"/>
  <c r="M43" i="20"/>
  <c r="M46" i="20"/>
  <c r="M47" i="20"/>
  <c r="M48" i="20"/>
  <c r="M53" i="20"/>
  <c r="M54" i="20"/>
  <c r="M58" i="20"/>
  <c r="M62" i="20"/>
  <c r="M64" i="20"/>
  <c r="M66" i="20"/>
  <c r="M186" i="20" s="1"/>
  <c r="L65" i="20"/>
  <c r="L63" i="20"/>
  <c r="L61" i="20"/>
  <c r="L59" i="20"/>
  <c r="L57" i="20"/>
  <c r="L55" i="20"/>
  <c r="L52" i="20"/>
  <c r="L42" i="20"/>
  <c r="L36" i="20"/>
  <c r="L31" i="20"/>
  <c r="L27" i="20"/>
  <c r="L23" i="20"/>
  <c r="L14" i="20"/>
  <c r="M150" i="20" l="1"/>
  <c r="M138" i="20"/>
  <c r="M155" i="20"/>
  <c r="M178" i="20"/>
  <c r="M148" i="20"/>
  <c r="M137" i="20"/>
  <c r="M166" i="20"/>
  <c r="M163" i="20"/>
  <c r="M160" i="20"/>
  <c r="M141" i="20"/>
  <c r="M182" i="20"/>
  <c r="M167" i="20"/>
  <c r="M184" i="20"/>
  <c r="M168" i="20"/>
  <c r="M139" i="20"/>
  <c r="L127" i="20"/>
  <c r="U24" i="20" s="1"/>
  <c r="L67" i="20"/>
  <c r="Q24" i="20" s="1"/>
  <c r="L187" i="20" l="1"/>
  <c r="S24" i="20" s="1"/>
  <c r="Z160" i="16" l="1"/>
  <c r="Z158" i="16"/>
  <c r="Z156" i="16"/>
  <c r="Z161" i="16"/>
  <c r="Z159" i="16"/>
  <c r="Z157" i="16"/>
  <c r="Z155" i="16"/>
  <c r="Z154" i="16"/>
  <c r="Z71" i="16" s="1"/>
  <c r="Z153" i="16"/>
  <c r="Z151" i="16"/>
  <c r="Z150" i="16"/>
  <c r="Z149" i="16"/>
  <c r="Z143" i="16"/>
  <c r="Z144" i="16"/>
  <c r="Z145" i="16"/>
  <c r="Z146" i="16"/>
  <c r="Z63" i="16" s="1"/>
  <c r="Z147" i="16"/>
  <c r="Z142" i="16"/>
  <c r="AE161" i="16"/>
  <c r="AD161" i="16"/>
  <c r="AC161" i="16"/>
  <c r="AE160" i="16"/>
  <c r="AD160" i="16"/>
  <c r="AC160" i="16"/>
  <c r="AE159" i="16"/>
  <c r="AD159" i="16"/>
  <c r="AC159" i="16"/>
  <c r="AE158" i="16"/>
  <c r="AD158" i="16"/>
  <c r="AC158" i="16"/>
  <c r="AE157" i="16"/>
  <c r="AD157" i="16"/>
  <c r="AC157" i="16"/>
  <c r="AE156" i="16"/>
  <c r="AD156" i="16"/>
  <c r="AC156" i="16"/>
  <c r="AE155" i="16"/>
  <c r="AD155" i="16"/>
  <c r="AC155" i="16"/>
  <c r="AE154" i="16"/>
  <c r="AD154" i="16"/>
  <c r="AC154" i="16"/>
  <c r="AE153" i="16"/>
  <c r="AD153" i="16"/>
  <c r="AC153" i="16"/>
  <c r="Y152" i="16"/>
  <c r="X152" i="16"/>
  <c r="W152" i="16"/>
  <c r="V152" i="16"/>
  <c r="V69" i="16" s="1"/>
  <c r="U152" i="16"/>
  <c r="U69" i="16" s="1"/>
  <c r="T152" i="16"/>
  <c r="T69" i="16" s="1"/>
  <c r="S152" i="16"/>
  <c r="S69" i="16" s="1"/>
  <c r="R152" i="16"/>
  <c r="R69" i="16" s="1"/>
  <c r="Q152" i="16"/>
  <c r="Q69" i="16" s="1"/>
  <c r="P152" i="16"/>
  <c r="P69" i="16" s="1"/>
  <c r="O152" i="16"/>
  <c r="O69" i="16" s="1"/>
  <c r="N152" i="16"/>
  <c r="N69" i="16" s="1"/>
  <c r="M152" i="16"/>
  <c r="M69" i="16" s="1"/>
  <c r="L152" i="16"/>
  <c r="L69" i="16" s="1"/>
  <c r="K152" i="16"/>
  <c r="K69" i="16" s="1"/>
  <c r="J152" i="16"/>
  <c r="J69" i="16" s="1"/>
  <c r="I152" i="16"/>
  <c r="I69" i="16" s="1"/>
  <c r="H152" i="16"/>
  <c r="H69" i="16" s="1"/>
  <c r="G152" i="16"/>
  <c r="G69" i="16" s="1"/>
  <c r="F152" i="16"/>
  <c r="F69" i="16" s="1"/>
  <c r="E152" i="16"/>
  <c r="E69" i="16" s="1"/>
  <c r="D152" i="16"/>
  <c r="C152" i="16"/>
  <c r="AD151" i="16"/>
  <c r="AC151" i="16"/>
  <c r="AE151" i="16"/>
  <c r="AE150" i="16"/>
  <c r="AD150" i="16"/>
  <c r="AC150" i="16"/>
  <c r="AD149" i="16"/>
  <c r="AC149" i="16"/>
  <c r="AE149" i="16"/>
  <c r="X148" i="16"/>
  <c r="X65" i="16" s="1"/>
  <c r="W148" i="16"/>
  <c r="V148" i="16"/>
  <c r="V65" i="16" s="1"/>
  <c r="U148" i="16"/>
  <c r="U65" i="16" s="1"/>
  <c r="T148" i="16"/>
  <c r="T65" i="16" s="1"/>
  <c r="S148" i="16"/>
  <c r="R148" i="16"/>
  <c r="R65" i="16" s="1"/>
  <c r="Q148" i="16"/>
  <c r="Q65" i="16" s="1"/>
  <c r="P148" i="16"/>
  <c r="P65" i="16" s="1"/>
  <c r="O148" i="16"/>
  <c r="O65" i="16" s="1"/>
  <c r="N148" i="16"/>
  <c r="N65" i="16" s="1"/>
  <c r="M148" i="16"/>
  <c r="M65" i="16" s="1"/>
  <c r="L148" i="16"/>
  <c r="L65" i="16" s="1"/>
  <c r="K148" i="16"/>
  <c r="K65" i="16" s="1"/>
  <c r="H148" i="16"/>
  <c r="H65" i="16" s="1"/>
  <c r="G148" i="16"/>
  <c r="G65" i="16" s="1"/>
  <c r="E148" i="16"/>
  <c r="E65" i="16" s="1"/>
  <c r="C148" i="16"/>
  <c r="B148" i="16"/>
  <c r="AE147" i="16"/>
  <c r="AD147" i="16"/>
  <c r="AC147" i="16"/>
  <c r="AE146" i="16"/>
  <c r="AD146" i="16"/>
  <c r="AC146" i="16"/>
  <c r="AE145" i="16"/>
  <c r="AD145" i="16"/>
  <c r="AC145" i="16"/>
  <c r="AE144" i="16"/>
  <c r="AD144" i="16"/>
  <c r="AC144" i="16"/>
  <c r="AE143" i="16"/>
  <c r="AD143" i="16"/>
  <c r="AC143" i="16"/>
  <c r="AE142" i="16"/>
  <c r="AD142" i="16"/>
  <c r="AC142" i="16"/>
  <c r="AE141" i="16"/>
  <c r="K141" i="16"/>
  <c r="K58" i="16" s="1"/>
  <c r="J141" i="16"/>
  <c r="J58" i="16" s="1"/>
  <c r="H141" i="16"/>
  <c r="H58" i="16" s="1"/>
  <c r="C141" i="16"/>
  <c r="C53" i="10"/>
  <c r="G43" i="10" s="1"/>
  <c r="I43" i="10" s="1"/>
  <c r="Z245" i="16"/>
  <c r="Z243" i="16"/>
  <c r="Z241" i="16"/>
  <c r="Z238" i="16"/>
  <c r="Z237" i="16"/>
  <c r="Z234" i="16"/>
  <c r="Z227" i="16"/>
  <c r="Z228" i="16"/>
  <c r="Z229" i="16"/>
  <c r="Z230" i="16"/>
  <c r="Z231" i="16"/>
  <c r="Z226" i="16"/>
  <c r="Z120" i="16"/>
  <c r="Z118" i="16"/>
  <c r="Z116" i="16"/>
  <c r="Z114" i="16"/>
  <c r="Z113" i="16"/>
  <c r="Z112" i="16"/>
  <c r="Z110" i="16"/>
  <c r="Z109" i="16"/>
  <c r="Z108" i="16"/>
  <c r="Z106" i="16"/>
  <c r="Z24" i="16" s="1"/>
  <c r="Z105" i="16"/>
  <c r="Z23" i="16" s="1"/>
  <c r="Z104" i="16"/>
  <c r="Z22" i="16" s="1"/>
  <c r="C119" i="16"/>
  <c r="C37" i="16" s="1"/>
  <c r="D119" i="16"/>
  <c r="D37" i="16" s="1"/>
  <c r="E119" i="16"/>
  <c r="E37" i="16" s="1"/>
  <c r="F119" i="16"/>
  <c r="F37" i="16" s="1"/>
  <c r="G119" i="16"/>
  <c r="G37" i="16" s="1"/>
  <c r="H119" i="16"/>
  <c r="H37" i="16" s="1"/>
  <c r="I119" i="16"/>
  <c r="I37" i="16" s="1"/>
  <c r="J119" i="16"/>
  <c r="J37" i="16" s="1"/>
  <c r="K119" i="16"/>
  <c r="K37" i="16" s="1"/>
  <c r="L119" i="16"/>
  <c r="L37" i="16" s="1"/>
  <c r="M119" i="16"/>
  <c r="M37" i="16" s="1"/>
  <c r="N119" i="16"/>
  <c r="N37" i="16" s="1"/>
  <c r="O119" i="16"/>
  <c r="O37" i="16" s="1"/>
  <c r="P119" i="16"/>
  <c r="P37" i="16" s="1"/>
  <c r="Q119" i="16"/>
  <c r="Q37" i="16" s="1"/>
  <c r="R119" i="16"/>
  <c r="R37" i="16" s="1"/>
  <c r="S119" i="16"/>
  <c r="S37" i="16" s="1"/>
  <c r="T119" i="16"/>
  <c r="T37" i="16" s="1"/>
  <c r="U119" i="16"/>
  <c r="U37" i="16" s="1"/>
  <c r="V119" i="16"/>
  <c r="V37" i="16" s="1"/>
  <c r="W119" i="16"/>
  <c r="W37" i="16" s="1"/>
  <c r="X119" i="16"/>
  <c r="X37" i="16" s="1"/>
  <c r="Y119" i="16"/>
  <c r="Y37" i="16" s="1"/>
  <c r="C117" i="16"/>
  <c r="C35" i="16" s="1"/>
  <c r="D117" i="16"/>
  <c r="D35" i="16" s="1"/>
  <c r="E117" i="16"/>
  <c r="E35" i="16" s="1"/>
  <c r="F117" i="16"/>
  <c r="F35" i="16" s="1"/>
  <c r="G117" i="16"/>
  <c r="G35" i="16" s="1"/>
  <c r="H117" i="16"/>
  <c r="H35" i="16" s="1"/>
  <c r="I117" i="16"/>
  <c r="I35" i="16" s="1"/>
  <c r="J117" i="16"/>
  <c r="J35" i="16" s="1"/>
  <c r="K117" i="16"/>
  <c r="K35" i="16" s="1"/>
  <c r="L117" i="16"/>
  <c r="L35" i="16" s="1"/>
  <c r="M117" i="16"/>
  <c r="M35" i="16" s="1"/>
  <c r="N117" i="16"/>
  <c r="N35" i="16" s="1"/>
  <c r="O117" i="16"/>
  <c r="O35" i="16" s="1"/>
  <c r="P117" i="16"/>
  <c r="P35" i="16" s="1"/>
  <c r="Q117" i="16"/>
  <c r="Q35" i="16" s="1"/>
  <c r="R117" i="16"/>
  <c r="R35" i="16" s="1"/>
  <c r="S117" i="16"/>
  <c r="S35" i="16" s="1"/>
  <c r="T117" i="16"/>
  <c r="T35" i="16" s="1"/>
  <c r="U117" i="16"/>
  <c r="U35" i="16" s="1"/>
  <c r="V117" i="16"/>
  <c r="V35" i="16" s="1"/>
  <c r="W117" i="16"/>
  <c r="W35" i="16" s="1"/>
  <c r="X117" i="16"/>
  <c r="X35" i="16" s="1"/>
  <c r="Y117" i="16"/>
  <c r="Y35" i="16" s="1"/>
  <c r="C115" i="16"/>
  <c r="C33" i="16" s="1"/>
  <c r="D115" i="16"/>
  <c r="D33" i="16" s="1"/>
  <c r="E115" i="16"/>
  <c r="E33" i="16" s="1"/>
  <c r="F115" i="16"/>
  <c r="F33" i="16" s="1"/>
  <c r="G115" i="16"/>
  <c r="G33" i="16" s="1"/>
  <c r="H115" i="16"/>
  <c r="H33" i="16" s="1"/>
  <c r="I115" i="16"/>
  <c r="I33" i="16" s="1"/>
  <c r="J115" i="16"/>
  <c r="J33" i="16" s="1"/>
  <c r="K115" i="16"/>
  <c r="K33" i="16" s="1"/>
  <c r="L115" i="16"/>
  <c r="L33" i="16" s="1"/>
  <c r="M115" i="16"/>
  <c r="M33" i="16" s="1"/>
  <c r="N115" i="16"/>
  <c r="N33" i="16" s="1"/>
  <c r="O115" i="16"/>
  <c r="O33" i="16" s="1"/>
  <c r="P115" i="16"/>
  <c r="P33" i="16" s="1"/>
  <c r="Q115" i="16"/>
  <c r="Q33" i="16" s="1"/>
  <c r="R115" i="16"/>
  <c r="R33" i="16" s="1"/>
  <c r="S115" i="16"/>
  <c r="S33" i="16" s="1"/>
  <c r="T115" i="16"/>
  <c r="T33" i="16" s="1"/>
  <c r="U115" i="16"/>
  <c r="U33" i="16" s="1"/>
  <c r="V115" i="16"/>
  <c r="V33" i="16" s="1"/>
  <c r="W115" i="16"/>
  <c r="W33" i="16" s="1"/>
  <c r="X115" i="16"/>
  <c r="X33" i="16" s="1"/>
  <c r="Y115" i="16"/>
  <c r="Y33" i="16" s="1"/>
  <c r="B119" i="16"/>
  <c r="B37" i="16" s="1"/>
  <c r="B117" i="16"/>
  <c r="B35" i="16" s="1"/>
  <c r="B115" i="16"/>
  <c r="B33" i="16" s="1"/>
  <c r="C111" i="16"/>
  <c r="D111" i="16"/>
  <c r="E111" i="16"/>
  <c r="F111" i="16"/>
  <c r="G111" i="16"/>
  <c r="H111" i="16"/>
  <c r="I111" i="16"/>
  <c r="J111" i="16"/>
  <c r="K111" i="16"/>
  <c r="L111" i="16"/>
  <c r="M111" i="16"/>
  <c r="N111" i="16"/>
  <c r="O111" i="16"/>
  <c r="P111" i="16"/>
  <c r="Q111" i="16"/>
  <c r="R111" i="16"/>
  <c r="S111" i="16"/>
  <c r="T111" i="16"/>
  <c r="T29" i="16" s="1"/>
  <c r="U111" i="16"/>
  <c r="V111" i="16"/>
  <c r="W111" i="16"/>
  <c r="X111" i="16"/>
  <c r="Y111" i="16"/>
  <c r="B111" i="16"/>
  <c r="Z97" i="16"/>
  <c r="Z98" i="16"/>
  <c r="Z99" i="16"/>
  <c r="Z100" i="16"/>
  <c r="Z101" i="16"/>
  <c r="Z102" i="16"/>
  <c r="Z103" i="16"/>
  <c r="Z96" i="16"/>
  <c r="C107" i="16"/>
  <c r="D107" i="16"/>
  <c r="E107" i="16"/>
  <c r="E25" i="16" s="1"/>
  <c r="F107" i="16"/>
  <c r="F25" i="16" s="1"/>
  <c r="G107" i="16"/>
  <c r="G25" i="16" s="1"/>
  <c r="H107" i="16"/>
  <c r="H25" i="16" s="1"/>
  <c r="I107" i="16"/>
  <c r="J107" i="16"/>
  <c r="J25" i="16" s="1"/>
  <c r="K107" i="16"/>
  <c r="K25" i="16" s="1"/>
  <c r="L107" i="16"/>
  <c r="L25" i="16" s="1"/>
  <c r="M107" i="16"/>
  <c r="N107" i="16"/>
  <c r="N25" i="16" s="1"/>
  <c r="O107" i="16"/>
  <c r="O25" i="16" s="1"/>
  <c r="P107" i="16"/>
  <c r="P25" i="16" s="1"/>
  <c r="Q107" i="16"/>
  <c r="Q25" i="16" s="1"/>
  <c r="R107" i="16"/>
  <c r="R25" i="16" s="1"/>
  <c r="S107" i="16"/>
  <c r="S25" i="16" s="1"/>
  <c r="T107" i="16"/>
  <c r="T25" i="16" s="1"/>
  <c r="U107" i="16"/>
  <c r="U25" i="16" s="1"/>
  <c r="V107" i="16"/>
  <c r="W107" i="16"/>
  <c r="X107" i="16"/>
  <c r="X25" i="16" s="1"/>
  <c r="Y107" i="16"/>
  <c r="B107" i="16"/>
  <c r="C95" i="16"/>
  <c r="F95" i="16"/>
  <c r="F13" i="16" s="1"/>
  <c r="G95" i="16"/>
  <c r="G13" i="16" s="1"/>
  <c r="H95" i="16"/>
  <c r="H13" i="16" s="1"/>
  <c r="J95" i="16"/>
  <c r="J13" i="16" s="1"/>
  <c r="L95" i="16"/>
  <c r="L13" i="16" s="1"/>
  <c r="M95" i="16"/>
  <c r="M13" i="16" s="1"/>
  <c r="Q95" i="16"/>
  <c r="Q13" i="16" s="1"/>
  <c r="R95" i="16"/>
  <c r="S95" i="16"/>
  <c r="S13" i="16" s="1"/>
  <c r="T95" i="16"/>
  <c r="U95" i="16"/>
  <c r="V95" i="16"/>
  <c r="V13" i="16" s="1"/>
  <c r="W95" i="16"/>
  <c r="W13" i="16" s="1"/>
  <c r="X95" i="16"/>
  <c r="Y95" i="16"/>
  <c r="B95" i="16"/>
  <c r="AE120" i="16"/>
  <c r="AD120" i="16"/>
  <c r="AE118" i="16"/>
  <c r="AD118" i="16"/>
  <c r="AC118" i="16"/>
  <c r="AE116" i="16"/>
  <c r="AD116" i="16"/>
  <c r="AC116" i="16"/>
  <c r="AE114" i="16"/>
  <c r="AD114" i="16"/>
  <c r="AE113" i="16"/>
  <c r="AD113" i="16"/>
  <c r="AC113" i="16"/>
  <c r="AE112" i="16"/>
  <c r="AC112" i="16"/>
  <c r="AE110" i="16"/>
  <c r="AD110" i="16"/>
  <c r="AC110" i="16"/>
  <c r="AE109" i="16"/>
  <c r="AD109" i="16"/>
  <c r="AC109" i="16"/>
  <c r="AE108" i="16"/>
  <c r="AD108" i="16"/>
  <c r="AC108" i="16"/>
  <c r="AE106" i="16"/>
  <c r="AD106" i="16"/>
  <c r="AC106" i="16"/>
  <c r="AE105" i="16"/>
  <c r="AD105" i="16"/>
  <c r="AC105" i="16"/>
  <c r="AE104" i="16"/>
  <c r="AD104" i="16"/>
  <c r="AC104" i="16"/>
  <c r="AE103" i="16"/>
  <c r="AD103" i="16"/>
  <c r="AC103" i="16"/>
  <c r="AE102" i="16"/>
  <c r="AD102" i="16"/>
  <c r="AC102" i="16"/>
  <c r="AE101" i="16"/>
  <c r="AD101" i="16"/>
  <c r="AC101" i="16"/>
  <c r="AE100" i="16"/>
  <c r="AD100" i="16"/>
  <c r="AC100" i="16"/>
  <c r="AE99" i="16"/>
  <c r="AD99" i="16"/>
  <c r="AC99" i="16"/>
  <c r="AE98" i="16"/>
  <c r="AD98" i="16"/>
  <c r="AC98" i="16"/>
  <c r="AE97" i="16"/>
  <c r="AD97" i="16"/>
  <c r="AC97" i="16"/>
  <c r="AE96" i="16"/>
  <c r="AD96" i="16"/>
  <c r="AC96" i="16"/>
  <c r="Y108" i="15"/>
  <c r="X108" i="15"/>
  <c r="W108" i="15"/>
  <c r="V108" i="15"/>
  <c r="U108" i="15"/>
  <c r="T108" i="15"/>
  <c r="S108" i="15"/>
  <c r="R108" i="15"/>
  <c r="Q108" i="15"/>
  <c r="P108" i="15"/>
  <c r="O108" i="15"/>
  <c r="N108" i="15"/>
  <c r="M108" i="15"/>
  <c r="L108" i="15"/>
  <c r="K108" i="15"/>
  <c r="J108" i="15"/>
  <c r="I108" i="15"/>
  <c r="H108" i="15"/>
  <c r="G108" i="15"/>
  <c r="F108" i="15"/>
  <c r="E108" i="15"/>
  <c r="D108" i="15"/>
  <c r="C108" i="15"/>
  <c r="B108" i="15"/>
  <c r="Y106" i="15"/>
  <c r="AE106" i="15" s="1"/>
  <c r="X106" i="15"/>
  <c r="W106" i="15"/>
  <c r="V106" i="15"/>
  <c r="U106" i="15"/>
  <c r="T106" i="15"/>
  <c r="S106" i="15"/>
  <c r="R106" i="15"/>
  <c r="Q106" i="15"/>
  <c r="P106" i="15"/>
  <c r="O106" i="15"/>
  <c r="N106" i="15"/>
  <c r="M106" i="15"/>
  <c r="L106" i="15"/>
  <c r="K106" i="15"/>
  <c r="J106" i="15"/>
  <c r="I106" i="15"/>
  <c r="H106" i="15"/>
  <c r="G106" i="15"/>
  <c r="F106" i="15"/>
  <c r="E106" i="15"/>
  <c r="D106" i="15"/>
  <c r="C106" i="15"/>
  <c r="B106" i="15"/>
  <c r="Y104" i="15"/>
  <c r="X104" i="15"/>
  <c r="W104" i="15"/>
  <c r="V104" i="15"/>
  <c r="U104" i="15"/>
  <c r="T104" i="15"/>
  <c r="S104" i="15"/>
  <c r="R104" i="15"/>
  <c r="Q104" i="15"/>
  <c r="P104" i="15"/>
  <c r="O104" i="15"/>
  <c r="N104" i="15"/>
  <c r="M104" i="15"/>
  <c r="L104" i="15"/>
  <c r="K104" i="15"/>
  <c r="J104" i="15"/>
  <c r="I104" i="15"/>
  <c r="H104" i="15"/>
  <c r="G104" i="15"/>
  <c r="F104" i="15"/>
  <c r="E104" i="15"/>
  <c r="D104" i="15"/>
  <c r="C104" i="15"/>
  <c r="B104" i="15"/>
  <c r="Y102" i="15"/>
  <c r="X102" i="15"/>
  <c r="W102" i="15"/>
  <c r="V102" i="15"/>
  <c r="U102" i="15"/>
  <c r="T102" i="15"/>
  <c r="S102" i="15"/>
  <c r="R102" i="15"/>
  <c r="Q102" i="15"/>
  <c r="P102" i="15"/>
  <c r="O102" i="15"/>
  <c r="N102" i="15"/>
  <c r="M102" i="15"/>
  <c r="L102" i="15"/>
  <c r="K102" i="15"/>
  <c r="J102" i="15"/>
  <c r="I102" i="15"/>
  <c r="H102" i="15"/>
  <c r="G102" i="15"/>
  <c r="F102" i="15"/>
  <c r="E102" i="15"/>
  <c r="D102" i="15"/>
  <c r="C102" i="15"/>
  <c r="B102" i="15"/>
  <c r="Y101" i="15"/>
  <c r="AE101" i="15" s="1"/>
  <c r="X101" i="15"/>
  <c r="W101" i="15"/>
  <c r="V101" i="15"/>
  <c r="U101" i="15"/>
  <c r="T101" i="15"/>
  <c r="S101" i="15"/>
  <c r="R101" i="15"/>
  <c r="Q101" i="15"/>
  <c r="P101" i="15"/>
  <c r="O101" i="15"/>
  <c r="N101" i="15"/>
  <c r="M101" i="15"/>
  <c r="L101" i="15"/>
  <c r="K101" i="15"/>
  <c r="J101" i="15"/>
  <c r="I101" i="15"/>
  <c r="H101" i="15"/>
  <c r="G101" i="15"/>
  <c r="F101" i="15"/>
  <c r="E101" i="15"/>
  <c r="D101" i="15"/>
  <c r="C101" i="15"/>
  <c r="B101" i="15"/>
  <c r="Y100" i="15"/>
  <c r="X100" i="15"/>
  <c r="W100" i="15"/>
  <c r="V100" i="15"/>
  <c r="U100" i="15"/>
  <c r="T100" i="15"/>
  <c r="S100" i="15"/>
  <c r="R100" i="15"/>
  <c r="Q100" i="15"/>
  <c r="P100" i="15"/>
  <c r="O100" i="15"/>
  <c r="N100" i="15"/>
  <c r="M100" i="15"/>
  <c r="L100" i="15"/>
  <c r="K100" i="15"/>
  <c r="J100" i="15"/>
  <c r="I100" i="15"/>
  <c r="H100" i="15"/>
  <c r="G100" i="15"/>
  <c r="F100" i="15"/>
  <c r="E100" i="15"/>
  <c r="D100" i="15"/>
  <c r="C100" i="15"/>
  <c r="B100" i="15"/>
  <c r="Y98" i="15"/>
  <c r="AE98" i="15" s="1"/>
  <c r="X98" i="15"/>
  <c r="W98" i="15"/>
  <c r="V98" i="15"/>
  <c r="U98" i="15"/>
  <c r="T98" i="15"/>
  <c r="S98" i="15"/>
  <c r="R98" i="15"/>
  <c r="Q98" i="15"/>
  <c r="P98" i="15"/>
  <c r="O98" i="15"/>
  <c r="N98" i="15"/>
  <c r="M98" i="15"/>
  <c r="L98" i="15"/>
  <c r="K98" i="15"/>
  <c r="J98" i="15"/>
  <c r="I98" i="15"/>
  <c r="H98" i="15"/>
  <c r="G98" i="15"/>
  <c r="F98" i="15"/>
  <c r="E98" i="15"/>
  <c r="D98" i="15"/>
  <c r="C98" i="15"/>
  <c r="B98" i="15"/>
  <c r="Y97" i="15"/>
  <c r="X97" i="15"/>
  <c r="W97" i="15"/>
  <c r="V97" i="15"/>
  <c r="U97" i="15"/>
  <c r="T97" i="15"/>
  <c r="S97" i="15"/>
  <c r="R97" i="15"/>
  <c r="Q97" i="15"/>
  <c r="P97" i="15"/>
  <c r="O97" i="15"/>
  <c r="N97" i="15"/>
  <c r="M97" i="15"/>
  <c r="L97" i="15"/>
  <c r="K97" i="15"/>
  <c r="J97" i="15"/>
  <c r="I97" i="15"/>
  <c r="H97" i="15"/>
  <c r="G97" i="15"/>
  <c r="F97" i="15"/>
  <c r="E97" i="15"/>
  <c r="D97" i="15"/>
  <c r="C97" i="15"/>
  <c r="B97" i="15"/>
  <c r="Y95" i="15"/>
  <c r="AE95" i="15" s="1"/>
  <c r="X95" i="15"/>
  <c r="W95" i="15"/>
  <c r="V95" i="15"/>
  <c r="U95" i="15"/>
  <c r="T95" i="15"/>
  <c r="S95" i="15"/>
  <c r="R95" i="15"/>
  <c r="Q95" i="15"/>
  <c r="P95" i="15"/>
  <c r="O95" i="15"/>
  <c r="N95" i="15"/>
  <c r="M95" i="15"/>
  <c r="L95" i="15"/>
  <c r="K95" i="15"/>
  <c r="J95" i="15"/>
  <c r="I95" i="15"/>
  <c r="H95" i="15"/>
  <c r="G95" i="15"/>
  <c r="F95" i="15"/>
  <c r="E95" i="15"/>
  <c r="D95" i="15"/>
  <c r="C95" i="15"/>
  <c r="B95" i="15"/>
  <c r="Y94" i="15"/>
  <c r="AE94" i="15" s="1"/>
  <c r="X94" i="15"/>
  <c r="W94" i="15"/>
  <c r="V94" i="15"/>
  <c r="U94" i="15"/>
  <c r="T94" i="15"/>
  <c r="S94" i="15"/>
  <c r="R94" i="15"/>
  <c r="Q94" i="15"/>
  <c r="P94" i="15"/>
  <c r="O94" i="15"/>
  <c r="N94" i="15"/>
  <c r="M94" i="15"/>
  <c r="L94" i="15"/>
  <c r="K94" i="15"/>
  <c r="J94" i="15"/>
  <c r="I94" i="15"/>
  <c r="H94" i="15"/>
  <c r="G94" i="15"/>
  <c r="F94" i="15"/>
  <c r="E94" i="15"/>
  <c r="D94" i="15"/>
  <c r="C94" i="15"/>
  <c r="B94" i="15"/>
  <c r="Y93" i="15"/>
  <c r="AE93" i="15" s="1"/>
  <c r="X93" i="15"/>
  <c r="W93" i="15"/>
  <c r="V93" i="15"/>
  <c r="U93" i="15"/>
  <c r="T93" i="15"/>
  <c r="S93" i="15"/>
  <c r="R93" i="15"/>
  <c r="Q93" i="15"/>
  <c r="P93" i="15"/>
  <c r="O93" i="15"/>
  <c r="N93" i="15"/>
  <c r="M93" i="15"/>
  <c r="L93" i="15"/>
  <c r="K93" i="15"/>
  <c r="J93" i="15"/>
  <c r="I93" i="15"/>
  <c r="H93" i="15"/>
  <c r="G93" i="15"/>
  <c r="F93" i="15"/>
  <c r="E93" i="15"/>
  <c r="D93" i="15"/>
  <c r="C93" i="15"/>
  <c r="B93" i="15"/>
  <c r="Y92" i="15"/>
  <c r="AE92" i="15" s="1"/>
  <c r="X92" i="15"/>
  <c r="W92" i="15"/>
  <c r="V92" i="15"/>
  <c r="U92" i="15"/>
  <c r="T92" i="15"/>
  <c r="S92" i="15"/>
  <c r="R92" i="15"/>
  <c r="Q92" i="15"/>
  <c r="P92" i="15"/>
  <c r="O92" i="15"/>
  <c r="N92" i="15"/>
  <c r="M92" i="15"/>
  <c r="L92" i="15"/>
  <c r="K92" i="15"/>
  <c r="J92" i="15"/>
  <c r="I92" i="15"/>
  <c r="H92" i="15"/>
  <c r="G92" i="15"/>
  <c r="F92" i="15"/>
  <c r="E92" i="15"/>
  <c r="D92" i="15"/>
  <c r="C92" i="15"/>
  <c r="B92" i="15"/>
  <c r="Y90" i="15"/>
  <c r="X90" i="15"/>
  <c r="W90" i="15"/>
  <c r="V90" i="15"/>
  <c r="U90" i="15"/>
  <c r="T90" i="15"/>
  <c r="S90" i="15"/>
  <c r="R90" i="15"/>
  <c r="Q90" i="15"/>
  <c r="P90" i="15"/>
  <c r="O90" i="15"/>
  <c r="N90" i="15"/>
  <c r="M90" i="15"/>
  <c r="L90" i="15"/>
  <c r="K90" i="15"/>
  <c r="J90" i="15"/>
  <c r="I90" i="15"/>
  <c r="H90" i="15"/>
  <c r="G90" i="15"/>
  <c r="F90" i="15"/>
  <c r="E90" i="15"/>
  <c r="D90" i="15"/>
  <c r="C90" i="15"/>
  <c r="B90" i="15"/>
  <c r="Y89" i="15"/>
  <c r="AE89" i="15" s="1"/>
  <c r="X89" i="15"/>
  <c r="W89" i="15"/>
  <c r="V89" i="15"/>
  <c r="U89" i="15"/>
  <c r="T89" i="15"/>
  <c r="S89" i="15"/>
  <c r="R89" i="15"/>
  <c r="Q89" i="15"/>
  <c r="P89" i="15"/>
  <c r="O89" i="15"/>
  <c r="N89" i="15"/>
  <c r="M89" i="15"/>
  <c r="L89" i="15"/>
  <c r="K89" i="15"/>
  <c r="J89" i="15"/>
  <c r="I89" i="15"/>
  <c r="H89" i="15"/>
  <c r="G89" i="15"/>
  <c r="F89" i="15"/>
  <c r="E89" i="15"/>
  <c r="D89" i="15"/>
  <c r="C89" i="15"/>
  <c r="B89" i="15"/>
  <c r="Y87" i="15"/>
  <c r="X87" i="15"/>
  <c r="W87" i="15"/>
  <c r="V87" i="15"/>
  <c r="U87" i="15"/>
  <c r="T87" i="15"/>
  <c r="S87" i="15"/>
  <c r="R87" i="15"/>
  <c r="Q87" i="15"/>
  <c r="P87" i="15"/>
  <c r="O87" i="15"/>
  <c r="N87" i="15"/>
  <c r="M87" i="15"/>
  <c r="L87" i="15"/>
  <c r="K87" i="15"/>
  <c r="J87" i="15"/>
  <c r="I87" i="15"/>
  <c r="H87" i="15"/>
  <c r="G87" i="15"/>
  <c r="F87" i="15"/>
  <c r="E87" i="15"/>
  <c r="D87" i="15"/>
  <c r="C87" i="15"/>
  <c r="B87" i="15"/>
  <c r="Y86" i="15"/>
  <c r="X86" i="15"/>
  <c r="W86" i="15"/>
  <c r="V86" i="15"/>
  <c r="U86" i="15"/>
  <c r="T86" i="15"/>
  <c r="S86" i="15"/>
  <c r="R86" i="15"/>
  <c r="Q86" i="15"/>
  <c r="P86" i="15"/>
  <c r="O86" i="15"/>
  <c r="N86" i="15"/>
  <c r="M86" i="15"/>
  <c r="L86" i="15"/>
  <c r="K86" i="15"/>
  <c r="J86" i="15"/>
  <c r="I86" i="15"/>
  <c r="H86" i="15"/>
  <c r="G86" i="15"/>
  <c r="F86" i="15"/>
  <c r="E86" i="15"/>
  <c r="D86" i="15"/>
  <c r="C86" i="15"/>
  <c r="B86" i="15"/>
  <c r="Y85" i="15"/>
  <c r="X85" i="15"/>
  <c r="W85" i="15"/>
  <c r="V85" i="15"/>
  <c r="U85" i="15"/>
  <c r="T85" i="15"/>
  <c r="S85" i="15"/>
  <c r="R85" i="15"/>
  <c r="Q85" i="15"/>
  <c r="P85" i="15"/>
  <c r="O85" i="15"/>
  <c r="N85" i="15"/>
  <c r="M85" i="15"/>
  <c r="L85" i="15"/>
  <c r="K85" i="15"/>
  <c r="J85" i="15"/>
  <c r="I85" i="15"/>
  <c r="H85" i="15"/>
  <c r="G85" i="15"/>
  <c r="F85" i="15"/>
  <c r="E85" i="15"/>
  <c r="D85" i="15"/>
  <c r="C85" i="15"/>
  <c r="B85" i="15"/>
  <c r="Y83" i="15"/>
  <c r="X83" i="15"/>
  <c r="W83" i="15"/>
  <c r="V83" i="15"/>
  <c r="U83" i="15"/>
  <c r="T83" i="15"/>
  <c r="S83" i="15"/>
  <c r="R83" i="15"/>
  <c r="Q83" i="15"/>
  <c r="P83" i="15"/>
  <c r="O83" i="15"/>
  <c r="N83" i="15"/>
  <c r="M83" i="15"/>
  <c r="L83" i="15"/>
  <c r="K83" i="15"/>
  <c r="J83" i="15"/>
  <c r="I83" i="15"/>
  <c r="H83" i="15"/>
  <c r="G83" i="15"/>
  <c r="F83" i="15"/>
  <c r="E83" i="15"/>
  <c r="D83" i="15"/>
  <c r="C83" i="15"/>
  <c r="B83" i="15"/>
  <c r="AE83" i="15"/>
  <c r="C82" i="15"/>
  <c r="D82" i="15"/>
  <c r="E82" i="15"/>
  <c r="F82" i="15"/>
  <c r="G82" i="15"/>
  <c r="H82" i="15"/>
  <c r="I82" i="15"/>
  <c r="J82" i="15"/>
  <c r="K82" i="15"/>
  <c r="L82" i="15"/>
  <c r="M82" i="15"/>
  <c r="N82" i="15"/>
  <c r="O82" i="15"/>
  <c r="P82" i="15"/>
  <c r="Q82" i="15"/>
  <c r="R82" i="15"/>
  <c r="S82" i="15"/>
  <c r="T82" i="15"/>
  <c r="U82" i="15"/>
  <c r="V82" i="15"/>
  <c r="W82" i="15"/>
  <c r="X82" i="15"/>
  <c r="Y82" i="15"/>
  <c r="B82" i="15"/>
  <c r="AE108" i="15"/>
  <c r="AE104" i="15"/>
  <c r="AE102" i="15"/>
  <c r="AE100" i="15"/>
  <c r="AE97" i="15"/>
  <c r="AE90" i="15"/>
  <c r="AE87" i="15"/>
  <c r="AE86" i="15"/>
  <c r="AE85" i="15"/>
  <c r="Y53" i="15"/>
  <c r="AE53" i="15" s="1"/>
  <c r="X53" i="15"/>
  <c r="W53" i="15"/>
  <c r="V53" i="15"/>
  <c r="U53" i="15"/>
  <c r="T53" i="15"/>
  <c r="S53" i="15"/>
  <c r="R53" i="15"/>
  <c r="Q53" i="15"/>
  <c r="P53" i="15"/>
  <c r="O53" i="15"/>
  <c r="N53" i="15"/>
  <c r="M53" i="15"/>
  <c r="L53" i="15"/>
  <c r="K53" i="15"/>
  <c r="J53" i="15"/>
  <c r="I53" i="15"/>
  <c r="H53" i="15"/>
  <c r="G53" i="15"/>
  <c r="F53" i="15"/>
  <c r="E53" i="15"/>
  <c r="D53" i="15"/>
  <c r="C53" i="15"/>
  <c r="B53" i="15"/>
  <c r="Y51" i="15"/>
  <c r="X51" i="15"/>
  <c r="W51" i="15"/>
  <c r="V51" i="15"/>
  <c r="U51" i="15"/>
  <c r="T51" i="15"/>
  <c r="S51" i="15"/>
  <c r="R51" i="15"/>
  <c r="Q51" i="15"/>
  <c r="P51" i="15"/>
  <c r="O51" i="15"/>
  <c r="N51" i="15"/>
  <c r="M51" i="15"/>
  <c r="L51" i="15"/>
  <c r="K51" i="15"/>
  <c r="J51" i="15"/>
  <c r="I51" i="15"/>
  <c r="H51" i="15"/>
  <c r="G51" i="15"/>
  <c r="F51" i="15"/>
  <c r="E51" i="15"/>
  <c r="D51" i="15"/>
  <c r="C51" i="15"/>
  <c r="B51" i="15"/>
  <c r="B57" i="15"/>
  <c r="C57" i="15"/>
  <c r="D57" i="15"/>
  <c r="E57" i="15"/>
  <c r="F57" i="15"/>
  <c r="G57" i="15"/>
  <c r="H57" i="15"/>
  <c r="I57" i="15"/>
  <c r="J57" i="15"/>
  <c r="K57" i="15"/>
  <c r="L57" i="15"/>
  <c r="M57" i="15"/>
  <c r="N57" i="15"/>
  <c r="O57" i="15"/>
  <c r="P57" i="15"/>
  <c r="Q57" i="15"/>
  <c r="R57" i="15"/>
  <c r="S57" i="15"/>
  <c r="T57" i="15"/>
  <c r="U57" i="15"/>
  <c r="V57" i="15"/>
  <c r="W57" i="15"/>
  <c r="X57" i="15"/>
  <c r="Y57" i="15"/>
  <c r="AE57" i="15" s="1"/>
  <c r="Y56" i="15"/>
  <c r="AE56" i="15" s="1"/>
  <c r="X56" i="15"/>
  <c r="W56" i="15"/>
  <c r="V56" i="15"/>
  <c r="U56" i="15"/>
  <c r="T56" i="15"/>
  <c r="S56" i="15"/>
  <c r="R56" i="15"/>
  <c r="Q56" i="15"/>
  <c r="P56" i="15"/>
  <c r="O56" i="15"/>
  <c r="N56" i="15"/>
  <c r="M56" i="15"/>
  <c r="L56" i="15"/>
  <c r="K56" i="15"/>
  <c r="J56" i="15"/>
  <c r="I56" i="15"/>
  <c r="H56" i="15"/>
  <c r="G56" i="15"/>
  <c r="F56" i="15"/>
  <c r="E56" i="15"/>
  <c r="D56" i="15"/>
  <c r="C56" i="15"/>
  <c r="B56" i="15"/>
  <c r="Y55" i="15"/>
  <c r="AE55" i="15" s="1"/>
  <c r="X55" i="15"/>
  <c r="W55" i="15"/>
  <c r="V55" i="15"/>
  <c r="U55" i="15"/>
  <c r="T55" i="15"/>
  <c r="S55" i="15"/>
  <c r="R55" i="15"/>
  <c r="Q55" i="15"/>
  <c r="P55" i="15"/>
  <c r="O55" i="15"/>
  <c r="N55" i="15"/>
  <c r="M55" i="15"/>
  <c r="L55" i="15"/>
  <c r="K55" i="15"/>
  <c r="J55" i="15"/>
  <c r="I55" i="15"/>
  <c r="H55" i="15"/>
  <c r="G55" i="15"/>
  <c r="F55" i="15"/>
  <c r="E55" i="15"/>
  <c r="D55" i="15"/>
  <c r="C55" i="15"/>
  <c r="B55" i="15"/>
  <c r="Y44" i="15"/>
  <c r="AE44" i="15" s="1"/>
  <c r="X44" i="15"/>
  <c r="W44" i="15"/>
  <c r="V44" i="15"/>
  <c r="U44" i="15"/>
  <c r="T44" i="15"/>
  <c r="S44" i="15"/>
  <c r="R44" i="15"/>
  <c r="Q44" i="15"/>
  <c r="P44" i="15"/>
  <c r="O44" i="15"/>
  <c r="N44" i="15"/>
  <c r="M44" i="15"/>
  <c r="L44" i="15"/>
  <c r="K44" i="15"/>
  <c r="J44" i="15"/>
  <c r="I44" i="15"/>
  <c r="H44" i="15"/>
  <c r="G44" i="15"/>
  <c r="F44" i="15"/>
  <c r="E44" i="15"/>
  <c r="D44" i="15"/>
  <c r="C44" i="15"/>
  <c r="B44" i="15"/>
  <c r="Y43" i="15"/>
  <c r="AE43" i="15" s="1"/>
  <c r="X43" i="15"/>
  <c r="W43" i="15"/>
  <c r="V43" i="15"/>
  <c r="U43" i="15"/>
  <c r="T43" i="15"/>
  <c r="S43" i="15"/>
  <c r="R43" i="15"/>
  <c r="Q43" i="15"/>
  <c r="P43" i="15"/>
  <c r="O43" i="15"/>
  <c r="N43" i="15"/>
  <c r="M43" i="15"/>
  <c r="L43" i="15"/>
  <c r="K43" i="15"/>
  <c r="J43" i="15"/>
  <c r="I43" i="15"/>
  <c r="H43" i="15"/>
  <c r="G43" i="15"/>
  <c r="F43" i="15"/>
  <c r="E43" i="15"/>
  <c r="D43" i="15"/>
  <c r="C43" i="15"/>
  <c r="B43" i="15"/>
  <c r="Y49" i="15"/>
  <c r="AE49" i="15" s="1"/>
  <c r="X49" i="15"/>
  <c r="W49" i="15"/>
  <c r="V49" i="15"/>
  <c r="U49" i="15"/>
  <c r="T49" i="15"/>
  <c r="S49" i="15"/>
  <c r="R49" i="15"/>
  <c r="Q49" i="15"/>
  <c r="P49" i="15"/>
  <c r="O49" i="15"/>
  <c r="N49" i="15"/>
  <c r="M49" i="15"/>
  <c r="L49" i="15"/>
  <c r="K49" i="15"/>
  <c r="J49" i="15"/>
  <c r="I49" i="15"/>
  <c r="H49" i="15"/>
  <c r="G49" i="15"/>
  <c r="F49" i="15"/>
  <c r="E49" i="15"/>
  <c r="D49" i="15"/>
  <c r="C49" i="15"/>
  <c r="B49" i="15"/>
  <c r="Y48" i="15"/>
  <c r="AE48" i="15" s="1"/>
  <c r="X48" i="15"/>
  <c r="W48" i="15"/>
  <c r="V48" i="15"/>
  <c r="U48" i="15"/>
  <c r="T48" i="15"/>
  <c r="S48" i="15"/>
  <c r="R48" i="15"/>
  <c r="Q48" i="15"/>
  <c r="P48" i="15"/>
  <c r="O48" i="15"/>
  <c r="N48" i="15"/>
  <c r="M48" i="15"/>
  <c r="L48" i="15"/>
  <c r="K48" i="15"/>
  <c r="J48" i="15"/>
  <c r="I48" i="15"/>
  <c r="H48" i="15"/>
  <c r="G48" i="15"/>
  <c r="F48" i="15"/>
  <c r="E48" i="15"/>
  <c r="D48" i="15"/>
  <c r="C48" i="15"/>
  <c r="B48" i="15"/>
  <c r="Y47" i="15"/>
  <c r="AE47" i="15" s="1"/>
  <c r="X47" i="15"/>
  <c r="W47" i="15"/>
  <c r="V47" i="15"/>
  <c r="U47" i="15"/>
  <c r="T47" i="15"/>
  <c r="S47" i="15"/>
  <c r="R47" i="15"/>
  <c r="Q47" i="15"/>
  <c r="P47" i="15"/>
  <c r="O47" i="15"/>
  <c r="N47" i="15"/>
  <c r="M47" i="15"/>
  <c r="L47" i="15"/>
  <c r="K47" i="15"/>
  <c r="J47" i="15"/>
  <c r="I47" i="15"/>
  <c r="H47" i="15"/>
  <c r="G47" i="15"/>
  <c r="F47" i="15"/>
  <c r="E47" i="15"/>
  <c r="D47" i="15"/>
  <c r="C47" i="15"/>
  <c r="B47" i="15"/>
  <c r="Y46" i="15"/>
  <c r="AE46" i="15" s="1"/>
  <c r="X46" i="15"/>
  <c r="W46" i="15"/>
  <c r="V46" i="15"/>
  <c r="U46" i="15"/>
  <c r="T46" i="15"/>
  <c r="S46" i="15"/>
  <c r="R46" i="15"/>
  <c r="Q46" i="15"/>
  <c r="P46" i="15"/>
  <c r="O46" i="15"/>
  <c r="N46" i="15"/>
  <c r="M46" i="15"/>
  <c r="L46" i="15"/>
  <c r="K46" i="15"/>
  <c r="J46" i="15"/>
  <c r="I46" i="15"/>
  <c r="H46" i="15"/>
  <c r="G46" i="15"/>
  <c r="F46" i="15"/>
  <c r="E46" i="15"/>
  <c r="D46" i="15"/>
  <c r="C46" i="15"/>
  <c r="B46" i="15"/>
  <c r="B39" i="15"/>
  <c r="C39" i="15"/>
  <c r="D39" i="15"/>
  <c r="E39" i="15"/>
  <c r="F39" i="15"/>
  <c r="G39" i="15"/>
  <c r="H39" i="15"/>
  <c r="I39" i="15"/>
  <c r="J39" i="15"/>
  <c r="K39" i="15"/>
  <c r="L39" i="15"/>
  <c r="M39" i="15"/>
  <c r="N39" i="15"/>
  <c r="O39" i="15"/>
  <c r="P39" i="15"/>
  <c r="Q39" i="15"/>
  <c r="R39" i="15"/>
  <c r="S39" i="15"/>
  <c r="T39" i="15"/>
  <c r="U39" i="15"/>
  <c r="V39" i="15"/>
  <c r="W39" i="15"/>
  <c r="X39" i="15"/>
  <c r="Y39" i="15"/>
  <c r="AE39" i="15" s="1"/>
  <c r="B40" i="15"/>
  <c r="C40" i="15"/>
  <c r="D40" i="15"/>
  <c r="E40" i="15"/>
  <c r="F40" i="15"/>
  <c r="G40" i="15"/>
  <c r="H40" i="15"/>
  <c r="I40" i="15"/>
  <c r="J40" i="15"/>
  <c r="K40" i="15"/>
  <c r="L40" i="15"/>
  <c r="M40" i="15"/>
  <c r="N40" i="15"/>
  <c r="O40" i="15"/>
  <c r="P40" i="15"/>
  <c r="Q40" i="15"/>
  <c r="R40" i="15"/>
  <c r="S40" i="15"/>
  <c r="T40" i="15"/>
  <c r="U40" i="15"/>
  <c r="V40" i="15"/>
  <c r="W40" i="15"/>
  <c r="X40" i="15"/>
  <c r="Y40" i="15"/>
  <c r="AE40" i="15" s="1"/>
  <c r="B41" i="15"/>
  <c r="C41" i="15"/>
  <c r="D41" i="15"/>
  <c r="E41" i="15"/>
  <c r="F41" i="15"/>
  <c r="G41" i="15"/>
  <c r="H41" i="15"/>
  <c r="I41" i="15"/>
  <c r="J41" i="15"/>
  <c r="K41" i="15"/>
  <c r="L41" i="15"/>
  <c r="M41" i="15"/>
  <c r="N41" i="15"/>
  <c r="O41" i="15"/>
  <c r="P41" i="15"/>
  <c r="Q41" i="15"/>
  <c r="R41" i="15"/>
  <c r="S41" i="15"/>
  <c r="T41" i="15"/>
  <c r="U41" i="15"/>
  <c r="V41" i="15"/>
  <c r="W41" i="15"/>
  <c r="X41" i="15"/>
  <c r="Y41" i="15"/>
  <c r="AE41" i="15" s="1"/>
  <c r="Y38" i="15"/>
  <c r="AE38" i="15" s="1"/>
  <c r="X38" i="15"/>
  <c r="W38" i="15"/>
  <c r="V38" i="15"/>
  <c r="U38" i="15"/>
  <c r="T38" i="15"/>
  <c r="S38" i="15"/>
  <c r="R38" i="15"/>
  <c r="Q38" i="15"/>
  <c r="P38" i="15"/>
  <c r="O38" i="15"/>
  <c r="N38" i="15"/>
  <c r="M38" i="15"/>
  <c r="L38" i="15"/>
  <c r="K38" i="15"/>
  <c r="J38" i="15"/>
  <c r="I38" i="15"/>
  <c r="H38" i="15"/>
  <c r="G38" i="15"/>
  <c r="F38" i="15"/>
  <c r="E38" i="15"/>
  <c r="D38" i="15"/>
  <c r="C38" i="15"/>
  <c r="B38" i="15"/>
  <c r="Y36" i="15"/>
  <c r="AE36" i="15" s="1"/>
  <c r="X36" i="15"/>
  <c r="W36" i="15"/>
  <c r="V36" i="15"/>
  <c r="U36" i="15"/>
  <c r="T36" i="15"/>
  <c r="S36" i="15"/>
  <c r="R36" i="15"/>
  <c r="Q36" i="15"/>
  <c r="P36" i="15"/>
  <c r="O36" i="15"/>
  <c r="N36" i="15"/>
  <c r="M36" i="15"/>
  <c r="L36" i="15"/>
  <c r="K36" i="15"/>
  <c r="J36" i="15"/>
  <c r="I36" i="15"/>
  <c r="H36" i="15"/>
  <c r="G36" i="15"/>
  <c r="F36" i="15"/>
  <c r="E36" i="15"/>
  <c r="D36" i="15"/>
  <c r="C36" i="15"/>
  <c r="B36" i="15"/>
  <c r="B34" i="15"/>
  <c r="C34" i="15"/>
  <c r="D34" i="15"/>
  <c r="E34" i="15"/>
  <c r="F34" i="15"/>
  <c r="G34" i="15"/>
  <c r="H34" i="15"/>
  <c r="I34" i="15"/>
  <c r="J34" i="15"/>
  <c r="K34" i="15"/>
  <c r="L34" i="15"/>
  <c r="M34" i="15"/>
  <c r="N34" i="15"/>
  <c r="O34" i="15"/>
  <c r="P34" i="15"/>
  <c r="Q34" i="15"/>
  <c r="R34" i="15"/>
  <c r="S34" i="15"/>
  <c r="T34" i="15"/>
  <c r="U34" i="15"/>
  <c r="V34" i="15"/>
  <c r="W34" i="15"/>
  <c r="X34" i="15"/>
  <c r="Y34" i="15"/>
  <c r="AE34" i="15" s="1"/>
  <c r="Y33" i="15"/>
  <c r="AE33" i="15" s="1"/>
  <c r="X33" i="15"/>
  <c r="W33" i="15"/>
  <c r="V33" i="15"/>
  <c r="U33" i="15"/>
  <c r="T33" i="15"/>
  <c r="S33" i="15"/>
  <c r="R33" i="15"/>
  <c r="Q33" i="15"/>
  <c r="P33" i="15"/>
  <c r="O33" i="15"/>
  <c r="N33" i="15"/>
  <c r="M33" i="15"/>
  <c r="L33" i="15"/>
  <c r="K33" i="15"/>
  <c r="J33" i="15"/>
  <c r="I33" i="15"/>
  <c r="H33" i="15"/>
  <c r="G33" i="15"/>
  <c r="F33" i="15"/>
  <c r="E33" i="15"/>
  <c r="D33" i="15"/>
  <c r="C33" i="15"/>
  <c r="B33" i="15"/>
  <c r="Y32" i="15"/>
  <c r="AE32" i="15" s="1"/>
  <c r="X32" i="15"/>
  <c r="W32" i="15"/>
  <c r="V32" i="15"/>
  <c r="U32" i="15"/>
  <c r="T32" i="15"/>
  <c r="S32" i="15"/>
  <c r="R32" i="15"/>
  <c r="Q32" i="15"/>
  <c r="P32" i="15"/>
  <c r="O32" i="15"/>
  <c r="N32" i="15"/>
  <c r="M32" i="15"/>
  <c r="L32" i="15"/>
  <c r="K32" i="15"/>
  <c r="J32" i="15"/>
  <c r="I32" i="15"/>
  <c r="H32" i="15"/>
  <c r="G32" i="15"/>
  <c r="F32" i="15"/>
  <c r="E32" i="15"/>
  <c r="D32" i="15"/>
  <c r="C32" i="15"/>
  <c r="B32" i="15"/>
  <c r="Y31" i="15"/>
  <c r="AE31" i="15" s="1"/>
  <c r="X31" i="15"/>
  <c r="W31" i="15"/>
  <c r="V31" i="15"/>
  <c r="U31" i="15"/>
  <c r="T31" i="15"/>
  <c r="S31" i="15"/>
  <c r="R31" i="15"/>
  <c r="Q31" i="15"/>
  <c r="P31" i="15"/>
  <c r="O31" i="15"/>
  <c r="N31" i="15"/>
  <c r="M31" i="15"/>
  <c r="L31" i="15"/>
  <c r="K31" i="15"/>
  <c r="J31" i="15"/>
  <c r="I31" i="15"/>
  <c r="H31" i="15"/>
  <c r="G31" i="15"/>
  <c r="F31" i="15"/>
  <c r="E31" i="15"/>
  <c r="D31" i="15"/>
  <c r="C31" i="15"/>
  <c r="B31" i="15"/>
  <c r="Y29" i="15"/>
  <c r="AE29" i="15" s="1"/>
  <c r="X29" i="15"/>
  <c r="W29" i="15"/>
  <c r="V29" i="15"/>
  <c r="U29" i="15"/>
  <c r="T29" i="15"/>
  <c r="S29" i="15"/>
  <c r="R29" i="15"/>
  <c r="Q29" i="15"/>
  <c r="P29" i="15"/>
  <c r="O29" i="15"/>
  <c r="N29" i="15"/>
  <c r="M29" i="15"/>
  <c r="L29" i="15"/>
  <c r="K29" i="15"/>
  <c r="J29" i="15"/>
  <c r="I29" i="15"/>
  <c r="H29" i="15"/>
  <c r="G29" i="15"/>
  <c r="F29" i="15"/>
  <c r="E29" i="15"/>
  <c r="D29" i="15"/>
  <c r="C29" i="15"/>
  <c r="B29" i="15"/>
  <c r="Y28" i="15"/>
  <c r="AE28" i="15" s="1"/>
  <c r="X28" i="15"/>
  <c r="W28" i="15"/>
  <c r="V28" i="15"/>
  <c r="U28" i="15"/>
  <c r="T28" i="15"/>
  <c r="S28" i="15"/>
  <c r="R28" i="15"/>
  <c r="Q28" i="15"/>
  <c r="P28" i="15"/>
  <c r="O28" i="15"/>
  <c r="N28" i="15"/>
  <c r="M28" i="15"/>
  <c r="L28" i="15"/>
  <c r="K28" i="15"/>
  <c r="J28" i="15"/>
  <c r="I28" i="15"/>
  <c r="H28" i="15"/>
  <c r="G28" i="15"/>
  <c r="F28" i="15"/>
  <c r="E28" i="15"/>
  <c r="D28" i="15"/>
  <c r="C28" i="15"/>
  <c r="B28" i="15"/>
  <c r="Y27" i="15"/>
  <c r="AE27" i="15" s="1"/>
  <c r="X27" i="15"/>
  <c r="W27" i="15"/>
  <c r="V27" i="15"/>
  <c r="U27" i="15"/>
  <c r="T27" i="15"/>
  <c r="S27" i="15"/>
  <c r="R27" i="15"/>
  <c r="Q27" i="15"/>
  <c r="P27" i="15"/>
  <c r="O27" i="15"/>
  <c r="N27" i="15"/>
  <c r="M27" i="15"/>
  <c r="L27" i="15"/>
  <c r="K27" i="15"/>
  <c r="J27" i="15"/>
  <c r="I27" i="15"/>
  <c r="H27" i="15"/>
  <c r="G27" i="15"/>
  <c r="F27" i="15"/>
  <c r="E27" i="15"/>
  <c r="D27" i="15"/>
  <c r="C27" i="15"/>
  <c r="B27" i="15"/>
  <c r="B24" i="15"/>
  <c r="C24" i="15"/>
  <c r="D24" i="15"/>
  <c r="E24" i="15"/>
  <c r="F24" i="15"/>
  <c r="G24" i="15"/>
  <c r="H24" i="15"/>
  <c r="I24" i="15"/>
  <c r="J24" i="15"/>
  <c r="K24" i="15"/>
  <c r="L24" i="15"/>
  <c r="M24" i="15"/>
  <c r="N24" i="15"/>
  <c r="O24" i="15"/>
  <c r="P24" i="15"/>
  <c r="Q24" i="15"/>
  <c r="R24" i="15"/>
  <c r="S24" i="15"/>
  <c r="T24" i="15"/>
  <c r="U24" i="15"/>
  <c r="V24" i="15"/>
  <c r="W24" i="15"/>
  <c r="X24" i="15"/>
  <c r="Y24" i="15"/>
  <c r="AE24" i="15" s="1"/>
  <c r="B25" i="15"/>
  <c r="C25" i="15"/>
  <c r="D25" i="15"/>
  <c r="E25" i="15"/>
  <c r="F25" i="15"/>
  <c r="G25" i="15"/>
  <c r="H25" i="15"/>
  <c r="I25" i="15"/>
  <c r="J25" i="15"/>
  <c r="K25" i="15"/>
  <c r="L25" i="15"/>
  <c r="M25" i="15"/>
  <c r="N25" i="15"/>
  <c r="O25" i="15"/>
  <c r="P25" i="15"/>
  <c r="Q25" i="15"/>
  <c r="R25" i="15"/>
  <c r="S25" i="15"/>
  <c r="T25" i="15"/>
  <c r="U25" i="15"/>
  <c r="V25" i="15"/>
  <c r="W25" i="15"/>
  <c r="X25" i="15"/>
  <c r="Y25" i="15"/>
  <c r="AE25" i="15" s="1"/>
  <c r="Y23" i="15"/>
  <c r="AE23" i="15" s="1"/>
  <c r="X23" i="15"/>
  <c r="W23" i="15"/>
  <c r="V23" i="15"/>
  <c r="U23" i="15"/>
  <c r="T23" i="15"/>
  <c r="S23" i="15"/>
  <c r="R23" i="15"/>
  <c r="Q23" i="15"/>
  <c r="P23" i="15"/>
  <c r="O23" i="15"/>
  <c r="N23" i="15"/>
  <c r="M23" i="15"/>
  <c r="L23" i="15"/>
  <c r="K23" i="15"/>
  <c r="J23" i="15"/>
  <c r="I23" i="15"/>
  <c r="H23" i="15"/>
  <c r="G23" i="15"/>
  <c r="F23" i="15"/>
  <c r="E23" i="15"/>
  <c r="D23" i="15"/>
  <c r="C23" i="15"/>
  <c r="B23" i="15"/>
  <c r="Y21" i="15"/>
  <c r="AE21" i="15" s="1"/>
  <c r="X21" i="15"/>
  <c r="W21" i="15"/>
  <c r="V21" i="15"/>
  <c r="U21" i="15"/>
  <c r="T21" i="15"/>
  <c r="S21" i="15"/>
  <c r="R21" i="15"/>
  <c r="Q21" i="15"/>
  <c r="P21" i="15"/>
  <c r="O21" i="15"/>
  <c r="N21" i="15"/>
  <c r="M21" i="15"/>
  <c r="L21" i="15"/>
  <c r="K21" i="15"/>
  <c r="J21" i="15"/>
  <c r="I21" i="15"/>
  <c r="H21" i="15"/>
  <c r="G21" i="15"/>
  <c r="F21" i="15"/>
  <c r="E21" i="15"/>
  <c r="D21" i="15"/>
  <c r="C21" i="15"/>
  <c r="B21" i="15"/>
  <c r="Y18" i="15"/>
  <c r="AE18" i="15" s="1"/>
  <c r="X18" i="15"/>
  <c r="W18" i="15"/>
  <c r="V18" i="15"/>
  <c r="U18" i="15"/>
  <c r="T18" i="15"/>
  <c r="S18" i="15"/>
  <c r="R18" i="15"/>
  <c r="Q18" i="15"/>
  <c r="P18" i="15"/>
  <c r="O18" i="15"/>
  <c r="N18" i="15"/>
  <c r="M18" i="15"/>
  <c r="L18" i="15"/>
  <c r="K18" i="15"/>
  <c r="J18" i="15"/>
  <c r="I18" i="15"/>
  <c r="H18" i="15"/>
  <c r="G18" i="15"/>
  <c r="F18" i="15"/>
  <c r="E18" i="15"/>
  <c r="D18" i="15"/>
  <c r="C18" i="15"/>
  <c r="B18" i="15"/>
  <c r="Y19" i="15"/>
  <c r="AE19" i="15" s="1"/>
  <c r="X19" i="15"/>
  <c r="W19" i="15"/>
  <c r="V19" i="15"/>
  <c r="U19" i="15"/>
  <c r="T19" i="15"/>
  <c r="S19" i="15"/>
  <c r="R19" i="15"/>
  <c r="Q19" i="15"/>
  <c r="P19" i="15"/>
  <c r="O19" i="15"/>
  <c r="N19" i="15"/>
  <c r="M19" i="15"/>
  <c r="L19" i="15"/>
  <c r="K19" i="15"/>
  <c r="J19" i="15"/>
  <c r="I19" i="15"/>
  <c r="H19" i="15"/>
  <c r="G19" i="15"/>
  <c r="F19" i="15"/>
  <c r="E19" i="15"/>
  <c r="D19" i="15"/>
  <c r="C19" i="15"/>
  <c r="B19" i="15"/>
  <c r="Y17" i="15"/>
  <c r="AE17" i="15" s="1"/>
  <c r="X17" i="15"/>
  <c r="W17" i="15"/>
  <c r="V17" i="15"/>
  <c r="U17" i="15"/>
  <c r="T17" i="15"/>
  <c r="S17" i="15"/>
  <c r="R17" i="15"/>
  <c r="Q17" i="15"/>
  <c r="P17" i="15"/>
  <c r="O17" i="15"/>
  <c r="N17" i="15"/>
  <c r="M17" i="15"/>
  <c r="L17" i="15"/>
  <c r="K17" i="15"/>
  <c r="J17" i="15"/>
  <c r="I17" i="15"/>
  <c r="H17" i="15"/>
  <c r="G17" i="15"/>
  <c r="F17" i="15"/>
  <c r="E17" i="15"/>
  <c r="D17" i="15"/>
  <c r="C17" i="15"/>
  <c r="B17" i="15"/>
  <c r="Y15" i="15"/>
  <c r="AE15" i="15" s="1"/>
  <c r="X15" i="15"/>
  <c r="W15" i="15"/>
  <c r="V15" i="15"/>
  <c r="U15" i="15"/>
  <c r="T15" i="15"/>
  <c r="S15" i="15"/>
  <c r="R15" i="15"/>
  <c r="Q15" i="15"/>
  <c r="P15" i="15"/>
  <c r="O15" i="15"/>
  <c r="N15" i="15"/>
  <c r="M15" i="15"/>
  <c r="L15" i="15"/>
  <c r="K15" i="15"/>
  <c r="J15" i="15"/>
  <c r="I15" i="15"/>
  <c r="H15" i="15"/>
  <c r="G15" i="15"/>
  <c r="F15" i="15"/>
  <c r="E15" i="15"/>
  <c r="D15" i="15"/>
  <c r="C15" i="15"/>
  <c r="B15" i="15"/>
  <c r="Y14" i="15"/>
  <c r="AE14" i="15" s="1"/>
  <c r="X14" i="15"/>
  <c r="W14" i="15"/>
  <c r="V14" i="15"/>
  <c r="U14" i="15"/>
  <c r="T14" i="15"/>
  <c r="S14" i="15"/>
  <c r="R14" i="15"/>
  <c r="Q14" i="15"/>
  <c r="P14" i="15"/>
  <c r="O14" i="15"/>
  <c r="N14" i="15"/>
  <c r="M14" i="15"/>
  <c r="L14" i="15"/>
  <c r="K14" i="15"/>
  <c r="J14" i="15"/>
  <c r="I14" i="15"/>
  <c r="H14" i="15"/>
  <c r="G14" i="15"/>
  <c r="F14" i="15"/>
  <c r="E14" i="15"/>
  <c r="D14" i="15"/>
  <c r="C14" i="15"/>
  <c r="B14" i="15"/>
  <c r="AE51" i="15"/>
  <c r="Y222" i="15"/>
  <c r="X222" i="15"/>
  <c r="X107" i="15" s="1"/>
  <c r="W222" i="15"/>
  <c r="V222" i="15"/>
  <c r="V107" i="15" s="1"/>
  <c r="U222" i="15"/>
  <c r="U107" i="15" s="1"/>
  <c r="T222" i="15"/>
  <c r="T107" i="15" s="1"/>
  <c r="S222" i="15"/>
  <c r="R222" i="15"/>
  <c r="R107" i="15" s="1"/>
  <c r="Q222" i="15"/>
  <c r="Q107" i="15" s="1"/>
  <c r="P222" i="15"/>
  <c r="P107" i="15" s="1"/>
  <c r="O222" i="15"/>
  <c r="N222" i="15"/>
  <c r="N107" i="15" s="1"/>
  <c r="M222" i="15"/>
  <c r="M107" i="15" s="1"/>
  <c r="L222" i="15"/>
  <c r="L107" i="15" s="1"/>
  <c r="K222" i="15"/>
  <c r="J222" i="15"/>
  <c r="J107" i="15" s="1"/>
  <c r="I222" i="15"/>
  <c r="I107" i="15" s="1"/>
  <c r="H222" i="15"/>
  <c r="H107" i="15" s="1"/>
  <c r="G222" i="15"/>
  <c r="F222" i="15"/>
  <c r="F107" i="15" s="1"/>
  <c r="E222" i="15"/>
  <c r="E107" i="15" s="1"/>
  <c r="D222" i="15"/>
  <c r="D107" i="15" s="1"/>
  <c r="C222" i="15"/>
  <c r="B222" i="15"/>
  <c r="Y220" i="15"/>
  <c r="Y105" i="15" s="1"/>
  <c r="X220" i="15"/>
  <c r="X105" i="15" s="1"/>
  <c r="W220" i="15"/>
  <c r="V220" i="15"/>
  <c r="U220" i="15"/>
  <c r="U105" i="15" s="1"/>
  <c r="T220" i="15"/>
  <c r="T105" i="15" s="1"/>
  <c r="S220" i="15"/>
  <c r="R220" i="15"/>
  <c r="Q220" i="15"/>
  <c r="Q105" i="15" s="1"/>
  <c r="P220" i="15"/>
  <c r="P105" i="15" s="1"/>
  <c r="O220" i="15"/>
  <c r="N220" i="15"/>
  <c r="N105" i="15" s="1"/>
  <c r="M220" i="15"/>
  <c r="M105" i="15" s="1"/>
  <c r="L220" i="15"/>
  <c r="L105" i="15" s="1"/>
  <c r="K220" i="15"/>
  <c r="J220" i="15"/>
  <c r="J105" i="15" s="1"/>
  <c r="I220" i="15"/>
  <c r="I105" i="15" s="1"/>
  <c r="H220" i="15"/>
  <c r="H105" i="15" s="1"/>
  <c r="G220" i="15"/>
  <c r="F220" i="15"/>
  <c r="F105" i="15" s="1"/>
  <c r="E220" i="15"/>
  <c r="E105" i="15" s="1"/>
  <c r="D220" i="15"/>
  <c r="D105" i="15" s="1"/>
  <c r="C220" i="15"/>
  <c r="B220" i="15"/>
  <c r="C218" i="15"/>
  <c r="C103" i="15" s="1"/>
  <c r="D218" i="15"/>
  <c r="D103" i="15" s="1"/>
  <c r="E218" i="15"/>
  <c r="F218" i="15"/>
  <c r="G218" i="15"/>
  <c r="G103" i="15" s="1"/>
  <c r="H218" i="15"/>
  <c r="H103" i="15" s="1"/>
  <c r="I218" i="15"/>
  <c r="J218" i="15"/>
  <c r="J103" i="15" s="1"/>
  <c r="K218" i="15"/>
  <c r="K103" i="15" s="1"/>
  <c r="L218" i="15"/>
  <c r="L103" i="15" s="1"/>
  <c r="M218" i="15"/>
  <c r="N218" i="15"/>
  <c r="N103" i="15" s="1"/>
  <c r="O218" i="15"/>
  <c r="O103" i="15" s="1"/>
  <c r="P218" i="15"/>
  <c r="P103" i="15" s="1"/>
  <c r="Q218" i="15"/>
  <c r="R218" i="15"/>
  <c r="R103" i="15" s="1"/>
  <c r="S218" i="15"/>
  <c r="S103" i="15" s="1"/>
  <c r="T218" i="15"/>
  <c r="T103" i="15" s="1"/>
  <c r="U218" i="15"/>
  <c r="V218" i="15"/>
  <c r="W218" i="15"/>
  <c r="W103" i="15" s="1"/>
  <c r="X218" i="15"/>
  <c r="X103" i="15" s="1"/>
  <c r="Y218" i="15"/>
  <c r="B218" i="15"/>
  <c r="B103" i="15" s="1"/>
  <c r="C214" i="15"/>
  <c r="C99" i="15" s="1"/>
  <c r="D214" i="15"/>
  <c r="D99" i="15" s="1"/>
  <c r="E214" i="15"/>
  <c r="F214" i="15"/>
  <c r="F99" i="15" s="1"/>
  <c r="G214" i="15"/>
  <c r="G99" i="15" s="1"/>
  <c r="H214" i="15"/>
  <c r="H99" i="15" s="1"/>
  <c r="I214" i="15"/>
  <c r="J214" i="15"/>
  <c r="K214" i="15"/>
  <c r="K99" i="15" s="1"/>
  <c r="L214" i="15"/>
  <c r="L99" i="15" s="1"/>
  <c r="M214" i="15"/>
  <c r="N214" i="15"/>
  <c r="N99" i="15" s="1"/>
  <c r="O214" i="15"/>
  <c r="O99" i="15" s="1"/>
  <c r="P214" i="15"/>
  <c r="P99" i="15" s="1"/>
  <c r="Q214" i="15"/>
  <c r="R214" i="15"/>
  <c r="R99" i="15" s="1"/>
  <c r="S214" i="15"/>
  <c r="S99" i="15" s="1"/>
  <c r="T214" i="15"/>
  <c r="U214" i="15"/>
  <c r="V214" i="15"/>
  <c r="W214" i="15"/>
  <c r="W99" i="15" s="1"/>
  <c r="X214" i="15"/>
  <c r="X99" i="15" s="1"/>
  <c r="Y214" i="15"/>
  <c r="AE214" i="15" s="1"/>
  <c r="B214" i="15"/>
  <c r="B99" i="15" s="1"/>
  <c r="C211" i="15"/>
  <c r="C96" i="15" s="1"/>
  <c r="D211" i="15"/>
  <c r="D96" i="15" s="1"/>
  <c r="E211" i="15"/>
  <c r="E96" i="15" s="1"/>
  <c r="F211" i="15"/>
  <c r="G211" i="15"/>
  <c r="G96" i="15" s="1"/>
  <c r="H211" i="15"/>
  <c r="H96" i="15" s="1"/>
  <c r="I211" i="15"/>
  <c r="I96" i="15" s="1"/>
  <c r="J211" i="15"/>
  <c r="J96" i="15" s="1"/>
  <c r="K211" i="15"/>
  <c r="K96" i="15" s="1"/>
  <c r="L211" i="15"/>
  <c r="L96" i="15" s="1"/>
  <c r="M211" i="15"/>
  <c r="M96" i="15" s="1"/>
  <c r="N211" i="15"/>
  <c r="N96" i="15" s="1"/>
  <c r="O211" i="15"/>
  <c r="O96" i="15" s="1"/>
  <c r="P211" i="15"/>
  <c r="P96" i="15" s="1"/>
  <c r="Q211" i="15"/>
  <c r="Q96" i="15" s="1"/>
  <c r="R211" i="15"/>
  <c r="R96" i="15" s="1"/>
  <c r="S211" i="15"/>
  <c r="S96" i="15" s="1"/>
  <c r="T211" i="15"/>
  <c r="T96" i="15" s="1"/>
  <c r="U211" i="15"/>
  <c r="U96" i="15" s="1"/>
  <c r="V211" i="15"/>
  <c r="W211" i="15"/>
  <c r="W96" i="15" s="1"/>
  <c r="X211" i="15"/>
  <c r="X96" i="15" s="1"/>
  <c r="Y211" i="15"/>
  <c r="B211" i="15"/>
  <c r="B96" i="15" s="1"/>
  <c r="C206" i="15"/>
  <c r="D206" i="15"/>
  <c r="E206" i="15"/>
  <c r="F206" i="15"/>
  <c r="G206" i="15"/>
  <c r="H206" i="15"/>
  <c r="I206" i="15"/>
  <c r="J206" i="15"/>
  <c r="K206" i="15"/>
  <c r="L206" i="15"/>
  <c r="M206" i="15"/>
  <c r="N206" i="15"/>
  <c r="O206" i="15"/>
  <c r="P206" i="15"/>
  <c r="Q206" i="15"/>
  <c r="R206" i="15"/>
  <c r="S206" i="15"/>
  <c r="T206" i="15"/>
  <c r="U206" i="15"/>
  <c r="V206" i="15"/>
  <c r="W206" i="15"/>
  <c r="X206" i="15"/>
  <c r="Y206" i="15"/>
  <c r="B206" i="15"/>
  <c r="C203" i="15"/>
  <c r="C88" i="15" s="1"/>
  <c r="D203" i="15"/>
  <c r="E203" i="15"/>
  <c r="E88" i="15" s="1"/>
  <c r="F203" i="15"/>
  <c r="G203" i="15"/>
  <c r="G88" i="15" s="1"/>
  <c r="H203" i="15"/>
  <c r="I203" i="15"/>
  <c r="J203" i="15"/>
  <c r="J88" i="15" s="1"/>
  <c r="K203" i="15"/>
  <c r="K88" i="15" s="1"/>
  <c r="L203" i="15"/>
  <c r="M203" i="15"/>
  <c r="N203" i="15"/>
  <c r="N88" i="15" s="1"/>
  <c r="O203" i="15"/>
  <c r="O88" i="15" s="1"/>
  <c r="P203" i="15"/>
  <c r="Q203" i="15"/>
  <c r="R203" i="15"/>
  <c r="R88" i="15" s="1"/>
  <c r="S203" i="15"/>
  <c r="S88" i="15" s="1"/>
  <c r="T203" i="15"/>
  <c r="U203" i="15"/>
  <c r="U88" i="15" s="1"/>
  <c r="V203" i="15"/>
  <c r="W203" i="15"/>
  <c r="W88" i="15" s="1"/>
  <c r="X203" i="15"/>
  <c r="Y203" i="15"/>
  <c r="B203" i="15"/>
  <c r="B88" i="15" s="1"/>
  <c r="Z221" i="15"/>
  <c r="Z106" i="15" s="1"/>
  <c r="Z223" i="15"/>
  <c r="Z219" i="15"/>
  <c r="Z217" i="15"/>
  <c r="Z102" i="15" s="1"/>
  <c r="Z216" i="15"/>
  <c r="Z215" i="15"/>
  <c r="Z213" i="15"/>
  <c r="Z98" i="15" s="1"/>
  <c r="Z212" i="15"/>
  <c r="Z97" i="15" s="1"/>
  <c r="Z204" i="15"/>
  <c r="Z89" i="15" s="1"/>
  <c r="Z205" i="15"/>
  <c r="Z210" i="15"/>
  <c r="Z209" i="15"/>
  <c r="Z208" i="15"/>
  <c r="Z93" i="15" s="1"/>
  <c r="Z207" i="15"/>
  <c r="Z201" i="15"/>
  <c r="Z202" i="15"/>
  <c r="Z87" i="15" s="1"/>
  <c r="Z200" i="15"/>
  <c r="Z85" i="15" s="1"/>
  <c r="Z198" i="15"/>
  <c r="Z83" i="15" s="1"/>
  <c r="Z197" i="15"/>
  <c r="I228" i="15" s="1"/>
  <c r="C199" i="15"/>
  <c r="D199" i="15"/>
  <c r="E199" i="15"/>
  <c r="E84" i="15" s="1"/>
  <c r="F199" i="15"/>
  <c r="G199" i="15"/>
  <c r="H199" i="15"/>
  <c r="I199" i="15"/>
  <c r="I84" i="15" s="1"/>
  <c r="J199" i="15"/>
  <c r="J84" i="15" s="1"/>
  <c r="K199" i="15"/>
  <c r="L199" i="15"/>
  <c r="L84" i="15" s="1"/>
  <c r="M199" i="15"/>
  <c r="M84" i="15" s="1"/>
  <c r="N199" i="15"/>
  <c r="N84" i="15" s="1"/>
  <c r="O199" i="15"/>
  <c r="P199" i="15"/>
  <c r="Q199" i="15"/>
  <c r="Q84" i="15" s="1"/>
  <c r="R199" i="15"/>
  <c r="R84" i="15" s="1"/>
  <c r="S199" i="15"/>
  <c r="T199" i="15"/>
  <c r="U199" i="15"/>
  <c r="U84" i="15" s="1"/>
  <c r="V199" i="15"/>
  <c r="W199" i="15"/>
  <c r="X199" i="15"/>
  <c r="Y199" i="15"/>
  <c r="B199" i="15"/>
  <c r="B84" i="15" s="1"/>
  <c r="AE223" i="15"/>
  <c r="AD223" i="15"/>
  <c r="AC223" i="15"/>
  <c r="AE221" i="15"/>
  <c r="AD221" i="15"/>
  <c r="AC221" i="15"/>
  <c r="AE219" i="15"/>
  <c r="AD219" i="15"/>
  <c r="AC219" i="15"/>
  <c r="AE217" i="15"/>
  <c r="AD217" i="15"/>
  <c r="AC217" i="15"/>
  <c r="AE216" i="15"/>
  <c r="AD216" i="15"/>
  <c r="AC216" i="15"/>
  <c r="AE215" i="15"/>
  <c r="AD215" i="15"/>
  <c r="AC215" i="15"/>
  <c r="AE213" i="15"/>
  <c r="AD213" i="15"/>
  <c r="AC213" i="15"/>
  <c r="AE212" i="15"/>
  <c r="AD212" i="15"/>
  <c r="AC212" i="15"/>
  <c r="AE210" i="15"/>
  <c r="AD210" i="15"/>
  <c r="AC210" i="15"/>
  <c r="AE209" i="15"/>
  <c r="AD209" i="15"/>
  <c r="AC209" i="15"/>
  <c r="AE208" i="15"/>
  <c r="AD208" i="15"/>
  <c r="AC208" i="15"/>
  <c r="AE207" i="15"/>
  <c r="AD207" i="15"/>
  <c r="AC207" i="15"/>
  <c r="AE205" i="15"/>
  <c r="AD205" i="15"/>
  <c r="AC205" i="15"/>
  <c r="AE204" i="15"/>
  <c r="AD204" i="15"/>
  <c r="AC204" i="15"/>
  <c r="AE202" i="15"/>
  <c r="AD202" i="15"/>
  <c r="AC202" i="15"/>
  <c r="AE201" i="15"/>
  <c r="AD201" i="15"/>
  <c r="AC201" i="15"/>
  <c r="AE200" i="15"/>
  <c r="AD200" i="15"/>
  <c r="AC200" i="15"/>
  <c r="AE198" i="15"/>
  <c r="AD198" i="15"/>
  <c r="AC198" i="15"/>
  <c r="AE197" i="15"/>
  <c r="AD197" i="15"/>
  <c r="AC197" i="15"/>
  <c r="Y169" i="15"/>
  <c r="Y54" i="15" s="1"/>
  <c r="C169" i="15"/>
  <c r="D169" i="15"/>
  <c r="D54" i="15" s="1"/>
  <c r="E169" i="15"/>
  <c r="F169" i="15"/>
  <c r="G169" i="15"/>
  <c r="G54" i="15" s="1"/>
  <c r="H169" i="15"/>
  <c r="H54" i="15" s="1"/>
  <c r="I169" i="15"/>
  <c r="J169" i="15"/>
  <c r="J54" i="15" s="1"/>
  <c r="K169" i="15"/>
  <c r="K54" i="15" s="1"/>
  <c r="L169" i="15"/>
  <c r="L54" i="15" s="1"/>
  <c r="M169" i="15"/>
  <c r="N169" i="15"/>
  <c r="N54" i="15" s="1"/>
  <c r="O169" i="15"/>
  <c r="O54" i="15" s="1"/>
  <c r="P169" i="15"/>
  <c r="P54" i="15" s="1"/>
  <c r="Q169" i="15"/>
  <c r="R169" i="15"/>
  <c r="R54" i="15" s="1"/>
  <c r="S169" i="15"/>
  <c r="S54" i="15" s="1"/>
  <c r="T169" i="15"/>
  <c r="T54" i="15" s="1"/>
  <c r="U169" i="15"/>
  <c r="V169" i="15"/>
  <c r="W169" i="15"/>
  <c r="W54" i="15" s="1"/>
  <c r="X169" i="15"/>
  <c r="X54" i="15" s="1"/>
  <c r="B169" i="15"/>
  <c r="C167" i="15"/>
  <c r="D167" i="15"/>
  <c r="D52" i="15" s="1"/>
  <c r="E167" i="15"/>
  <c r="E52" i="15" s="1"/>
  <c r="F167" i="15"/>
  <c r="G167" i="15"/>
  <c r="G52" i="15" s="1"/>
  <c r="H167" i="15"/>
  <c r="H52" i="15" s="1"/>
  <c r="I167" i="15"/>
  <c r="I52" i="15" s="1"/>
  <c r="J167" i="15"/>
  <c r="K167" i="15"/>
  <c r="K52" i="15" s="1"/>
  <c r="L167" i="15"/>
  <c r="L52" i="15" s="1"/>
  <c r="M167" i="15"/>
  <c r="M52" i="15" s="1"/>
  <c r="N167" i="15"/>
  <c r="O167" i="15"/>
  <c r="O52" i="15" s="1"/>
  <c r="P167" i="15"/>
  <c r="P52" i="15" s="1"/>
  <c r="Q167" i="15"/>
  <c r="Q52" i="15" s="1"/>
  <c r="R167" i="15"/>
  <c r="S167" i="15"/>
  <c r="S52" i="15" s="1"/>
  <c r="T167" i="15"/>
  <c r="T52" i="15" s="1"/>
  <c r="U167" i="15"/>
  <c r="U52" i="15" s="1"/>
  <c r="V167" i="15"/>
  <c r="W167" i="15"/>
  <c r="W52" i="15" s="1"/>
  <c r="X167" i="15"/>
  <c r="X52" i="15" s="1"/>
  <c r="Y167" i="15"/>
  <c r="Y52" i="15" s="1"/>
  <c r="C165" i="15"/>
  <c r="D165" i="15"/>
  <c r="D50" i="15" s="1"/>
  <c r="E165" i="15"/>
  <c r="F165" i="15"/>
  <c r="G165" i="15"/>
  <c r="H165" i="15"/>
  <c r="H50" i="15" s="1"/>
  <c r="I165" i="15"/>
  <c r="I50" i="15" s="1"/>
  <c r="J165" i="15"/>
  <c r="K165" i="15"/>
  <c r="L165" i="15"/>
  <c r="L50" i="15" s="1"/>
  <c r="M165" i="15"/>
  <c r="M50" i="15" s="1"/>
  <c r="N165" i="15"/>
  <c r="O165" i="15"/>
  <c r="P165" i="15"/>
  <c r="P50" i="15" s="1"/>
  <c r="Q165" i="15"/>
  <c r="Q50" i="15" s="1"/>
  <c r="R165" i="15"/>
  <c r="R50" i="15" s="1"/>
  <c r="S165" i="15"/>
  <c r="T165" i="15"/>
  <c r="T50" i="15" s="1"/>
  <c r="U165" i="15"/>
  <c r="V165" i="15"/>
  <c r="V50" i="15" s="1"/>
  <c r="W165" i="15"/>
  <c r="X165" i="15"/>
  <c r="X50" i="15" s="1"/>
  <c r="Y165" i="15"/>
  <c r="B167" i="15"/>
  <c r="B52" i="15" s="1"/>
  <c r="B165" i="15"/>
  <c r="C160" i="15"/>
  <c r="C45" i="15" s="1"/>
  <c r="D160" i="15"/>
  <c r="D45" i="15" s="1"/>
  <c r="E160" i="15"/>
  <c r="F160" i="15"/>
  <c r="G160" i="15"/>
  <c r="G45" i="15" s="1"/>
  <c r="H160" i="15"/>
  <c r="H45" i="15" s="1"/>
  <c r="I160" i="15"/>
  <c r="J160" i="15"/>
  <c r="K160" i="15"/>
  <c r="K45" i="15" s="1"/>
  <c r="L160" i="15"/>
  <c r="L45" i="15" s="1"/>
  <c r="M160" i="15"/>
  <c r="N160" i="15"/>
  <c r="O160" i="15"/>
  <c r="O45" i="15" s="1"/>
  <c r="P160" i="15"/>
  <c r="P45" i="15" s="1"/>
  <c r="Q160" i="15"/>
  <c r="Q45" i="15" s="1"/>
  <c r="R160" i="15"/>
  <c r="S160" i="15"/>
  <c r="S45" i="15" s="1"/>
  <c r="T160" i="15"/>
  <c r="T45" i="15" s="1"/>
  <c r="U160" i="15"/>
  <c r="V160" i="15"/>
  <c r="W160" i="15"/>
  <c r="W45" i="15" s="1"/>
  <c r="X160" i="15"/>
  <c r="X45" i="15" s="1"/>
  <c r="Y160" i="15"/>
  <c r="AE160" i="15" s="1"/>
  <c r="B160" i="15"/>
  <c r="Y157" i="15"/>
  <c r="Y42" i="15" s="1"/>
  <c r="C157" i="15"/>
  <c r="C42" i="15" s="1"/>
  <c r="D157" i="15"/>
  <c r="E157" i="15"/>
  <c r="F157" i="15"/>
  <c r="G157" i="15"/>
  <c r="G42" i="15" s="1"/>
  <c r="H157" i="15"/>
  <c r="I157" i="15"/>
  <c r="J157" i="15"/>
  <c r="J42" i="15" s="1"/>
  <c r="K157" i="15"/>
  <c r="K42" i="15" s="1"/>
  <c r="L157" i="15"/>
  <c r="M157" i="15"/>
  <c r="N157" i="15"/>
  <c r="N42" i="15" s="1"/>
  <c r="O157" i="15"/>
  <c r="O42" i="15" s="1"/>
  <c r="P157" i="15"/>
  <c r="Q157" i="15"/>
  <c r="R157" i="15"/>
  <c r="R42" i="15" s="1"/>
  <c r="S157" i="15"/>
  <c r="S42" i="15" s="1"/>
  <c r="T157" i="15"/>
  <c r="U157" i="15"/>
  <c r="V157" i="15"/>
  <c r="W157" i="15"/>
  <c r="W42" i="15" s="1"/>
  <c r="X157" i="15"/>
  <c r="B157" i="15"/>
  <c r="C152" i="15"/>
  <c r="D152" i="15"/>
  <c r="D37" i="15" s="1"/>
  <c r="E152" i="15"/>
  <c r="E37" i="15" s="1"/>
  <c r="F152" i="15"/>
  <c r="G152" i="15"/>
  <c r="H152" i="15"/>
  <c r="I152" i="15"/>
  <c r="I37" i="15" s="1"/>
  <c r="J152" i="15"/>
  <c r="K152" i="15"/>
  <c r="L152" i="15"/>
  <c r="M152" i="15"/>
  <c r="N152" i="15"/>
  <c r="O152" i="15"/>
  <c r="P152" i="15"/>
  <c r="Q152" i="15"/>
  <c r="R152" i="15"/>
  <c r="S152" i="15"/>
  <c r="T152" i="15"/>
  <c r="U152" i="15"/>
  <c r="V152" i="15"/>
  <c r="W152" i="15"/>
  <c r="X152" i="15"/>
  <c r="Y152" i="15"/>
  <c r="Y37" i="15" s="1"/>
  <c r="B152" i="15"/>
  <c r="C150" i="15"/>
  <c r="C35" i="15" s="1"/>
  <c r="D150" i="15"/>
  <c r="D35" i="15" s="1"/>
  <c r="E150" i="15"/>
  <c r="E35" i="15" s="1"/>
  <c r="F150" i="15"/>
  <c r="G150" i="15"/>
  <c r="G35" i="15" s="1"/>
  <c r="H150" i="15"/>
  <c r="H35" i="15" s="1"/>
  <c r="I150" i="15"/>
  <c r="I35" i="15" s="1"/>
  <c r="J150" i="15"/>
  <c r="K150" i="15"/>
  <c r="K35" i="15" s="1"/>
  <c r="L150" i="15"/>
  <c r="L35" i="15" s="1"/>
  <c r="M150" i="15"/>
  <c r="M35" i="15" s="1"/>
  <c r="N150" i="15"/>
  <c r="O150" i="15"/>
  <c r="O35" i="15" s="1"/>
  <c r="P150" i="15"/>
  <c r="P35" i="15" s="1"/>
  <c r="Q150" i="15"/>
  <c r="Q35" i="15" s="1"/>
  <c r="R150" i="15"/>
  <c r="S150" i="15"/>
  <c r="S35" i="15" s="1"/>
  <c r="T150" i="15"/>
  <c r="T35" i="15" s="1"/>
  <c r="U150" i="15"/>
  <c r="U35" i="15" s="1"/>
  <c r="V150" i="15"/>
  <c r="W150" i="15"/>
  <c r="W35" i="15" s="1"/>
  <c r="X150" i="15"/>
  <c r="X35" i="15" s="1"/>
  <c r="Y150" i="15"/>
  <c r="Y35" i="15" s="1"/>
  <c r="B150" i="15"/>
  <c r="C145" i="15"/>
  <c r="C30" i="15" s="1"/>
  <c r="D145" i="15"/>
  <c r="E145" i="15"/>
  <c r="F145" i="15"/>
  <c r="G145" i="15"/>
  <c r="G30" i="15" s="1"/>
  <c r="H145" i="15"/>
  <c r="I145" i="15"/>
  <c r="J145" i="15"/>
  <c r="K145" i="15"/>
  <c r="K30" i="15" s="1"/>
  <c r="L145" i="15"/>
  <c r="L30" i="15" s="1"/>
  <c r="M145" i="15"/>
  <c r="N145" i="15"/>
  <c r="O145" i="15"/>
  <c r="O30" i="15" s="1"/>
  <c r="P145" i="15"/>
  <c r="P30" i="15" s="1"/>
  <c r="Q145" i="15"/>
  <c r="Q30" i="15" s="1"/>
  <c r="R145" i="15"/>
  <c r="S145" i="15"/>
  <c r="S30" i="15" s="1"/>
  <c r="T145" i="15"/>
  <c r="T30" i="15" s="1"/>
  <c r="U145" i="15"/>
  <c r="V145" i="15"/>
  <c r="W145" i="15"/>
  <c r="W30" i="15" s="1"/>
  <c r="X145" i="15"/>
  <c r="X30" i="15" s="1"/>
  <c r="Y145" i="15"/>
  <c r="AE145" i="15" s="1"/>
  <c r="B145" i="15"/>
  <c r="C141" i="15"/>
  <c r="D141" i="15"/>
  <c r="E141" i="15"/>
  <c r="E26" i="15" s="1"/>
  <c r="F141" i="15"/>
  <c r="G141" i="15"/>
  <c r="H141" i="15"/>
  <c r="I141" i="15"/>
  <c r="I26" i="15" s="1"/>
  <c r="J141" i="15"/>
  <c r="K141" i="15"/>
  <c r="L141" i="15"/>
  <c r="M141" i="15"/>
  <c r="M26" i="15" s="1"/>
  <c r="N141" i="15"/>
  <c r="O141" i="15"/>
  <c r="P141" i="15"/>
  <c r="Q141" i="15"/>
  <c r="Q26" i="15" s="1"/>
  <c r="R141" i="15"/>
  <c r="S141" i="15"/>
  <c r="T141" i="15"/>
  <c r="U141" i="15"/>
  <c r="U26" i="15" s="1"/>
  <c r="V141" i="15"/>
  <c r="W141" i="15"/>
  <c r="X141" i="15"/>
  <c r="Y141" i="15"/>
  <c r="Y26" i="15" s="1"/>
  <c r="B141" i="15"/>
  <c r="C137" i="15"/>
  <c r="C22" i="15" s="1"/>
  <c r="D137" i="15"/>
  <c r="D22" i="15" s="1"/>
  <c r="E137" i="15"/>
  <c r="F137" i="15"/>
  <c r="G137" i="15"/>
  <c r="H137" i="15"/>
  <c r="H22" i="15" s="1"/>
  <c r="I137" i="15"/>
  <c r="J137" i="15"/>
  <c r="K137" i="15"/>
  <c r="L137" i="15"/>
  <c r="L22" i="15" s="1"/>
  <c r="M137" i="15"/>
  <c r="N137" i="15"/>
  <c r="O137" i="15"/>
  <c r="P137" i="15"/>
  <c r="P22" i="15" s="1"/>
  <c r="Q137" i="15"/>
  <c r="R137" i="15"/>
  <c r="S137" i="15"/>
  <c r="S22" i="15" s="1"/>
  <c r="T137" i="15"/>
  <c r="T22" i="15" s="1"/>
  <c r="U137" i="15"/>
  <c r="V137" i="15"/>
  <c r="W137" i="15"/>
  <c r="X137" i="15"/>
  <c r="X22" i="15" s="1"/>
  <c r="Y137" i="15"/>
  <c r="B137" i="15"/>
  <c r="B22" i="15" s="1"/>
  <c r="C135" i="15"/>
  <c r="C20" i="15" s="1"/>
  <c r="D135" i="15"/>
  <c r="E135" i="15"/>
  <c r="F135" i="15"/>
  <c r="G135" i="15"/>
  <c r="G20" i="15" s="1"/>
  <c r="H135" i="15"/>
  <c r="I135" i="15"/>
  <c r="J135" i="15"/>
  <c r="K135" i="15"/>
  <c r="K20" i="15" s="1"/>
  <c r="L135" i="15"/>
  <c r="M135" i="15"/>
  <c r="N135" i="15"/>
  <c r="O135" i="15"/>
  <c r="O20" i="15" s="1"/>
  <c r="P135" i="15"/>
  <c r="Q135" i="15"/>
  <c r="R135" i="15"/>
  <c r="S135" i="15"/>
  <c r="S20" i="15" s="1"/>
  <c r="T135" i="15"/>
  <c r="U135" i="15"/>
  <c r="V135" i="15"/>
  <c r="W135" i="15"/>
  <c r="W20" i="15" s="1"/>
  <c r="X135" i="15"/>
  <c r="Y135" i="15"/>
  <c r="B135" i="15"/>
  <c r="B20" i="15" s="1"/>
  <c r="Z172" i="15"/>
  <c r="Z171" i="15"/>
  <c r="Z56" i="15" s="1"/>
  <c r="Z170" i="15"/>
  <c r="Z168" i="15"/>
  <c r="Z166" i="15"/>
  <c r="Z51" i="15" s="1"/>
  <c r="Z162" i="15"/>
  <c r="Z47" i="15" s="1"/>
  <c r="Z163" i="15"/>
  <c r="Z164" i="15"/>
  <c r="Z161" i="15"/>
  <c r="Z46" i="15" s="1"/>
  <c r="Z159" i="15"/>
  <c r="Z158" i="15"/>
  <c r="Z154" i="15"/>
  <c r="Z39" i="15" s="1"/>
  <c r="Z155" i="15"/>
  <c r="Z156" i="15"/>
  <c r="Z153" i="15"/>
  <c r="Z151" i="15"/>
  <c r="Z36" i="15" s="1"/>
  <c r="Z147" i="15"/>
  <c r="Z148" i="15"/>
  <c r="Z149" i="15"/>
  <c r="Z146" i="15"/>
  <c r="Z31" i="15" s="1"/>
  <c r="Z143" i="15"/>
  <c r="Z28" i="15" s="1"/>
  <c r="Z144" i="15"/>
  <c r="Z142" i="15"/>
  <c r="Z136" i="15"/>
  <c r="Z21" i="15" s="1"/>
  <c r="Z140" i="15"/>
  <c r="Z25" i="15" s="1"/>
  <c r="Z139" i="15"/>
  <c r="Z138" i="15"/>
  <c r="Z133" i="15"/>
  <c r="Z134" i="15"/>
  <c r="Z19" i="15" s="1"/>
  <c r="Z132" i="15"/>
  <c r="Z130" i="15"/>
  <c r="Z129" i="15"/>
  <c r="Z14" i="15" s="1"/>
  <c r="C131" i="15"/>
  <c r="D131" i="15"/>
  <c r="E131" i="15"/>
  <c r="F131" i="15"/>
  <c r="F16" i="15" s="1"/>
  <c r="G131" i="15"/>
  <c r="H131" i="15"/>
  <c r="I131" i="15"/>
  <c r="J131" i="15"/>
  <c r="J16" i="15" s="1"/>
  <c r="K131" i="15"/>
  <c r="L131" i="15"/>
  <c r="M131" i="15"/>
  <c r="N131" i="15"/>
  <c r="N16" i="15" s="1"/>
  <c r="O131" i="15"/>
  <c r="P131" i="15"/>
  <c r="Q131" i="15"/>
  <c r="R131" i="15"/>
  <c r="R16" i="15" s="1"/>
  <c r="S131" i="15"/>
  <c r="T131" i="15"/>
  <c r="U131" i="15"/>
  <c r="V131" i="15"/>
  <c r="W131" i="15"/>
  <c r="X131" i="15"/>
  <c r="Y131" i="15"/>
  <c r="B131" i="15"/>
  <c r="C128" i="15"/>
  <c r="D128" i="15"/>
  <c r="E128" i="15"/>
  <c r="F128" i="15"/>
  <c r="G128" i="15"/>
  <c r="H128" i="15"/>
  <c r="I128" i="15"/>
  <c r="J128" i="15"/>
  <c r="K128" i="15"/>
  <c r="L128" i="15"/>
  <c r="M128" i="15"/>
  <c r="N128" i="15"/>
  <c r="O128" i="15"/>
  <c r="O13" i="15" s="1"/>
  <c r="P128" i="15"/>
  <c r="Q128" i="15"/>
  <c r="R128" i="15"/>
  <c r="S128" i="15"/>
  <c r="T128" i="15"/>
  <c r="U128" i="15"/>
  <c r="V128" i="15"/>
  <c r="W128" i="15"/>
  <c r="X128" i="15"/>
  <c r="Y128" i="15"/>
  <c r="B128" i="15"/>
  <c r="B13" i="15" s="1"/>
  <c r="AE172" i="15"/>
  <c r="AD172" i="15"/>
  <c r="AC172" i="15"/>
  <c r="AE171" i="15"/>
  <c r="AD171" i="15"/>
  <c r="AC171" i="15"/>
  <c r="AE170" i="15"/>
  <c r="AD170" i="15"/>
  <c r="AC170" i="15"/>
  <c r="AE168" i="15"/>
  <c r="AD168" i="15"/>
  <c r="AC168" i="15"/>
  <c r="AE166" i="15"/>
  <c r="AD166" i="15"/>
  <c r="AC166" i="15"/>
  <c r="AE164" i="15"/>
  <c r="AD164" i="15"/>
  <c r="AC164" i="15"/>
  <c r="AE163" i="15"/>
  <c r="AD163" i="15"/>
  <c r="AC163" i="15"/>
  <c r="AE162" i="15"/>
  <c r="AD162" i="15"/>
  <c r="AC162" i="15"/>
  <c r="AE161" i="15"/>
  <c r="AD161" i="15"/>
  <c r="AC161" i="15"/>
  <c r="AE159" i="15"/>
  <c r="AD159" i="15"/>
  <c r="AC159" i="15"/>
  <c r="AE158" i="15"/>
  <c r="AD158" i="15"/>
  <c r="AC158" i="15"/>
  <c r="AE156" i="15"/>
  <c r="AD156" i="15"/>
  <c r="AC156" i="15"/>
  <c r="AE155" i="15"/>
  <c r="AD155" i="15"/>
  <c r="AC155" i="15"/>
  <c r="AE154" i="15"/>
  <c r="AD154" i="15"/>
  <c r="AC154" i="15"/>
  <c r="AE153" i="15"/>
  <c r="AD153" i="15"/>
  <c r="AC153" i="15"/>
  <c r="AE151" i="15"/>
  <c r="AD151" i="15"/>
  <c r="AC151" i="15"/>
  <c r="AE149" i="15"/>
  <c r="AD149" i="15"/>
  <c r="AC149" i="15"/>
  <c r="AE148" i="15"/>
  <c r="AD148" i="15"/>
  <c r="AC148" i="15"/>
  <c r="AE147" i="15"/>
  <c r="AD147" i="15"/>
  <c r="AC147" i="15"/>
  <c r="AE146" i="15"/>
  <c r="AD146" i="15"/>
  <c r="AC146" i="15"/>
  <c r="AE144" i="15"/>
  <c r="AD144" i="15"/>
  <c r="AC144" i="15"/>
  <c r="AE143" i="15"/>
  <c r="AD143" i="15"/>
  <c r="AC143" i="15"/>
  <c r="AE142" i="15"/>
  <c r="AD142" i="15"/>
  <c r="AC142" i="15"/>
  <c r="AE140" i="15"/>
  <c r="AD140" i="15"/>
  <c r="AC140" i="15"/>
  <c r="AE139" i="15"/>
  <c r="AD139" i="15"/>
  <c r="AC139" i="15"/>
  <c r="AE138" i="15"/>
  <c r="AD138" i="15"/>
  <c r="AC138" i="15"/>
  <c r="AE136" i="15"/>
  <c r="AD136" i="15"/>
  <c r="AC136" i="15"/>
  <c r="AE134" i="15"/>
  <c r="AD134" i="15"/>
  <c r="AC134" i="15"/>
  <c r="AE133" i="15"/>
  <c r="AD133" i="15"/>
  <c r="AC133" i="15"/>
  <c r="AE132" i="15"/>
  <c r="AD132" i="15"/>
  <c r="AC132" i="15"/>
  <c r="AE130" i="15"/>
  <c r="AD130" i="15"/>
  <c r="AC130" i="15"/>
  <c r="AE129" i="15"/>
  <c r="AD129" i="15"/>
  <c r="AC129" i="15"/>
  <c r="Y141" i="14"/>
  <c r="AE141" i="14" s="1"/>
  <c r="X141" i="14"/>
  <c r="W141" i="14"/>
  <c r="V141" i="14"/>
  <c r="U141" i="14"/>
  <c r="T141" i="14"/>
  <c r="S141" i="14"/>
  <c r="R141" i="14"/>
  <c r="Q141" i="14"/>
  <c r="P141" i="14"/>
  <c r="O141" i="14"/>
  <c r="N141" i="14"/>
  <c r="M141" i="14"/>
  <c r="L141" i="14"/>
  <c r="K141" i="14"/>
  <c r="J141" i="14"/>
  <c r="I141" i="14"/>
  <c r="H141" i="14"/>
  <c r="G141" i="14"/>
  <c r="F141" i="14"/>
  <c r="E141" i="14"/>
  <c r="D141" i="14"/>
  <c r="C141" i="14"/>
  <c r="B141" i="14"/>
  <c r="Y139" i="14"/>
  <c r="AE139" i="14" s="1"/>
  <c r="X139" i="14"/>
  <c r="W139" i="14"/>
  <c r="V139" i="14"/>
  <c r="U139" i="14"/>
  <c r="T139" i="14"/>
  <c r="S139" i="14"/>
  <c r="R139" i="14"/>
  <c r="Q139" i="14"/>
  <c r="P139" i="14"/>
  <c r="O139" i="14"/>
  <c r="N139" i="14"/>
  <c r="M139" i="14"/>
  <c r="L139" i="14"/>
  <c r="K139" i="14"/>
  <c r="J139" i="14"/>
  <c r="I139" i="14"/>
  <c r="H139" i="14"/>
  <c r="G139" i="14"/>
  <c r="F139" i="14"/>
  <c r="E139" i="14"/>
  <c r="D139" i="14"/>
  <c r="C139" i="14"/>
  <c r="B139" i="14"/>
  <c r="Y137" i="14"/>
  <c r="AE137" i="14" s="1"/>
  <c r="X137" i="14"/>
  <c r="W137" i="14"/>
  <c r="V137" i="14"/>
  <c r="U137" i="14"/>
  <c r="T137" i="14"/>
  <c r="S137" i="14"/>
  <c r="R137" i="14"/>
  <c r="Q137" i="14"/>
  <c r="P137" i="14"/>
  <c r="O137" i="14"/>
  <c r="N137" i="14"/>
  <c r="M137" i="14"/>
  <c r="L137" i="14"/>
  <c r="K137" i="14"/>
  <c r="J137" i="14"/>
  <c r="I137" i="14"/>
  <c r="H137" i="14"/>
  <c r="G137" i="14"/>
  <c r="F137" i="14"/>
  <c r="E137" i="14"/>
  <c r="D137" i="14"/>
  <c r="C137" i="14"/>
  <c r="B137" i="14"/>
  <c r="Y135" i="14"/>
  <c r="AE135" i="14" s="1"/>
  <c r="X135" i="14"/>
  <c r="W135" i="14"/>
  <c r="V135" i="14"/>
  <c r="U135" i="14"/>
  <c r="T135" i="14"/>
  <c r="S135" i="14"/>
  <c r="R135" i="14"/>
  <c r="Q135" i="14"/>
  <c r="P135" i="14"/>
  <c r="O135" i="14"/>
  <c r="N135" i="14"/>
  <c r="M135" i="14"/>
  <c r="L135" i="14"/>
  <c r="K135" i="14"/>
  <c r="J135" i="14"/>
  <c r="I135" i="14"/>
  <c r="H135" i="14"/>
  <c r="G135" i="14"/>
  <c r="F135" i="14"/>
  <c r="E135" i="14"/>
  <c r="D135" i="14"/>
  <c r="C135" i="14"/>
  <c r="B135" i="14"/>
  <c r="Y130" i="14"/>
  <c r="AE130" i="14" s="1"/>
  <c r="X130" i="14"/>
  <c r="W130" i="14"/>
  <c r="V130" i="14"/>
  <c r="U130" i="14"/>
  <c r="T130" i="14"/>
  <c r="S130" i="14"/>
  <c r="R130" i="14"/>
  <c r="Q130" i="14"/>
  <c r="P130" i="14"/>
  <c r="O130" i="14"/>
  <c r="N130" i="14"/>
  <c r="M130" i="14"/>
  <c r="L130" i="14"/>
  <c r="K130" i="14"/>
  <c r="J130" i="14"/>
  <c r="I130" i="14"/>
  <c r="H130" i="14"/>
  <c r="G130" i="14"/>
  <c r="F130" i="14"/>
  <c r="E130" i="14"/>
  <c r="D130" i="14"/>
  <c r="C130" i="14"/>
  <c r="B130" i="14"/>
  <c r="Y133" i="14"/>
  <c r="AE133" i="14" s="1"/>
  <c r="X133" i="14"/>
  <c r="W133" i="14"/>
  <c r="V133" i="14"/>
  <c r="U133" i="14"/>
  <c r="T133" i="14"/>
  <c r="S133" i="14"/>
  <c r="R133" i="14"/>
  <c r="Q133" i="14"/>
  <c r="P133" i="14"/>
  <c r="O133" i="14"/>
  <c r="N133" i="14"/>
  <c r="M133" i="14"/>
  <c r="L133" i="14"/>
  <c r="K133" i="14"/>
  <c r="J133" i="14"/>
  <c r="I133" i="14"/>
  <c r="H133" i="14"/>
  <c r="G133" i="14"/>
  <c r="F133" i="14"/>
  <c r="E133" i="14"/>
  <c r="D133" i="14"/>
  <c r="C133" i="14"/>
  <c r="B133" i="14"/>
  <c r="Y132" i="14"/>
  <c r="AE132" i="14" s="1"/>
  <c r="X132" i="14"/>
  <c r="W132" i="14"/>
  <c r="V132" i="14"/>
  <c r="U132" i="14"/>
  <c r="T132" i="14"/>
  <c r="S132" i="14"/>
  <c r="R132" i="14"/>
  <c r="Q132" i="14"/>
  <c r="P132" i="14"/>
  <c r="O132" i="14"/>
  <c r="N132" i="14"/>
  <c r="M132" i="14"/>
  <c r="L132" i="14"/>
  <c r="K132" i="14"/>
  <c r="J132" i="14"/>
  <c r="I132" i="14"/>
  <c r="H132" i="14"/>
  <c r="G132" i="14"/>
  <c r="F132" i="14"/>
  <c r="E132" i="14"/>
  <c r="D132" i="14"/>
  <c r="C132" i="14"/>
  <c r="B132" i="14"/>
  <c r="B125"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AE125" i="14" s="1"/>
  <c r="B126"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AE126" i="14" s="1"/>
  <c r="B127"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AE127" i="14" s="1"/>
  <c r="B128"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AE128" i="14" s="1"/>
  <c r="Y124" i="14"/>
  <c r="AE124" i="14" s="1"/>
  <c r="X124" i="14"/>
  <c r="W124" i="14"/>
  <c r="V124" i="14"/>
  <c r="U124" i="14"/>
  <c r="T124" i="14"/>
  <c r="S124" i="14"/>
  <c r="R124" i="14"/>
  <c r="Q124" i="14"/>
  <c r="P124" i="14"/>
  <c r="O124" i="14"/>
  <c r="N124" i="14"/>
  <c r="M124" i="14"/>
  <c r="L124" i="14"/>
  <c r="K124" i="14"/>
  <c r="J124" i="14"/>
  <c r="I124" i="14"/>
  <c r="H124" i="14"/>
  <c r="G124" i="14"/>
  <c r="F124" i="14"/>
  <c r="E124" i="14"/>
  <c r="D124" i="14"/>
  <c r="C124" i="14"/>
  <c r="B124" i="14"/>
  <c r="Y123" i="14"/>
  <c r="AE123" i="14" s="1"/>
  <c r="X123" i="14"/>
  <c r="W123" i="14"/>
  <c r="V123" i="14"/>
  <c r="U123" i="14"/>
  <c r="T123" i="14"/>
  <c r="S123" i="14"/>
  <c r="R123" i="14"/>
  <c r="Q123" i="14"/>
  <c r="P123" i="14"/>
  <c r="O123" i="14"/>
  <c r="N123" i="14"/>
  <c r="M123" i="14"/>
  <c r="L123" i="14"/>
  <c r="K123" i="14"/>
  <c r="J123" i="14"/>
  <c r="I123" i="14"/>
  <c r="H123" i="14"/>
  <c r="G123" i="14"/>
  <c r="F123" i="14"/>
  <c r="E123" i="14"/>
  <c r="D123" i="14"/>
  <c r="C123" i="14"/>
  <c r="B123" i="14"/>
  <c r="Y122" i="14"/>
  <c r="AE122" i="14" s="1"/>
  <c r="X122" i="14"/>
  <c r="W122" i="14"/>
  <c r="V122" i="14"/>
  <c r="U122" i="14"/>
  <c r="T122" i="14"/>
  <c r="S122" i="14"/>
  <c r="R122" i="14"/>
  <c r="Q122" i="14"/>
  <c r="P122" i="14"/>
  <c r="O122" i="14"/>
  <c r="N122" i="14"/>
  <c r="M122" i="14"/>
  <c r="L122" i="14"/>
  <c r="K122" i="14"/>
  <c r="J122" i="14"/>
  <c r="I122" i="14"/>
  <c r="H122" i="14"/>
  <c r="G122" i="14"/>
  <c r="F122" i="14"/>
  <c r="E122" i="14"/>
  <c r="D122" i="14"/>
  <c r="C122" i="14"/>
  <c r="B122" i="14"/>
  <c r="Y121" i="14"/>
  <c r="AE121" i="14" s="1"/>
  <c r="X121" i="14"/>
  <c r="W121" i="14"/>
  <c r="V121" i="14"/>
  <c r="U121" i="14"/>
  <c r="T121" i="14"/>
  <c r="S121" i="14"/>
  <c r="R121" i="14"/>
  <c r="Q121" i="14"/>
  <c r="P121" i="14"/>
  <c r="O121" i="14"/>
  <c r="N121" i="14"/>
  <c r="M121" i="14"/>
  <c r="L121" i="14"/>
  <c r="K121" i="14"/>
  <c r="J121" i="14"/>
  <c r="I121" i="14"/>
  <c r="H121" i="14"/>
  <c r="G121" i="14"/>
  <c r="F121" i="14"/>
  <c r="E121" i="14"/>
  <c r="D121" i="14"/>
  <c r="C121" i="14"/>
  <c r="B121" i="14"/>
  <c r="Y120" i="14"/>
  <c r="AE120" i="14" s="1"/>
  <c r="X120" i="14"/>
  <c r="W120" i="14"/>
  <c r="V120" i="14"/>
  <c r="U120" i="14"/>
  <c r="T120" i="14"/>
  <c r="S120" i="14"/>
  <c r="R120" i="14"/>
  <c r="Q120" i="14"/>
  <c r="P120" i="14"/>
  <c r="O120" i="14"/>
  <c r="N120" i="14"/>
  <c r="M120" i="14"/>
  <c r="L120" i="14"/>
  <c r="K120" i="14"/>
  <c r="J120" i="14"/>
  <c r="I120" i="14"/>
  <c r="H120" i="14"/>
  <c r="G120" i="14"/>
  <c r="F120" i="14"/>
  <c r="E120" i="14"/>
  <c r="D120" i="14"/>
  <c r="C120" i="14"/>
  <c r="B120" i="14"/>
  <c r="B118"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AE118" i="14" s="1"/>
  <c r="Y117" i="14"/>
  <c r="AE117" i="14" s="1"/>
  <c r="X117" i="14"/>
  <c r="W117" i="14"/>
  <c r="V117" i="14"/>
  <c r="U117" i="14"/>
  <c r="T117" i="14"/>
  <c r="S117" i="14"/>
  <c r="R117" i="14"/>
  <c r="Q117" i="14"/>
  <c r="P117" i="14"/>
  <c r="O117" i="14"/>
  <c r="N117" i="14"/>
  <c r="M117" i="14"/>
  <c r="L117" i="14"/>
  <c r="K117" i="14"/>
  <c r="J117" i="14"/>
  <c r="I117" i="14"/>
  <c r="H117" i="14"/>
  <c r="G117" i="14"/>
  <c r="F117" i="14"/>
  <c r="E117" i="14"/>
  <c r="D117" i="14"/>
  <c r="C117" i="14"/>
  <c r="B117" i="14"/>
  <c r="Y116" i="14"/>
  <c r="AE116" i="14" s="1"/>
  <c r="X116" i="14"/>
  <c r="W116" i="14"/>
  <c r="V116" i="14"/>
  <c r="U116" i="14"/>
  <c r="T116" i="14"/>
  <c r="S116" i="14"/>
  <c r="R116" i="14"/>
  <c r="Q116" i="14"/>
  <c r="P116" i="14"/>
  <c r="O116" i="14"/>
  <c r="N116" i="14"/>
  <c r="M116" i="14"/>
  <c r="L116" i="14"/>
  <c r="K116" i="14"/>
  <c r="J116" i="14"/>
  <c r="I116" i="14"/>
  <c r="H116" i="14"/>
  <c r="G116" i="14"/>
  <c r="F116" i="14"/>
  <c r="E116" i="14"/>
  <c r="D116" i="14"/>
  <c r="C116" i="14"/>
  <c r="B116" i="14"/>
  <c r="Y115" i="14"/>
  <c r="AE115" i="14" s="1"/>
  <c r="X115" i="14"/>
  <c r="W115" i="14"/>
  <c r="V115" i="14"/>
  <c r="U115" i="14"/>
  <c r="T115" i="14"/>
  <c r="S115" i="14"/>
  <c r="R115" i="14"/>
  <c r="Q115" i="14"/>
  <c r="P115" i="14"/>
  <c r="O115" i="14"/>
  <c r="N115" i="14"/>
  <c r="M115" i="14"/>
  <c r="L115" i="14"/>
  <c r="K115" i="14"/>
  <c r="J115" i="14"/>
  <c r="I115" i="14"/>
  <c r="H115" i="14"/>
  <c r="G115" i="14"/>
  <c r="F115" i="14"/>
  <c r="E115" i="14"/>
  <c r="D115" i="14"/>
  <c r="C115" i="14"/>
  <c r="B115" i="14"/>
  <c r="X114" i="14"/>
  <c r="W114" i="14"/>
  <c r="V114" i="14"/>
  <c r="U114" i="14"/>
  <c r="T114" i="14"/>
  <c r="S114" i="14"/>
  <c r="R114" i="14"/>
  <c r="O114" i="14"/>
  <c r="N114" i="14"/>
  <c r="M114" i="14"/>
  <c r="K114" i="14"/>
  <c r="I114" i="14"/>
  <c r="H114" i="14"/>
  <c r="G114" i="14"/>
  <c r="F114" i="14"/>
  <c r="E114" i="14"/>
  <c r="D114" i="14"/>
  <c r="C114" i="14"/>
  <c r="B112"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AE112" i="14" s="1"/>
  <c r="Y111" i="14"/>
  <c r="AE111" i="14" s="1"/>
  <c r="W111" i="14"/>
  <c r="V111" i="14"/>
  <c r="U111" i="14"/>
  <c r="T111" i="14"/>
  <c r="S111" i="14"/>
  <c r="R111" i="14"/>
  <c r="Q111" i="14"/>
  <c r="P111" i="14"/>
  <c r="O111" i="14"/>
  <c r="N111" i="14"/>
  <c r="M111" i="14"/>
  <c r="L111" i="14"/>
  <c r="K111" i="14"/>
  <c r="J111" i="14"/>
  <c r="I111" i="14"/>
  <c r="H111" i="14"/>
  <c r="G111" i="14"/>
  <c r="F111" i="14"/>
  <c r="E111" i="14"/>
  <c r="D111" i="14"/>
  <c r="C111" i="14"/>
  <c r="B111" i="14"/>
  <c r="Y110" i="14"/>
  <c r="AE110" i="14" s="1"/>
  <c r="X110" i="14"/>
  <c r="W110" i="14"/>
  <c r="V110" i="14"/>
  <c r="U110" i="14"/>
  <c r="T110" i="14"/>
  <c r="S110" i="14"/>
  <c r="R110" i="14"/>
  <c r="Q110" i="14"/>
  <c r="P110" i="14"/>
  <c r="O110" i="14"/>
  <c r="N110" i="14"/>
  <c r="M110" i="14"/>
  <c r="L110" i="14"/>
  <c r="K110" i="14"/>
  <c r="J110" i="14"/>
  <c r="I110" i="14"/>
  <c r="H110" i="14"/>
  <c r="G110" i="14"/>
  <c r="F110" i="14"/>
  <c r="E110" i="14"/>
  <c r="D110" i="14"/>
  <c r="C110" i="14"/>
  <c r="B110" i="14"/>
  <c r="Y109" i="14"/>
  <c r="AE109" i="14" s="1"/>
  <c r="X109" i="14"/>
  <c r="W109" i="14"/>
  <c r="V109" i="14"/>
  <c r="U109" i="14"/>
  <c r="T109" i="14"/>
  <c r="S109" i="14"/>
  <c r="R109" i="14"/>
  <c r="Q109" i="14"/>
  <c r="P109" i="14"/>
  <c r="O109" i="14"/>
  <c r="N109" i="14"/>
  <c r="M109" i="14"/>
  <c r="L109" i="14"/>
  <c r="K109" i="14"/>
  <c r="J109" i="14"/>
  <c r="I109" i="14"/>
  <c r="H109" i="14"/>
  <c r="G109" i="14"/>
  <c r="F109" i="14"/>
  <c r="E109" i="14"/>
  <c r="D109" i="14"/>
  <c r="C109" i="14"/>
  <c r="B109" i="14"/>
  <c r="Y107" i="14"/>
  <c r="AE107" i="14" s="1"/>
  <c r="X107" i="14"/>
  <c r="W107" i="14"/>
  <c r="V107" i="14"/>
  <c r="U107" i="14"/>
  <c r="T107" i="14"/>
  <c r="S107" i="14"/>
  <c r="R107" i="14"/>
  <c r="Q107" i="14"/>
  <c r="P107" i="14"/>
  <c r="O107" i="14"/>
  <c r="N107" i="14"/>
  <c r="M107" i="14"/>
  <c r="L107" i="14"/>
  <c r="K107" i="14"/>
  <c r="J107" i="14"/>
  <c r="I107" i="14"/>
  <c r="H107" i="14"/>
  <c r="G107" i="14"/>
  <c r="F107" i="14"/>
  <c r="E107" i="14"/>
  <c r="D107" i="14"/>
  <c r="C107" i="14"/>
  <c r="B107" i="14"/>
  <c r="Y106" i="14"/>
  <c r="AE106" i="14" s="1"/>
  <c r="X106" i="14"/>
  <c r="W106" i="14"/>
  <c r="V106" i="14"/>
  <c r="U106" i="14"/>
  <c r="T106" i="14"/>
  <c r="S106" i="14"/>
  <c r="R106" i="14"/>
  <c r="Q106" i="14"/>
  <c r="P106" i="14"/>
  <c r="O106" i="14"/>
  <c r="N106" i="14"/>
  <c r="M106" i="14"/>
  <c r="L106" i="14"/>
  <c r="K106" i="14"/>
  <c r="J106" i="14"/>
  <c r="I106" i="14"/>
  <c r="H106" i="14"/>
  <c r="G106" i="14"/>
  <c r="F106" i="14"/>
  <c r="E106" i="14"/>
  <c r="D106" i="14"/>
  <c r="C106" i="14"/>
  <c r="B106" i="14"/>
  <c r="Y105" i="14"/>
  <c r="AE105" i="14" s="1"/>
  <c r="X105" i="14"/>
  <c r="W105" i="14"/>
  <c r="V105" i="14"/>
  <c r="U105" i="14"/>
  <c r="T105" i="14"/>
  <c r="S105" i="14"/>
  <c r="R105" i="14"/>
  <c r="Q105" i="14"/>
  <c r="P105" i="14"/>
  <c r="O105" i="14"/>
  <c r="N105" i="14"/>
  <c r="M105" i="14"/>
  <c r="L105" i="14"/>
  <c r="K105" i="14"/>
  <c r="J105" i="14"/>
  <c r="I105" i="14"/>
  <c r="H105" i="14"/>
  <c r="G105" i="14"/>
  <c r="F105" i="14"/>
  <c r="E105" i="14"/>
  <c r="D105" i="14"/>
  <c r="C105" i="14"/>
  <c r="B105" i="14"/>
  <c r="B103" i="14"/>
  <c r="C103" i="14"/>
  <c r="D103" i="14"/>
  <c r="E103" i="14"/>
  <c r="F103" i="14"/>
  <c r="G103" i="14"/>
  <c r="H103" i="14"/>
  <c r="I103" i="14"/>
  <c r="J103" i="14"/>
  <c r="K103" i="14"/>
  <c r="L103" i="14"/>
  <c r="M103" i="14"/>
  <c r="N103" i="14"/>
  <c r="O103" i="14"/>
  <c r="P103" i="14"/>
  <c r="Q103" i="14"/>
  <c r="R103" i="14"/>
  <c r="S103" i="14"/>
  <c r="T103" i="14"/>
  <c r="V103" i="14"/>
  <c r="W103" i="14"/>
  <c r="Y103" i="14"/>
  <c r="AE103" i="14" s="1"/>
  <c r="Y102" i="14"/>
  <c r="AE102" i="14" s="1"/>
  <c r="X102" i="14"/>
  <c r="W102" i="14"/>
  <c r="V102" i="14"/>
  <c r="U102" i="14"/>
  <c r="T102" i="14"/>
  <c r="S102" i="14"/>
  <c r="R102" i="14"/>
  <c r="Q102" i="14"/>
  <c r="P102" i="14"/>
  <c r="O102" i="14"/>
  <c r="N102" i="14"/>
  <c r="M102" i="14"/>
  <c r="L102" i="14"/>
  <c r="K102" i="14"/>
  <c r="J102" i="14"/>
  <c r="I102" i="14"/>
  <c r="H102" i="14"/>
  <c r="G102" i="14"/>
  <c r="F102" i="14"/>
  <c r="E102" i="14"/>
  <c r="D102" i="14"/>
  <c r="C102" i="14"/>
  <c r="B102" i="14"/>
  <c r="Y101" i="14"/>
  <c r="AE101" i="14" s="1"/>
  <c r="X101" i="14"/>
  <c r="W101" i="14"/>
  <c r="V101" i="14"/>
  <c r="U101" i="14"/>
  <c r="T101" i="14"/>
  <c r="S101" i="14"/>
  <c r="R101" i="14"/>
  <c r="Q101" i="14"/>
  <c r="P101" i="14"/>
  <c r="O101" i="14"/>
  <c r="N101" i="14"/>
  <c r="M101" i="14"/>
  <c r="L101" i="14"/>
  <c r="K101" i="14"/>
  <c r="J101" i="14"/>
  <c r="I101" i="14"/>
  <c r="H101" i="14"/>
  <c r="G101" i="14"/>
  <c r="F101" i="14"/>
  <c r="E101" i="14"/>
  <c r="D101" i="14"/>
  <c r="C101" i="14"/>
  <c r="B101" i="14"/>
  <c r="B93" i="14"/>
  <c r="C93" i="14"/>
  <c r="D93" i="14"/>
  <c r="E93" i="14"/>
  <c r="F93" i="14"/>
  <c r="G93" i="14"/>
  <c r="H93" i="14"/>
  <c r="I93" i="14"/>
  <c r="J93" i="14"/>
  <c r="K93" i="14"/>
  <c r="L93" i="14"/>
  <c r="M93" i="14"/>
  <c r="N93" i="14"/>
  <c r="O93" i="14"/>
  <c r="P93" i="14"/>
  <c r="Q93" i="14"/>
  <c r="R93" i="14"/>
  <c r="S93" i="14"/>
  <c r="T93" i="14"/>
  <c r="U93" i="14"/>
  <c r="V93" i="14"/>
  <c r="W93" i="14"/>
  <c r="X93" i="14"/>
  <c r="Y93" i="14"/>
  <c r="AE93" i="14" s="1"/>
  <c r="B94" i="14"/>
  <c r="C94" i="14"/>
  <c r="D94" i="14"/>
  <c r="E94" i="14"/>
  <c r="F94" i="14"/>
  <c r="G94" i="14"/>
  <c r="H94" i="14"/>
  <c r="I94" i="14"/>
  <c r="J94" i="14"/>
  <c r="K94" i="14"/>
  <c r="L94" i="14"/>
  <c r="M94" i="14"/>
  <c r="N94" i="14"/>
  <c r="O94" i="14"/>
  <c r="P94" i="14"/>
  <c r="Q94" i="14"/>
  <c r="R94" i="14"/>
  <c r="S94" i="14"/>
  <c r="T94" i="14"/>
  <c r="U94" i="14"/>
  <c r="V94" i="14"/>
  <c r="W94" i="14"/>
  <c r="X94" i="14"/>
  <c r="Y94" i="14"/>
  <c r="AE94" i="14" s="1"/>
  <c r="B95" i="14"/>
  <c r="C95" i="14"/>
  <c r="D95" i="14"/>
  <c r="E95" i="14"/>
  <c r="F95" i="14"/>
  <c r="G95" i="14"/>
  <c r="H95" i="14"/>
  <c r="I95" i="14"/>
  <c r="J95" i="14"/>
  <c r="K95" i="14"/>
  <c r="L95" i="14"/>
  <c r="M95" i="14"/>
  <c r="N95" i="14"/>
  <c r="O95" i="14"/>
  <c r="P95" i="14"/>
  <c r="Q95" i="14"/>
  <c r="R95" i="14"/>
  <c r="S95" i="14"/>
  <c r="T95" i="14"/>
  <c r="U95" i="14"/>
  <c r="V95" i="14"/>
  <c r="W95" i="14"/>
  <c r="X95" i="14"/>
  <c r="Y95" i="14"/>
  <c r="AE95" i="14" s="1"/>
  <c r="B96" i="14"/>
  <c r="C96" i="14"/>
  <c r="D96" i="14"/>
  <c r="E96" i="14"/>
  <c r="F96" i="14"/>
  <c r="G96" i="14"/>
  <c r="H96" i="14"/>
  <c r="I96" i="14"/>
  <c r="J96" i="14"/>
  <c r="K96" i="14"/>
  <c r="L96" i="14"/>
  <c r="M96" i="14"/>
  <c r="N96" i="14"/>
  <c r="O96" i="14"/>
  <c r="P96" i="14"/>
  <c r="Q96" i="14"/>
  <c r="R96" i="14"/>
  <c r="S96" i="14"/>
  <c r="T96" i="14"/>
  <c r="U96" i="14"/>
  <c r="V96" i="14"/>
  <c r="W96" i="14"/>
  <c r="X96" i="14"/>
  <c r="Y96" i="14"/>
  <c r="AE96" i="14" s="1"/>
  <c r="B97" i="14"/>
  <c r="C97" i="14"/>
  <c r="D97" i="14"/>
  <c r="E97" i="14"/>
  <c r="F97" i="14"/>
  <c r="G97" i="14"/>
  <c r="H97" i="14"/>
  <c r="I97" i="14"/>
  <c r="J97" i="14"/>
  <c r="K97" i="14"/>
  <c r="L97" i="14"/>
  <c r="M97" i="14"/>
  <c r="N97" i="14"/>
  <c r="O97" i="14"/>
  <c r="P97" i="14"/>
  <c r="Q97" i="14"/>
  <c r="R97" i="14"/>
  <c r="S97" i="14"/>
  <c r="T97" i="14"/>
  <c r="U97" i="14"/>
  <c r="V97" i="14"/>
  <c r="W97" i="14"/>
  <c r="X97" i="14"/>
  <c r="Y97" i="14"/>
  <c r="AE97" i="14" s="1"/>
  <c r="B98" i="14"/>
  <c r="C98" i="14"/>
  <c r="D98" i="14"/>
  <c r="E98" i="14"/>
  <c r="F98" i="14"/>
  <c r="G98" i="14"/>
  <c r="H98" i="14"/>
  <c r="I98" i="14"/>
  <c r="J98" i="14"/>
  <c r="K98" i="14"/>
  <c r="L98" i="14"/>
  <c r="M98" i="14"/>
  <c r="N98" i="14"/>
  <c r="O98" i="14"/>
  <c r="P98" i="14"/>
  <c r="Q98" i="14"/>
  <c r="R98" i="14"/>
  <c r="S98" i="14"/>
  <c r="T98" i="14"/>
  <c r="U98" i="14"/>
  <c r="V98" i="14"/>
  <c r="W98" i="14"/>
  <c r="X98" i="14"/>
  <c r="Y98" i="14"/>
  <c r="AE98" i="14" s="1"/>
  <c r="B99" i="14"/>
  <c r="C99" i="14"/>
  <c r="D99" i="14"/>
  <c r="E99" i="14"/>
  <c r="F99" i="14"/>
  <c r="G99" i="14"/>
  <c r="H99" i="14"/>
  <c r="I99" i="14"/>
  <c r="J99" i="14"/>
  <c r="K99" i="14"/>
  <c r="L99" i="14"/>
  <c r="M99" i="14"/>
  <c r="N99" i="14"/>
  <c r="O99" i="14"/>
  <c r="P99" i="14"/>
  <c r="Q99" i="14"/>
  <c r="R99" i="14"/>
  <c r="S99" i="14"/>
  <c r="T99" i="14"/>
  <c r="U99" i="14"/>
  <c r="V99" i="14"/>
  <c r="W99" i="14"/>
  <c r="X99" i="14"/>
  <c r="Y99" i="14"/>
  <c r="AE99" i="14" s="1"/>
  <c r="Y92" i="14"/>
  <c r="AE92" i="14" s="1"/>
  <c r="X92" i="14"/>
  <c r="W92" i="14"/>
  <c r="V92" i="14"/>
  <c r="U92" i="14"/>
  <c r="T92" i="14"/>
  <c r="S92" i="14"/>
  <c r="R92" i="14"/>
  <c r="Q92" i="14"/>
  <c r="P92" i="14"/>
  <c r="O92" i="14"/>
  <c r="N92" i="14"/>
  <c r="M92" i="14"/>
  <c r="L92" i="14"/>
  <c r="K92" i="14"/>
  <c r="J92" i="14"/>
  <c r="I92" i="14"/>
  <c r="H92" i="14"/>
  <c r="G92" i="14"/>
  <c r="F92" i="14"/>
  <c r="E92" i="14"/>
  <c r="D92" i="14"/>
  <c r="C92" i="14"/>
  <c r="B92" i="14"/>
  <c r="Y129" i="14"/>
  <c r="X129" i="14"/>
  <c r="W129" i="14"/>
  <c r="V129" i="14"/>
  <c r="U129" i="14"/>
  <c r="T129" i="14"/>
  <c r="S129" i="14"/>
  <c r="R129" i="14"/>
  <c r="Q129" i="14"/>
  <c r="P129" i="14"/>
  <c r="O129" i="14"/>
  <c r="N129" i="14"/>
  <c r="M129" i="14"/>
  <c r="L129" i="14"/>
  <c r="K129" i="14"/>
  <c r="J129" i="14"/>
  <c r="I129" i="14"/>
  <c r="H129" i="14"/>
  <c r="G129" i="14"/>
  <c r="F129" i="14"/>
  <c r="E129" i="14"/>
  <c r="D129" i="14"/>
  <c r="C129" i="14"/>
  <c r="B129" i="14"/>
  <c r="AE129" i="14"/>
  <c r="Y66" i="14"/>
  <c r="X66" i="14"/>
  <c r="W66" i="14"/>
  <c r="V66" i="14"/>
  <c r="U66" i="14"/>
  <c r="T66" i="14"/>
  <c r="S66" i="14"/>
  <c r="R66" i="14"/>
  <c r="Q66" i="14"/>
  <c r="P66" i="14"/>
  <c r="O66" i="14"/>
  <c r="N66" i="14"/>
  <c r="M66" i="14"/>
  <c r="L66" i="14"/>
  <c r="K66" i="14"/>
  <c r="J66" i="14"/>
  <c r="I66" i="14"/>
  <c r="H66" i="14"/>
  <c r="G66" i="14"/>
  <c r="F66" i="14"/>
  <c r="E66" i="14"/>
  <c r="D66" i="14"/>
  <c r="C66" i="14"/>
  <c r="B66" i="14"/>
  <c r="Y64" i="14"/>
  <c r="AE64" i="14" s="1"/>
  <c r="X64" i="14"/>
  <c r="W64" i="14"/>
  <c r="V64" i="14"/>
  <c r="U64" i="14"/>
  <c r="T64" i="14"/>
  <c r="S64" i="14"/>
  <c r="R64" i="14"/>
  <c r="Q64" i="14"/>
  <c r="P64" i="14"/>
  <c r="O64" i="14"/>
  <c r="N64" i="14"/>
  <c r="M64" i="14"/>
  <c r="L64" i="14"/>
  <c r="K64" i="14"/>
  <c r="J64" i="14"/>
  <c r="I64" i="14"/>
  <c r="H64" i="14"/>
  <c r="G64" i="14"/>
  <c r="F64" i="14"/>
  <c r="E64" i="14"/>
  <c r="D64" i="14"/>
  <c r="C64" i="14"/>
  <c r="B64" i="14"/>
  <c r="Y62" i="14"/>
  <c r="AE62" i="14" s="1"/>
  <c r="X62" i="14"/>
  <c r="W62" i="14"/>
  <c r="V62" i="14"/>
  <c r="U62" i="14"/>
  <c r="T62" i="14"/>
  <c r="S62" i="14"/>
  <c r="R62" i="14"/>
  <c r="Q62" i="14"/>
  <c r="P62" i="14"/>
  <c r="O62" i="14"/>
  <c r="N62" i="14"/>
  <c r="M62" i="14"/>
  <c r="L62" i="14"/>
  <c r="K62" i="14"/>
  <c r="J62" i="14"/>
  <c r="I62" i="14"/>
  <c r="H62" i="14"/>
  <c r="G62" i="14"/>
  <c r="F62" i="14"/>
  <c r="E62" i="14"/>
  <c r="D62" i="14"/>
  <c r="C62" i="14"/>
  <c r="B62" i="14"/>
  <c r="Y60" i="14"/>
  <c r="AE60" i="14" s="1"/>
  <c r="X60" i="14"/>
  <c r="W60" i="14"/>
  <c r="V60" i="14"/>
  <c r="U60" i="14"/>
  <c r="T60" i="14"/>
  <c r="S60" i="14"/>
  <c r="R60" i="14"/>
  <c r="Q60" i="14"/>
  <c r="P60" i="14"/>
  <c r="O60" i="14"/>
  <c r="N60" i="14"/>
  <c r="M60" i="14"/>
  <c r="L60" i="14"/>
  <c r="K60" i="14"/>
  <c r="J60" i="14"/>
  <c r="I60" i="14"/>
  <c r="H60" i="14"/>
  <c r="G60" i="14"/>
  <c r="F60" i="14"/>
  <c r="E60" i="14"/>
  <c r="D60" i="14"/>
  <c r="C60" i="14"/>
  <c r="B60" i="14"/>
  <c r="Y58" i="14"/>
  <c r="AE58" i="14" s="1"/>
  <c r="X58" i="14"/>
  <c r="W58" i="14"/>
  <c r="V58" i="14"/>
  <c r="U58" i="14"/>
  <c r="T58" i="14"/>
  <c r="S58" i="14"/>
  <c r="R58" i="14"/>
  <c r="Q58" i="14"/>
  <c r="P58" i="14"/>
  <c r="O58" i="14"/>
  <c r="N58" i="14"/>
  <c r="M58" i="14"/>
  <c r="L58" i="14"/>
  <c r="K58" i="14"/>
  <c r="J58" i="14"/>
  <c r="I58" i="14"/>
  <c r="H58" i="14"/>
  <c r="G58" i="14"/>
  <c r="F58" i="14"/>
  <c r="E58" i="14"/>
  <c r="D58" i="14"/>
  <c r="C58" i="14"/>
  <c r="B58" i="14"/>
  <c r="Y56" i="14"/>
  <c r="AE56" i="14" s="1"/>
  <c r="X56" i="14"/>
  <c r="W56" i="14"/>
  <c r="V56" i="14"/>
  <c r="U56" i="14"/>
  <c r="T56" i="14"/>
  <c r="S56" i="14"/>
  <c r="R56" i="14"/>
  <c r="Q56" i="14"/>
  <c r="P56" i="14"/>
  <c r="O56" i="14"/>
  <c r="N56" i="14"/>
  <c r="M56" i="14"/>
  <c r="L56" i="14"/>
  <c r="K56" i="14"/>
  <c r="J56" i="14"/>
  <c r="I56" i="14"/>
  <c r="H56" i="14"/>
  <c r="G56" i="14"/>
  <c r="F56" i="14"/>
  <c r="E56" i="14"/>
  <c r="D56" i="14"/>
  <c r="C56" i="14"/>
  <c r="B56" i="14"/>
  <c r="Y55" i="14"/>
  <c r="AE55" i="14" s="1"/>
  <c r="X55" i="14"/>
  <c r="W55" i="14"/>
  <c r="V55" i="14"/>
  <c r="U55" i="14"/>
  <c r="T55" i="14"/>
  <c r="S55" i="14"/>
  <c r="R55" i="14"/>
  <c r="Q55" i="14"/>
  <c r="P55" i="14"/>
  <c r="O55" i="14"/>
  <c r="N55" i="14"/>
  <c r="M55" i="14"/>
  <c r="L55" i="14"/>
  <c r="K55" i="14"/>
  <c r="J55" i="14"/>
  <c r="I55" i="14"/>
  <c r="H55" i="14"/>
  <c r="G55" i="14"/>
  <c r="F55" i="14"/>
  <c r="E55" i="14"/>
  <c r="D55" i="14"/>
  <c r="C55" i="14"/>
  <c r="B55" i="14"/>
  <c r="C57" i="14"/>
  <c r="D57" i="14"/>
  <c r="E57" i="14"/>
  <c r="F57" i="14"/>
  <c r="G57" i="14"/>
  <c r="H57" i="14"/>
  <c r="I57" i="14"/>
  <c r="J57" i="14"/>
  <c r="K57" i="14"/>
  <c r="L57" i="14"/>
  <c r="M57" i="14"/>
  <c r="N57" i="14"/>
  <c r="P57" i="14"/>
  <c r="Q57" i="14"/>
  <c r="R57" i="14"/>
  <c r="S57" i="14"/>
  <c r="T57" i="14"/>
  <c r="U57" i="14"/>
  <c r="V57" i="14"/>
  <c r="W57" i="14"/>
  <c r="X57" i="14"/>
  <c r="Y57" i="14"/>
  <c r="Y53" i="14"/>
  <c r="AE53" i="14" s="1"/>
  <c r="X53" i="14"/>
  <c r="W53" i="14"/>
  <c r="V53" i="14"/>
  <c r="U53" i="14"/>
  <c r="T53" i="14"/>
  <c r="S53" i="14"/>
  <c r="R53" i="14"/>
  <c r="Q53" i="14"/>
  <c r="P53" i="14"/>
  <c r="O53" i="14"/>
  <c r="N53" i="14"/>
  <c r="M53" i="14"/>
  <c r="L53" i="14"/>
  <c r="K53" i="14"/>
  <c r="J53" i="14"/>
  <c r="I53" i="14"/>
  <c r="H53" i="14"/>
  <c r="G53" i="14"/>
  <c r="F53" i="14"/>
  <c r="E53" i="14"/>
  <c r="D53" i="14"/>
  <c r="C53" i="14"/>
  <c r="B53" i="14"/>
  <c r="Y52" i="14"/>
  <c r="AE52" i="14" s="1"/>
  <c r="X52" i="14"/>
  <c r="W52" i="14"/>
  <c r="V52" i="14"/>
  <c r="U52" i="14"/>
  <c r="T52" i="14"/>
  <c r="S52" i="14"/>
  <c r="R52" i="14"/>
  <c r="Q52" i="14"/>
  <c r="P52" i="14"/>
  <c r="O52" i="14"/>
  <c r="N52" i="14"/>
  <c r="M52" i="14"/>
  <c r="L52" i="14"/>
  <c r="K52" i="14"/>
  <c r="J52" i="14"/>
  <c r="I52" i="14"/>
  <c r="H52" i="14"/>
  <c r="G52" i="14"/>
  <c r="F52" i="14"/>
  <c r="E52" i="14"/>
  <c r="D52" i="14"/>
  <c r="C52" i="14"/>
  <c r="B52" i="14"/>
  <c r="B47" i="14"/>
  <c r="C47" i="14"/>
  <c r="D47" i="14"/>
  <c r="E47" i="14"/>
  <c r="F47" i="14"/>
  <c r="G47" i="14"/>
  <c r="H47" i="14"/>
  <c r="I47" i="14"/>
  <c r="J47" i="14"/>
  <c r="K47" i="14"/>
  <c r="L47" i="14"/>
  <c r="M47" i="14"/>
  <c r="N47" i="14"/>
  <c r="O47" i="14"/>
  <c r="P47" i="14"/>
  <c r="Q47" i="14"/>
  <c r="R47" i="14"/>
  <c r="S47" i="14"/>
  <c r="T47" i="14"/>
  <c r="U47" i="14"/>
  <c r="V47" i="14"/>
  <c r="W47" i="14"/>
  <c r="X47" i="14"/>
  <c r="Y47" i="14"/>
  <c r="AE47" i="14" s="1"/>
  <c r="B48" i="14"/>
  <c r="C48" i="14"/>
  <c r="D48" i="14"/>
  <c r="E48" i="14"/>
  <c r="F48" i="14"/>
  <c r="G48" i="14"/>
  <c r="H48" i="14"/>
  <c r="I48" i="14"/>
  <c r="J48" i="14"/>
  <c r="K48" i="14"/>
  <c r="L48" i="14"/>
  <c r="M48" i="14"/>
  <c r="N48" i="14"/>
  <c r="O48" i="14"/>
  <c r="P48" i="14"/>
  <c r="Q48" i="14"/>
  <c r="R48" i="14"/>
  <c r="S48" i="14"/>
  <c r="T48" i="14"/>
  <c r="U48" i="14"/>
  <c r="V48" i="14"/>
  <c r="W48" i="14"/>
  <c r="X48" i="14"/>
  <c r="Y48" i="14"/>
  <c r="B49" i="14"/>
  <c r="C49" i="14"/>
  <c r="D49" i="14"/>
  <c r="E49" i="14"/>
  <c r="F49" i="14"/>
  <c r="G49" i="14"/>
  <c r="H49" i="14"/>
  <c r="I49" i="14"/>
  <c r="J49" i="14"/>
  <c r="K49" i="14"/>
  <c r="L49" i="14"/>
  <c r="M49" i="14"/>
  <c r="N49" i="14"/>
  <c r="O49" i="14"/>
  <c r="P49" i="14"/>
  <c r="Q49" i="14"/>
  <c r="R49" i="14"/>
  <c r="S49" i="14"/>
  <c r="T49" i="14"/>
  <c r="U49" i="14"/>
  <c r="V49" i="14"/>
  <c r="W49" i="14"/>
  <c r="X49" i="14"/>
  <c r="Y49" i="14"/>
  <c r="AE49" i="14" s="1"/>
  <c r="B50" i="14"/>
  <c r="C50" i="14"/>
  <c r="D50" i="14"/>
  <c r="E50" i="14"/>
  <c r="F50" i="14"/>
  <c r="G50" i="14"/>
  <c r="H50" i="14"/>
  <c r="I50" i="14"/>
  <c r="J50" i="14"/>
  <c r="K50" i="14"/>
  <c r="L50" i="14"/>
  <c r="M50" i="14"/>
  <c r="N50" i="14"/>
  <c r="O50" i="14"/>
  <c r="P50" i="14"/>
  <c r="Q50" i="14"/>
  <c r="R50" i="14"/>
  <c r="S50" i="14"/>
  <c r="T50" i="14"/>
  <c r="U50" i="14"/>
  <c r="V50" i="14"/>
  <c r="W50" i="14"/>
  <c r="X50" i="14"/>
  <c r="Y50" i="14"/>
  <c r="AE50" i="14" s="1"/>
  <c r="Y46" i="14"/>
  <c r="AE46" i="14" s="1"/>
  <c r="X46" i="14"/>
  <c r="W46" i="14"/>
  <c r="V46" i="14"/>
  <c r="U46" i="14"/>
  <c r="T46" i="14"/>
  <c r="S46" i="14"/>
  <c r="R46" i="14"/>
  <c r="Q46" i="14"/>
  <c r="P46" i="14"/>
  <c r="O46" i="14"/>
  <c r="N46" i="14"/>
  <c r="M46" i="14"/>
  <c r="L46" i="14"/>
  <c r="K46" i="14"/>
  <c r="J46" i="14"/>
  <c r="I46" i="14"/>
  <c r="H46" i="14"/>
  <c r="G46" i="14"/>
  <c r="F46" i="14"/>
  <c r="E46" i="14"/>
  <c r="D46" i="14"/>
  <c r="C46" i="14"/>
  <c r="B46" i="14"/>
  <c r="Y45" i="14"/>
  <c r="AE45" i="14" s="1"/>
  <c r="X45" i="14"/>
  <c r="W45" i="14"/>
  <c r="V45" i="14"/>
  <c r="U45" i="14"/>
  <c r="T45" i="14"/>
  <c r="S45" i="14"/>
  <c r="R45" i="14"/>
  <c r="Q45" i="14"/>
  <c r="P45" i="14"/>
  <c r="O45" i="14"/>
  <c r="N45" i="14"/>
  <c r="M45" i="14"/>
  <c r="L45" i="14"/>
  <c r="K45" i="14"/>
  <c r="J45" i="14"/>
  <c r="I45" i="14"/>
  <c r="H45" i="14"/>
  <c r="G45" i="14"/>
  <c r="F45" i="14"/>
  <c r="E45" i="14"/>
  <c r="D45" i="14"/>
  <c r="C45" i="14"/>
  <c r="B45" i="14"/>
  <c r="Y44" i="14"/>
  <c r="AE44" i="14" s="1"/>
  <c r="X44" i="14"/>
  <c r="W44" i="14"/>
  <c r="V44" i="14"/>
  <c r="U44" i="14"/>
  <c r="T44" i="14"/>
  <c r="S44" i="14"/>
  <c r="R44" i="14"/>
  <c r="Q44" i="14"/>
  <c r="P44" i="14"/>
  <c r="O44" i="14"/>
  <c r="N44" i="14"/>
  <c r="M44" i="14"/>
  <c r="L44" i="14"/>
  <c r="K44" i="14"/>
  <c r="J44" i="14"/>
  <c r="I44" i="14"/>
  <c r="H44" i="14"/>
  <c r="G44" i="14"/>
  <c r="F44" i="14"/>
  <c r="E44" i="14"/>
  <c r="D44" i="14"/>
  <c r="C44" i="14"/>
  <c r="B44" i="14"/>
  <c r="Y43" i="14"/>
  <c r="AE43" i="14" s="1"/>
  <c r="X43" i="14"/>
  <c r="W43" i="14"/>
  <c r="V43" i="14"/>
  <c r="U43" i="14"/>
  <c r="T43" i="14"/>
  <c r="S43" i="14"/>
  <c r="R43" i="14"/>
  <c r="Q43" i="14"/>
  <c r="P43" i="14"/>
  <c r="O43" i="14"/>
  <c r="N43" i="14"/>
  <c r="M43" i="14"/>
  <c r="L43" i="14"/>
  <c r="K43" i="14"/>
  <c r="J43" i="14"/>
  <c r="I43" i="14"/>
  <c r="H43" i="14"/>
  <c r="G43" i="14"/>
  <c r="F43" i="14"/>
  <c r="E43" i="14"/>
  <c r="D43" i="14"/>
  <c r="C43" i="14"/>
  <c r="B43" i="14"/>
  <c r="Y42" i="14"/>
  <c r="AE42" i="14" s="1"/>
  <c r="X42" i="14"/>
  <c r="W42" i="14"/>
  <c r="V42" i="14"/>
  <c r="U42" i="14"/>
  <c r="T42" i="14"/>
  <c r="S42" i="14"/>
  <c r="R42" i="14"/>
  <c r="Q42" i="14"/>
  <c r="P42" i="14"/>
  <c r="O42" i="14"/>
  <c r="N42" i="14"/>
  <c r="M42" i="14"/>
  <c r="L42" i="14"/>
  <c r="K42" i="14"/>
  <c r="J42" i="14"/>
  <c r="I42" i="14"/>
  <c r="H42" i="14"/>
  <c r="G42" i="14"/>
  <c r="F42" i="14"/>
  <c r="E42" i="14"/>
  <c r="D42" i="14"/>
  <c r="C42" i="14"/>
  <c r="B42" i="14"/>
  <c r="B40" i="14"/>
  <c r="C40" i="14"/>
  <c r="D40" i="14"/>
  <c r="E40" i="14"/>
  <c r="F40" i="14"/>
  <c r="G40" i="14"/>
  <c r="H40" i="14"/>
  <c r="I40" i="14"/>
  <c r="J40" i="14"/>
  <c r="K40" i="14"/>
  <c r="L40" i="14"/>
  <c r="M40" i="14"/>
  <c r="N40" i="14"/>
  <c r="O40" i="14"/>
  <c r="P40" i="14"/>
  <c r="Q40" i="14"/>
  <c r="R40" i="14"/>
  <c r="S40" i="14"/>
  <c r="T40" i="14"/>
  <c r="U40" i="14"/>
  <c r="V40" i="14"/>
  <c r="W40" i="14"/>
  <c r="X40" i="14"/>
  <c r="Y40" i="14"/>
  <c r="AE40" i="14" s="1"/>
  <c r="Y39" i="14"/>
  <c r="AE39" i="14" s="1"/>
  <c r="X39" i="14"/>
  <c r="W39" i="14"/>
  <c r="V39" i="14"/>
  <c r="U39" i="14"/>
  <c r="T39" i="14"/>
  <c r="S39" i="14"/>
  <c r="R39" i="14"/>
  <c r="Q39" i="14"/>
  <c r="P39" i="14"/>
  <c r="O39" i="14"/>
  <c r="N39" i="14"/>
  <c r="M39" i="14"/>
  <c r="L39" i="14"/>
  <c r="K39" i="14"/>
  <c r="J39" i="14"/>
  <c r="I39" i="14"/>
  <c r="H39" i="14"/>
  <c r="G39" i="14"/>
  <c r="F39" i="14"/>
  <c r="E39" i="14"/>
  <c r="D39" i="14"/>
  <c r="C39" i="14"/>
  <c r="B39" i="14"/>
  <c r="Y38" i="14"/>
  <c r="AE38" i="14" s="1"/>
  <c r="X38" i="14"/>
  <c r="W38" i="14"/>
  <c r="V38" i="14"/>
  <c r="U38" i="14"/>
  <c r="T38" i="14"/>
  <c r="S38" i="14"/>
  <c r="R38" i="14"/>
  <c r="Q38" i="14"/>
  <c r="P38" i="14"/>
  <c r="O38" i="14"/>
  <c r="N38" i="14"/>
  <c r="M38" i="14"/>
  <c r="L38" i="14"/>
  <c r="K38" i="14"/>
  <c r="J38" i="14"/>
  <c r="I38" i="14"/>
  <c r="H38" i="14"/>
  <c r="G38" i="14"/>
  <c r="F38" i="14"/>
  <c r="E38" i="14"/>
  <c r="D38" i="14"/>
  <c r="C38" i="14"/>
  <c r="B38" i="14"/>
  <c r="Y37" i="14"/>
  <c r="AE37" i="14" s="1"/>
  <c r="X37" i="14"/>
  <c r="W37" i="14"/>
  <c r="V37" i="14"/>
  <c r="U37" i="14"/>
  <c r="T37" i="14"/>
  <c r="S37" i="14"/>
  <c r="R37" i="14"/>
  <c r="Q37" i="14"/>
  <c r="P37" i="14"/>
  <c r="O37" i="14"/>
  <c r="N37" i="14"/>
  <c r="M37" i="14"/>
  <c r="L37" i="14"/>
  <c r="K37" i="14"/>
  <c r="J37" i="14"/>
  <c r="I37" i="14"/>
  <c r="H37" i="14"/>
  <c r="G37" i="14"/>
  <c r="D37" i="14"/>
  <c r="C37" i="14"/>
  <c r="B37" i="14"/>
  <c r="Y36" i="14"/>
  <c r="AE36" i="14" s="1"/>
  <c r="X36" i="14"/>
  <c r="W36" i="14"/>
  <c r="V36" i="14"/>
  <c r="U36" i="14"/>
  <c r="T36" i="14"/>
  <c r="S36" i="14"/>
  <c r="R36" i="14"/>
  <c r="Q36" i="14"/>
  <c r="P36" i="14"/>
  <c r="O36" i="14"/>
  <c r="N36" i="14"/>
  <c r="M36" i="14"/>
  <c r="L36" i="14"/>
  <c r="I36" i="14"/>
  <c r="H36" i="14"/>
  <c r="F36" i="14"/>
  <c r="D36" i="14"/>
  <c r="C36" i="14"/>
  <c r="B36" i="14"/>
  <c r="B34" i="14"/>
  <c r="C34" i="14"/>
  <c r="D34" i="14"/>
  <c r="E34" i="14"/>
  <c r="F34" i="14"/>
  <c r="G34" i="14"/>
  <c r="H34" i="14"/>
  <c r="I34" i="14"/>
  <c r="J34" i="14"/>
  <c r="K34" i="14"/>
  <c r="L34" i="14"/>
  <c r="M34" i="14"/>
  <c r="N34" i="14"/>
  <c r="O34" i="14"/>
  <c r="P34" i="14"/>
  <c r="Q34" i="14"/>
  <c r="R34" i="14"/>
  <c r="S34" i="14"/>
  <c r="T34" i="14"/>
  <c r="U34" i="14"/>
  <c r="V34" i="14"/>
  <c r="W34" i="14"/>
  <c r="X34" i="14"/>
  <c r="Y34" i="14"/>
  <c r="AE34" i="14" s="1"/>
  <c r="Y33" i="14"/>
  <c r="AE33" i="14" s="1"/>
  <c r="X33" i="14"/>
  <c r="W33" i="14"/>
  <c r="V33" i="14"/>
  <c r="U33" i="14"/>
  <c r="T33" i="14"/>
  <c r="S33" i="14"/>
  <c r="R33" i="14"/>
  <c r="Q33" i="14"/>
  <c r="P33" i="14"/>
  <c r="O33" i="14"/>
  <c r="N33" i="14"/>
  <c r="M33" i="14"/>
  <c r="L33" i="14"/>
  <c r="K33" i="14"/>
  <c r="J33" i="14"/>
  <c r="I33" i="14"/>
  <c r="H33" i="14"/>
  <c r="G33" i="14"/>
  <c r="F33" i="14"/>
  <c r="E33" i="14"/>
  <c r="D33" i="14"/>
  <c r="C33" i="14"/>
  <c r="B33" i="14"/>
  <c r="Y32" i="14"/>
  <c r="AE32" i="14" s="1"/>
  <c r="X32" i="14"/>
  <c r="W32" i="14"/>
  <c r="V32" i="14"/>
  <c r="U32" i="14"/>
  <c r="T32" i="14"/>
  <c r="S32" i="14"/>
  <c r="R32" i="14"/>
  <c r="Q32" i="14"/>
  <c r="P32" i="14"/>
  <c r="O32" i="14"/>
  <c r="N32" i="14"/>
  <c r="M32" i="14"/>
  <c r="L32" i="14"/>
  <c r="K32" i="14"/>
  <c r="J32" i="14"/>
  <c r="I32" i="14"/>
  <c r="H32" i="14"/>
  <c r="G32" i="14"/>
  <c r="F32" i="14"/>
  <c r="E32" i="14"/>
  <c r="D32" i="14"/>
  <c r="C32" i="14"/>
  <c r="B32" i="14"/>
  <c r="Y31" i="14"/>
  <c r="AE31" i="14" s="1"/>
  <c r="X31" i="14"/>
  <c r="W31" i="14"/>
  <c r="V31" i="14"/>
  <c r="U31" i="14"/>
  <c r="T31" i="14"/>
  <c r="S31" i="14"/>
  <c r="R31" i="14"/>
  <c r="Q31" i="14"/>
  <c r="P31" i="14"/>
  <c r="O31" i="14"/>
  <c r="N31" i="14"/>
  <c r="M31" i="14"/>
  <c r="L31" i="14"/>
  <c r="K31" i="14"/>
  <c r="J31" i="14"/>
  <c r="I31" i="14"/>
  <c r="H31" i="14"/>
  <c r="G31" i="14"/>
  <c r="F31" i="14"/>
  <c r="E31" i="14"/>
  <c r="D31" i="14"/>
  <c r="C31" i="14"/>
  <c r="B31" i="14"/>
  <c r="Y29" i="14"/>
  <c r="X29" i="14"/>
  <c r="V29" i="14"/>
  <c r="U29" i="14"/>
  <c r="Q29" i="14"/>
  <c r="P29" i="14"/>
  <c r="O29" i="14"/>
  <c r="N29" i="14"/>
  <c r="M29" i="14"/>
  <c r="L29" i="14"/>
  <c r="K29" i="14"/>
  <c r="J29" i="14"/>
  <c r="I29" i="14"/>
  <c r="H29" i="14"/>
  <c r="G29" i="14"/>
  <c r="F29" i="14"/>
  <c r="E29" i="14"/>
  <c r="D29" i="14"/>
  <c r="C29" i="14"/>
  <c r="B29" i="14"/>
  <c r="Y28" i="14"/>
  <c r="AE28" i="14" s="1"/>
  <c r="X28" i="14"/>
  <c r="W28" i="14"/>
  <c r="V28" i="14"/>
  <c r="U28" i="14"/>
  <c r="T28" i="14"/>
  <c r="S28" i="14"/>
  <c r="R28" i="14"/>
  <c r="Q28" i="14"/>
  <c r="P28" i="14"/>
  <c r="O28" i="14"/>
  <c r="N28" i="14"/>
  <c r="M28" i="14"/>
  <c r="L28" i="14"/>
  <c r="K28" i="14"/>
  <c r="J28" i="14"/>
  <c r="I28" i="14"/>
  <c r="H28" i="14"/>
  <c r="G28" i="14"/>
  <c r="F28" i="14"/>
  <c r="E28" i="14"/>
  <c r="D28" i="14"/>
  <c r="C28" i="14"/>
  <c r="B28" i="14"/>
  <c r="Y27" i="14"/>
  <c r="AE27" i="14" s="1"/>
  <c r="X27" i="14"/>
  <c r="W27" i="14"/>
  <c r="V27" i="14"/>
  <c r="U27" i="14"/>
  <c r="T27" i="14"/>
  <c r="S27" i="14"/>
  <c r="R27" i="14"/>
  <c r="Q27" i="14"/>
  <c r="P27" i="14"/>
  <c r="O27" i="14"/>
  <c r="N27" i="14"/>
  <c r="M27" i="14"/>
  <c r="L27" i="14"/>
  <c r="K27" i="14"/>
  <c r="J27" i="14"/>
  <c r="I27" i="14"/>
  <c r="H27" i="14"/>
  <c r="G27" i="14"/>
  <c r="F27" i="14"/>
  <c r="E27" i="14"/>
  <c r="D27" i="14"/>
  <c r="C27" i="14"/>
  <c r="B27" i="14"/>
  <c r="C24" i="14"/>
  <c r="D24" i="14"/>
  <c r="E24" i="14"/>
  <c r="F24" i="14"/>
  <c r="G24" i="14"/>
  <c r="H24" i="14"/>
  <c r="I24" i="14"/>
  <c r="J24" i="14"/>
  <c r="K24" i="14"/>
  <c r="L24" i="14"/>
  <c r="M24" i="14"/>
  <c r="N24" i="14"/>
  <c r="O24" i="14"/>
  <c r="P24" i="14"/>
  <c r="Q24" i="14"/>
  <c r="R24" i="14"/>
  <c r="T24" i="14"/>
  <c r="U24" i="14"/>
  <c r="V24" i="14"/>
  <c r="W24" i="14"/>
  <c r="X24" i="14"/>
  <c r="Y24" i="14"/>
  <c r="AE24" i="14" s="1"/>
  <c r="B25" i="14"/>
  <c r="C25" i="14"/>
  <c r="D25" i="14"/>
  <c r="E25" i="14"/>
  <c r="F25" i="14"/>
  <c r="G25" i="14"/>
  <c r="H25" i="14"/>
  <c r="I25" i="14"/>
  <c r="J25" i="14"/>
  <c r="K25" i="14"/>
  <c r="L25" i="14"/>
  <c r="M25" i="14"/>
  <c r="N25" i="14"/>
  <c r="O25" i="14"/>
  <c r="P25" i="14"/>
  <c r="Q25" i="14"/>
  <c r="R25" i="14"/>
  <c r="S25" i="14"/>
  <c r="T25" i="14"/>
  <c r="V25" i="14"/>
  <c r="W25" i="14"/>
  <c r="X25" i="14"/>
  <c r="Y25" i="14"/>
  <c r="AE25" i="14" s="1"/>
  <c r="Y23" i="14"/>
  <c r="AE23" i="14" s="1"/>
  <c r="X23" i="14"/>
  <c r="W23" i="14"/>
  <c r="V23" i="14"/>
  <c r="U23" i="14"/>
  <c r="T23" i="14"/>
  <c r="S23" i="14"/>
  <c r="R23" i="14"/>
  <c r="Q23" i="14"/>
  <c r="P23" i="14"/>
  <c r="O23" i="14"/>
  <c r="N23" i="14"/>
  <c r="M23" i="14"/>
  <c r="L23" i="14"/>
  <c r="K23" i="14"/>
  <c r="J23" i="14"/>
  <c r="I23" i="14"/>
  <c r="H23" i="14"/>
  <c r="G23" i="14"/>
  <c r="F23" i="14"/>
  <c r="E23" i="14"/>
  <c r="D23" i="14"/>
  <c r="C23" i="14"/>
  <c r="B23" i="14"/>
  <c r="B15" i="14"/>
  <c r="C15" i="14"/>
  <c r="D15" i="14"/>
  <c r="E15" i="14"/>
  <c r="F15" i="14"/>
  <c r="G15" i="14"/>
  <c r="H15" i="14"/>
  <c r="I15" i="14"/>
  <c r="J15" i="14"/>
  <c r="K15" i="14"/>
  <c r="L15" i="14"/>
  <c r="M15" i="14"/>
  <c r="N15" i="14"/>
  <c r="O15" i="14"/>
  <c r="P15" i="14"/>
  <c r="Q15" i="14"/>
  <c r="R15" i="14"/>
  <c r="S15" i="14"/>
  <c r="T15" i="14"/>
  <c r="U15" i="14"/>
  <c r="V15" i="14"/>
  <c r="W15" i="14"/>
  <c r="X15" i="14"/>
  <c r="Y15" i="14"/>
  <c r="AE15" i="14" s="1"/>
  <c r="B16" i="14"/>
  <c r="C16" i="14"/>
  <c r="D16" i="14"/>
  <c r="E16" i="14"/>
  <c r="F16" i="14"/>
  <c r="G16" i="14"/>
  <c r="H16" i="14"/>
  <c r="I16" i="14"/>
  <c r="J16" i="14"/>
  <c r="K16" i="14"/>
  <c r="L16" i="14"/>
  <c r="M16" i="14"/>
  <c r="N16" i="14"/>
  <c r="O16" i="14"/>
  <c r="P16" i="14"/>
  <c r="Q16" i="14"/>
  <c r="R16" i="14"/>
  <c r="S16" i="14"/>
  <c r="T16" i="14"/>
  <c r="U16" i="14"/>
  <c r="V16" i="14"/>
  <c r="W16" i="14"/>
  <c r="X16" i="14"/>
  <c r="Y16" i="14"/>
  <c r="AE16" i="14" s="1"/>
  <c r="B17" i="14"/>
  <c r="C17" i="14"/>
  <c r="D17" i="14"/>
  <c r="E17" i="14"/>
  <c r="F17" i="14"/>
  <c r="G17" i="14"/>
  <c r="H17" i="14"/>
  <c r="I17" i="14"/>
  <c r="J17" i="14"/>
  <c r="K17" i="14"/>
  <c r="L17" i="14"/>
  <c r="M17" i="14"/>
  <c r="N17" i="14"/>
  <c r="O17" i="14"/>
  <c r="P17" i="14"/>
  <c r="Q17" i="14"/>
  <c r="R17" i="14"/>
  <c r="S17" i="14"/>
  <c r="T17" i="14"/>
  <c r="U17" i="14"/>
  <c r="V17" i="14"/>
  <c r="W17" i="14"/>
  <c r="X17" i="14"/>
  <c r="Y17" i="14"/>
  <c r="AE17" i="14" s="1"/>
  <c r="B18" i="14"/>
  <c r="C18" i="14"/>
  <c r="D18" i="14"/>
  <c r="E18" i="14"/>
  <c r="F18" i="14"/>
  <c r="G18" i="14"/>
  <c r="H18" i="14"/>
  <c r="I18" i="14"/>
  <c r="J18" i="14"/>
  <c r="K18" i="14"/>
  <c r="L18" i="14"/>
  <c r="M18" i="14"/>
  <c r="N18" i="14"/>
  <c r="O18" i="14"/>
  <c r="P18" i="14"/>
  <c r="Q18" i="14"/>
  <c r="R18" i="14"/>
  <c r="S18" i="14"/>
  <c r="T18" i="14"/>
  <c r="U18" i="14"/>
  <c r="V18" i="14"/>
  <c r="W18" i="14"/>
  <c r="X18" i="14"/>
  <c r="Y18" i="14"/>
  <c r="B19" i="14"/>
  <c r="C19" i="14"/>
  <c r="D19" i="14"/>
  <c r="E19" i="14"/>
  <c r="F19" i="14"/>
  <c r="G19" i="14"/>
  <c r="H19" i="14"/>
  <c r="I19" i="14"/>
  <c r="J19" i="14"/>
  <c r="K19" i="14"/>
  <c r="L19" i="14"/>
  <c r="M19" i="14"/>
  <c r="N19" i="14"/>
  <c r="O19" i="14"/>
  <c r="P19" i="14"/>
  <c r="Q19" i="14"/>
  <c r="R19" i="14"/>
  <c r="S19" i="14"/>
  <c r="T19" i="14"/>
  <c r="U19" i="14"/>
  <c r="V19" i="14"/>
  <c r="W19" i="14"/>
  <c r="X19" i="14"/>
  <c r="Y19" i="14"/>
  <c r="AE19" i="14" s="1"/>
  <c r="B20" i="14"/>
  <c r="C20" i="14"/>
  <c r="D20" i="14"/>
  <c r="E20" i="14"/>
  <c r="F20" i="14"/>
  <c r="G20" i="14"/>
  <c r="H20" i="14"/>
  <c r="I20" i="14"/>
  <c r="J20" i="14"/>
  <c r="K20" i="14"/>
  <c r="L20" i="14"/>
  <c r="M20" i="14"/>
  <c r="N20" i="14"/>
  <c r="O20" i="14"/>
  <c r="P20" i="14"/>
  <c r="Q20" i="14"/>
  <c r="R20" i="14"/>
  <c r="S20" i="14"/>
  <c r="T20" i="14"/>
  <c r="U20" i="14"/>
  <c r="V20" i="14"/>
  <c r="W20" i="14"/>
  <c r="X20" i="14"/>
  <c r="Y20" i="14"/>
  <c r="AE20" i="14" s="1"/>
  <c r="B21" i="14"/>
  <c r="C21" i="14"/>
  <c r="D21" i="14"/>
  <c r="E21" i="14"/>
  <c r="F21" i="14"/>
  <c r="G21" i="14"/>
  <c r="H21" i="14"/>
  <c r="I21" i="14"/>
  <c r="J21" i="14"/>
  <c r="K21" i="14"/>
  <c r="L21" i="14"/>
  <c r="M21" i="14"/>
  <c r="N21" i="14"/>
  <c r="O21" i="14"/>
  <c r="P21" i="14"/>
  <c r="Q21" i="14"/>
  <c r="R21" i="14"/>
  <c r="S21" i="14"/>
  <c r="T21" i="14"/>
  <c r="U21" i="14"/>
  <c r="V21" i="14"/>
  <c r="W21" i="14"/>
  <c r="X21" i="14"/>
  <c r="Y21" i="14"/>
  <c r="AE21" i="14" s="1"/>
  <c r="Y14" i="14"/>
  <c r="AE14" i="14" s="1"/>
  <c r="X14" i="14"/>
  <c r="W14" i="14"/>
  <c r="V14" i="14"/>
  <c r="U14" i="14"/>
  <c r="T14" i="14"/>
  <c r="S14" i="14"/>
  <c r="R14" i="14"/>
  <c r="Q14" i="14"/>
  <c r="P14" i="14"/>
  <c r="O14" i="14"/>
  <c r="N14" i="14"/>
  <c r="M14" i="14"/>
  <c r="L14" i="14"/>
  <c r="K14" i="14"/>
  <c r="J14" i="14"/>
  <c r="I14" i="14"/>
  <c r="H14" i="14"/>
  <c r="G14" i="14"/>
  <c r="F14" i="14"/>
  <c r="E14" i="14"/>
  <c r="D14" i="14"/>
  <c r="C14" i="14"/>
  <c r="B14" i="14"/>
  <c r="Y65" i="14"/>
  <c r="W65" i="14"/>
  <c r="V65" i="14"/>
  <c r="U65" i="14"/>
  <c r="T65" i="14"/>
  <c r="S65" i="14"/>
  <c r="R65" i="14"/>
  <c r="Q65" i="14"/>
  <c r="P65" i="14"/>
  <c r="O65" i="14"/>
  <c r="N65" i="14"/>
  <c r="M65" i="14"/>
  <c r="L65" i="14"/>
  <c r="K65" i="14"/>
  <c r="J65" i="14"/>
  <c r="I65" i="14"/>
  <c r="H65" i="14"/>
  <c r="G65" i="14"/>
  <c r="F65" i="14"/>
  <c r="E65" i="14"/>
  <c r="D65" i="14"/>
  <c r="C65" i="14"/>
  <c r="B65" i="14"/>
  <c r="O63" i="14"/>
  <c r="N63" i="14"/>
  <c r="L63" i="14"/>
  <c r="K63" i="14"/>
  <c r="J63" i="14"/>
  <c r="I63" i="14"/>
  <c r="H63" i="14"/>
  <c r="G63" i="14"/>
  <c r="F63" i="14"/>
  <c r="E63" i="14"/>
  <c r="D63" i="14"/>
  <c r="C63" i="14"/>
  <c r="B63" i="14"/>
  <c r="X61" i="14"/>
  <c r="V61" i="14"/>
  <c r="S61" i="14"/>
  <c r="O61" i="14"/>
  <c r="N61" i="14"/>
  <c r="M61" i="14"/>
  <c r="L61" i="14"/>
  <c r="K61" i="14"/>
  <c r="J61" i="14"/>
  <c r="I61" i="14"/>
  <c r="H61" i="14"/>
  <c r="G61" i="14"/>
  <c r="F61" i="14"/>
  <c r="E61" i="14"/>
  <c r="D61" i="14"/>
  <c r="C61" i="14"/>
  <c r="B61" i="14"/>
  <c r="Y59" i="14"/>
  <c r="X59" i="14"/>
  <c r="W59" i="14"/>
  <c r="V59" i="14"/>
  <c r="U59" i="14"/>
  <c r="R59" i="14"/>
  <c r="Q59" i="14"/>
  <c r="P59" i="14"/>
  <c r="O59" i="14"/>
  <c r="N59" i="14"/>
  <c r="M59" i="14"/>
  <c r="L59" i="14"/>
  <c r="K59" i="14"/>
  <c r="J59" i="14"/>
  <c r="I59" i="14"/>
  <c r="H59" i="14"/>
  <c r="G59" i="14"/>
  <c r="F59" i="14"/>
  <c r="E59" i="14"/>
  <c r="D59" i="14"/>
  <c r="C59" i="14"/>
  <c r="B59" i="14"/>
  <c r="AE66" i="14"/>
  <c r="AE48" i="14"/>
  <c r="AE29" i="14"/>
  <c r="AE18" i="14"/>
  <c r="Y140" i="13"/>
  <c r="AE140" i="13" s="1"/>
  <c r="X140" i="13"/>
  <c r="W140" i="13"/>
  <c r="V140" i="13"/>
  <c r="U140" i="13"/>
  <c r="T140" i="13"/>
  <c r="S140" i="13"/>
  <c r="R140" i="13"/>
  <c r="Q140" i="13"/>
  <c r="P140" i="13"/>
  <c r="O140" i="13"/>
  <c r="N140" i="13"/>
  <c r="M140" i="13"/>
  <c r="L140" i="13"/>
  <c r="K140" i="13"/>
  <c r="J140" i="13"/>
  <c r="I140" i="13"/>
  <c r="H140" i="13"/>
  <c r="G140" i="13"/>
  <c r="F140" i="13"/>
  <c r="E140" i="13"/>
  <c r="D140" i="13"/>
  <c r="C140" i="13"/>
  <c r="B140" i="13"/>
  <c r="Y138" i="13"/>
  <c r="AE138" i="13" s="1"/>
  <c r="X138" i="13"/>
  <c r="W138" i="13"/>
  <c r="V138" i="13"/>
  <c r="U138" i="13"/>
  <c r="T138" i="13"/>
  <c r="S138" i="13"/>
  <c r="R138" i="13"/>
  <c r="Q138" i="13"/>
  <c r="P138" i="13"/>
  <c r="O138" i="13"/>
  <c r="N138" i="13"/>
  <c r="M138" i="13"/>
  <c r="L138" i="13"/>
  <c r="K138" i="13"/>
  <c r="J138" i="13"/>
  <c r="I138" i="13"/>
  <c r="H138" i="13"/>
  <c r="G138" i="13"/>
  <c r="F138" i="13"/>
  <c r="E138" i="13"/>
  <c r="D138" i="13"/>
  <c r="C138" i="13"/>
  <c r="B138" i="13"/>
  <c r="Y136" i="13"/>
  <c r="AE136" i="13" s="1"/>
  <c r="X136" i="13"/>
  <c r="W136" i="13"/>
  <c r="V136" i="13"/>
  <c r="U136" i="13"/>
  <c r="T136" i="13"/>
  <c r="S136" i="13"/>
  <c r="R136" i="13"/>
  <c r="Q136" i="13"/>
  <c r="P136" i="13"/>
  <c r="O136" i="13"/>
  <c r="N136" i="13"/>
  <c r="M136" i="13"/>
  <c r="L136" i="13"/>
  <c r="K136" i="13"/>
  <c r="J136" i="13"/>
  <c r="I136" i="13"/>
  <c r="H136" i="13"/>
  <c r="G136" i="13"/>
  <c r="F136" i="13"/>
  <c r="E136" i="13"/>
  <c r="D136" i="13"/>
  <c r="C136" i="13"/>
  <c r="B136" i="13"/>
  <c r="Y134" i="13"/>
  <c r="AE134" i="13" s="1"/>
  <c r="X134" i="13"/>
  <c r="W134" i="13"/>
  <c r="V134" i="13"/>
  <c r="U134" i="13"/>
  <c r="T134" i="13"/>
  <c r="S134" i="13"/>
  <c r="R134" i="13"/>
  <c r="Q134" i="13"/>
  <c r="P134" i="13"/>
  <c r="O134" i="13"/>
  <c r="N134" i="13"/>
  <c r="M134" i="13"/>
  <c r="L134" i="13"/>
  <c r="K134" i="13"/>
  <c r="J134" i="13"/>
  <c r="I134" i="13"/>
  <c r="H134" i="13"/>
  <c r="G134" i="13"/>
  <c r="F134" i="13"/>
  <c r="E134" i="13"/>
  <c r="D134" i="13"/>
  <c r="C134" i="13"/>
  <c r="B134" i="13"/>
  <c r="Y129" i="13"/>
  <c r="AE129" i="13" s="1"/>
  <c r="X129" i="13"/>
  <c r="W129" i="13"/>
  <c r="V129" i="13"/>
  <c r="U129" i="13"/>
  <c r="T129" i="13"/>
  <c r="S129" i="13"/>
  <c r="R129" i="13"/>
  <c r="Q129" i="13"/>
  <c r="P129" i="13"/>
  <c r="O129" i="13"/>
  <c r="N129" i="13"/>
  <c r="M129" i="13"/>
  <c r="L129" i="13"/>
  <c r="K129" i="13"/>
  <c r="J129" i="13"/>
  <c r="I129" i="13"/>
  <c r="H129" i="13"/>
  <c r="G129" i="13"/>
  <c r="F129" i="13"/>
  <c r="E129" i="13"/>
  <c r="D129" i="13"/>
  <c r="C129" i="13"/>
  <c r="B129" i="13"/>
  <c r="Y132" i="13"/>
  <c r="AE132" i="13" s="1"/>
  <c r="X132" i="13"/>
  <c r="W132" i="13"/>
  <c r="V132" i="13"/>
  <c r="U132" i="13"/>
  <c r="T132" i="13"/>
  <c r="S132" i="13"/>
  <c r="R132" i="13"/>
  <c r="Q132" i="13"/>
  <c r="P132" i="13"/>
  <c r="O132" i="13"/>
  <c r="N132" i="13"/>
  <c r="M132" i="13"/>
  <c r="L132" i="13"/>
  <c r="K132" i="13"/>
  <c r="J132" i="13"/>
  <c r="I132" i="13"/>
  <c r="H132" i="13"/>
  <c r="G132" i="13"/>
  <c r="F132" i="13"/>
  <c r="E132" i="13"/>
  <c r="D132" i="13"/>
  <c r="C132" i="13"/>
  <c r="B132" i="13"/>
  <c r="Y131" i="13"/>
  <c r="AE131" i="13" s="1"/>
  <c r="X131" i="13"/>
  <c r="W131" i="13"/>
  <c r="V131" i="13"/>
  <c r="U131" i="13"/>
  <c r="T131" i="13"/>
  <c r="S131" i="13"/>
  <c r="R131" i="13"/>
  <c r="Q131" i="13"/>
  <c r="P131" i="13"/>
  <c r="O131" i="13"/>
  <c r="N131" i="13"/>
  <c r="M131" i="13"/>
  <c r="L131" i="13"/>
  <c r="K131" i="13"/>
  <c r="J131" i="13"/>
  <c r="I131" i="13"/>
  <c r="H131" i="13"/>
  <c r="G131" i="13"/>
  <c r="F131" i="13"/>
  <c r="E131" i="13"/>
  <c r="D131" i="13"/>
  <c r="C131" i="13"/>
  <c r="B131" i="13"/>
  <c r="B118" i="13"/>
  <c r="C118" i="13"/>
  <c r="D118" i="13"/>
  <c r="E118" i="13"/>
  <c r="F118" i="13"/>
  <c r="G118" i="13"/>
  <c r="H118" i="13"/>
  <c r="I118" i="13"/>
  <c r="J118" i="13"/>
  <c r="K118" i="13"/>
  <c r="L118" i="13"/>
  <c r="M118" i="13"/>
  <c r="N118" i="13"/>
  <c r="O118" i="13"/>
  <c r="P118" i="13"/>
  <c r="Q118" i="13"/>
  <c r="R118" i="13"/>
  <c r="S118" i="13"/>
  <c r="T118" i="13"/>
  <c r="U118" i="13"/>
  <c r="V118" i="13"/>
  <c r="W118" i="13"/>
  <c r="X118" i="13"/>
  <c r="Y118" i="13"/>
  <c r="AE118" i="13" s="1"/>
  <c r="B112" i="13"/>
  <c r="C112" i="13"/>
  <c r="D112" i="13"/>
  <c r="E112" i="13"/>
  <c r="F112" i="13"/>
  <c r="G112" i="13"/>
  <c r="H112" i="13"/>
  <c r="I112" i="13"/>
  <c r="J112" i="13"/>
  <c r="K112" i="13"/>
  <c r="L112" i="13"/>
  <c r="M112" i="13"/>
  <c r="N112" i="13"/>
  <c r="O112" i="13"/>
  <c r="P112" i="13"/>
  <c r="Q112" i="13"/>
  <c r="R112" i="13"/>
  <c r="S112" i="13"/>
  <c r="T112" i="13"/>
  <c r="U112" i="13"/>
  <c r="V112" i="13"/>
  <c r="W112" i="13"/>
  <c r="X112" i="13"/>
  <c r="Y112" i="13"/>
  <c r="AE112" i="13" s="1"/>
  <c r="Y111" i="13"/>
  <c r="AE111" i="13" s="1"/>
  <c r="X111" i="13"/>
  <c r="W111" i="13"/>
  <c r="V111" i="13"/>
  <c r="U111" i="13"/>
  <c r="T111" i="13"/>
  <c r="S111" i="13"/>
  <c r="R111" i="13"/>
  <c r="Q111" i="13"/>
  <c r="P111" i="13"/>
  <c r="O111" i="13"/>
  <c r="N111" i="13"/>
  <c r="M111" i="13"/>
  <c r="L111" i="13"/>
  <c r="K111" i="13"/>
  <c r="J111" i="13"/>
  <c r="I111" i="13"/>
  <c r="H111" i="13"/>
  <c r="G111" i="13"/>
  <c r="F111" i="13"/>
  <c r="E111" i="13"/>
  <c r="D111" i="13"/>
  <c r="C111" i="13"/>
  <c r="B111" i="13"/>
  <c r="Y110" i="13"/>
  <c r="AE110" i="13" s="1"/>
  <c r="X110" i="13"/>
  <c r="W110" i="13"/>
  <c r="V110" i="13"/>
  <c r="U110" i="13"/>
  <c r="T110" i="13"/>
  <c r="S110" i="13"/>
  <c r="R110" i="13"/>
  <c r="Q110" i="13"/>
  <c r="P110" i="13"/>
  <c r="O110" i="13"/>
  <c r="N110" i="13"/>
  <c r="M110" i="13"/>
  <c r="L110" i="13"/>
  <c r="K110" i="13"/>
  <c r="J110" i="13"/>
  <c r="I110" i="13"/>
  <c r="H110" i="13"/>
  <c r="G110" i="13"/>
  <c r="F110" i="13"/>
  <c r="E110" i="13"/>
  <c r="D110" i="13"/>
  <c r="C110" i="13"/>
  <c r="B110" i="13"/>
  <c r="Y109" i="13"/>
  <c r="AE109" i="13" s="1"/>
  <c r="X109" i="13"/>
  <c r="W109" i="13"/>
  <c r="V109" i="13"/>
  <c r="U109" i="13"/>
  <c r="T109" i="13"/>
  <c r="S109" i="13"/>
  <c r="R109" i="13"/>
  <c r="Q109" i="13"/>
  <c r="P109" i="13"/>
  <c r="O109" i="13"/>
  <c r="N109" i="13"/>
  <c r="M109" i="13"/>
  <c r="L109" i="13"/>
  <c r="K109" i="13"/>
  <c r="J109" i="13"/>
  <c r="I109" i="13"/>
  <c r="H109" i="13"/>
  <c r="G109" i="13"/>
  <c r="F109" i="13"/>
  <c r="E109" i="13"/>
  <c r="D109" i="13"/>
  <c r="C109" i="13"/>
  <c r="B109" i="13"/>
  <c r="Y107" i="13"/>
  <c r="AE107" i="13" s="1"/>
  <c r="X107" i="13"/>
  <c r="W107" i="13"/>
  <c r="V107" i="13"/>
  <c r="U107" i="13"/>
  <c r="T107" i="13"/>
  <c r="S107" i="13"/>
  <c r="R107" i="13"/>
  <c r="Q107" i="13"/>
  <c r="P107" i="13"/>
  <c r="O107" i="13"/>
  <c r="N107" i="13"/>
  <c r="M107" i="13"/>
  <c r="L107" i="13"/>
  <c r="K107" i="13"/>
  <c r="J107" i="13"/>
  <c r="I107" i="13"/>
  <c r="H107" i="13"/>
  <c r="G107" i="13"/>
  <c r="F107" i="13"/>
  <c r="E107" i="13"/>
  <c r="D107" i="13"/>
  <c r="C107" i="13"/>
  <c r="B107" i="13"/>
  <c r="Y106" i="13"/>
  <c r="AE106" i="13" s="1"/>
  <c r="X106" i="13"/>
  <c r="W106" i="13"/>
  <c r="V106" i="13"/>
  <c r="U106" i="13"/>
  <c r="T106" i="13"/>
  <c r="S106" i="13"/>
  <c r="R106" i="13"/>
  <c r="Q106" i="13"/>
  <c r="P106" i="13"/>
  <c r="O106" i="13"/>
  <c r="N106" i="13"/>
  <c r="M106" i="13"/>
  <c r="L106" i="13"/>
  <c r="K106" i="13"/>
  <c r="J106" i="13"/>
  <c r="I106" i="13"/>
  <c r="H106" i="13"/>
  <c r="G106" i="13"/>
  <c r="F106" i="13"/>
  <c r="E106" i="13"/>
  <c r="D106" i="13"/>
  <c r="C106" i="13"/>
  <c r="B106" i="13"/>
  <c r="Y105" i="13"/>
  <c r="AE105" i="13" s="1"/>
  <c r="X105" i="13"/>
  <c r="W105" i="13"/>
  <c r="V105" i="13"/>
  <c r="U105" i="13"/>
  <c r="T105" i="13"/>
  <c r="S105" i="13"/>
  <c r="R105" i="13"/>
  <c r="Q105" i="13"/>
  <c r="P105" i="13"/>
  <c r="O105" i="13"/>
  <c r="N105" i="13"/>
  <c r="M105" i="13"/>
  <c r="L105" i="13"/>
  <c r="K105" i="13"/>
  <c r="J105" i="13"/>
  <c r="I105" i="13"/>
  <c r="H105" i="13"/>
  <c r="G105" i="13"/>
  <c r="F105" i="13"/>
  <c r="E105" i="13"/>
  <c r="D105" i="13"/>
  <c r="C105" i="13"/>
  <c r="B105" i="13"/>
  <c r="B103" i="13"/>
  <c r="C103" i="13"/>
  <c r="D103" i="13"/>
  <c r="E103" i="13"/>
  <c r="F103" i="13"/>
  <c r="G103" i="13"/>
  <c r="H103" i="13"/>
  <c r="I103" i="13"/>
  <c r="J103" i="13"/>
  <c r="K103" i="13"/>
  <c r="L103" i="13"/>
  <c r="M103" i="13"/>
  <c r="N103" i="13"/>
  <c r="O103" i="13"/>
  <c r="P103" i="13"/>
  <c r="Q103" i="13"/>
  <c r="R103" i="13"/>
  <c r="S103" i="13"/>
  <c r="T103" i="13"/>
  <c r="U103" i="13"/>
  <c r="V103" i="13"/>
  <c r="W103" i="13"/>
  <c r="X103" i="13"/>
  <c r="Y103" i="13"/>
  <c r="AE103" i="13" s="1"/>
  <c r="Y102" i="13"/>
  <c r="AE102" i="13" s="1"/>
  <c r="X102" i="13"/>
  <c r="W102" i="13"/>
  <c r="V102" i="13"/>
  <c r="U102" i="13"/>
  <c r="T102" i="13"/>
  <c r="S102" i="13"/>
  <c r="R102" i="13"/>
  <c r="Q102" i="13"/>
  <c r="P102" i="13"/>
  <c r="O102" i="13"/>
  <c r="N102" i="13"/>
  <c r="M102" i="13"/>
  <c r="L102" i="13"/>
  <c r="K102" i="13"/>
  <c r="J102" i="13"/>
  <c r="I102" i="13"/>
  <c r="H102" i="13"/>
  <c r="G102" i="13"/>
  <c r="F102" i="13"/>
  <c r="E102" i="13"/>
  <c r="D102" i="13"/>
  <c r="C102" i="13"/>
  <c r="B102" i="13"/>
  <c r="Y101" i="13"/>
  <c r="AE101" i="13" s="1"/>
  <c r="X101" i="13"/>
  <c r="W101" i="13"/>
  <c r="V101" i="13"/>
  <c r="U101" i="13"/>
  <c r="T101" i="13"/>
  <c r="S101" i="13"/>
  <c r="R101" i="13"/>
  <c r="Q101" i="13"/>
  <c r="P101" i="13"/>
  <c r="O101" i="13"/>
  <c r="N101" i="13"/>
  <c r="M101" i="13"/>
  <c r="L101" i="13"/>
  <c r="K101" i="13"/>
  <c r="J101" i="13"/>
  <c r="I101" i="13"/>
  <c r="H101" i="13"/>
  <c r="G101" i="13"/>
  <c r="F101" i="13"/>
  <c r="E101" i="13"/>
  <c r="D101" i="13"/>
  <c r="C101" i="13"/>
  <c r="B101" i="13"/>
  <c r="B122" i="13"/>
  <c r="C122" i="13"/>
  <c r="D122" i="13"/>
  <c r="E122" i="13"/>
  <c r="F122" i="13"/>
  <c r="G122" i="13"/>
  <c r="H122" i="13"/>
  <c r="I122" i="13"/>
  <c r="J122" i="13"/>
  <c r="K122" i="13"/>
  <c r="L122" i="13"/>
  <c r="M122" i="13"/>
  <c r="N122" i="13"/>
  <c r="O122" i="13"/>
  <c r="P122" i="13"/>
  <c r="Q122" i="13"/>
  <c r="R122" i="13"/>
  <c r="S122" i="13"/>
  <c r="T122" i="13"/>
  <c r="U122" i="13"/>
  <c r="V122" i="13"/>
  <c r="W122" i="13"/>
  <c r="X122" i="13"/>
  <c r="Y122" i="13"/>
  <c r="AE122" i="13" s="1"/>
  <c r="B123" i="13"/>
  <c r="C123" i="13"/>
  <c r="D123" i="13"/>
  <c r="E123" i="13"/>
  <c r="F123" i="13"/>
  <c r="G123" i="13"/>
  <c r="H123" i="13"/>
  <c r="I123" i="13"/>
  <c r="J123" i="13"/>
  <c r="K123" i="13"/>
  <c r="L123" i="13"/>
  <c r="M123" i="13"/>
  <c r="N123" i="13"/>
  <c r="O123" i="13"/>
  <c r="P123" i="13"/>
  <c r="Q123" i="13"/>
  <c r="R123" i="13"/>
  <c r="S123" i="13"/>
  <c r="T123" i="13"/>
  <c r="U123" i="13"/>
  <c r="V123" i="13"/>
  <c r="W123" i="13"/>
  <c r="X123" i="13"/>
  <c r="Y123" i="13"/>
  <c r="AE123" i="13" s="1"/>
  <c r="B124" i="13"/>
  <c r="C124" i="13"/>
  <c r="D124" i="13"/>
  <c r="E124" i="13"/>
  <c r="F124" i="13"/>
  <c r="G124" i="13"/>
  <c r="H124" i="13"/>
  <c r="I124" i="13"/>
  <c r="J124" i="13"/>
  <c r="K124" i="13"/>
  <c r="L124" i="13"/>
  <c r="M124" i="13"/>
  <c r="N124" i="13"/>
  <c r="O124" i="13"/>
  <c r="P124" i="13"/>
  <c r="Q124" i="13"/>
  <c r="R124" i="13"/>
  <c r="S124" i="13"/>
  <c r="T124" i="13"/>
  <c r="U124" i="13"/>
  <c r="V124" i="13"/>
  <c r="W124" i="13"/>
  <c r="X124" i="13"/>
  <c r="Y124" i="13"/>
  <c r="AE124" i="13" s="1"/>
  <c r="B125" i="13"/>
  <c r="C125" i="13"/>
  <c r="D125" i="13"/>
  <c r="E125" i="13"/>
  <c r="F125" i="13"/>
  <c r="G125" i="13"/>
  <c r="H125" i="13"/>
  <c r="I125" i="13"/>
  <c r="J125" i="13"/>
  <c r="K125" i="13"/>
  <c r="L125" i="13"/>
  <c r="M125" i="13"/>
  <c r="N125" i="13"/>
  <c r="O125" i="13"/>
  <c r="P125" i="13"/>
  <c r="Q125" i="13"/>
  <c r="R125" i="13"/>
  <c r="S125" i="13"/>
  <c r="T125" i="13"/>
  <c r="U125" i="13"/>
  <c r="V125" i="13"/>
  <c r="W125" i="13"/>
  <c r="X125" i="13"/>
  <c r="Y125" i="13"/>
  <c r="AE125" i="13" s="1"/>
  <c r="B126" i="13"/>
  <c r="C126" i="13"/>
  <c r="D126" i="13"/>
  <c r="E126" i="13"/>
  <c r="F126" i="13"/>
  <c r="G126" i="13"/>
  <c r="H126" i="13"/>
  <c r="I126" i="13"/>
  <c r="J126" i="13"/>
  <c r="K126" i="13"/>
  <c r="L126" i="13"/>
  <c r="M126" i="13"/>
  <c r="N126" i="13"/>
  <c r="O126" i="13"/>
  <c r="P126" i="13"/>
  <c r="Q126" i="13"/>
  <c r="R126" i="13"/>
  <c r="S126" i="13"/>
  <c r="T126" i="13"/>
  <c r="U126" i="13"/>
  <c r="V126" i="13"/>
  <c r="W126" i="13"/>
  <c r="X126" i="13"/>
  <c r="Y126" i="13"/>
  <c r="AE126" i="13" s="1"/>
  <c r="B127" i="13"/>
  <c r="C127" i="13"/>
  <c r="D127" i="13"/>
  <c r="E127" i="13"/>
  <c r="F127" i="13"/>
  <c r="G127" i="13"/>
  <c r="H127" i="13"/>
  <c r="I127" i="13"/>
  <c r="J127" i="13"/>
  <c r="K127" i="13"/>
  <c r="L127" i="13"/>
  <c r="M127" i="13"/>
  <c r="N127" i="13"/>
  <c r="O127" i="13"/>
  <c r="P127" i="13"/>
  <c r="Q127" i="13"/>
  <c r="R127" i="13"/>
  <c r="S127" i="13"/>
  <c r="T127" i="13"/>
  <c r="U127" i="13"/>
  <c r="V127" i="13"/>
  <c r="W127" i="13"/>
  <c r="X127" i="13"/>
  <c r="Y127" i="13"/>
  <c r="AE127" i="13" s="1"/>
  <c r="Y121" i="13"/>
  <c r="AE121" i="13" s="1"/>
  <c r="X121" i="13"/>
  <c r="W121" i="13"/>
  <c r="V121" i="13"/>
  <c r="U121" i="13"/>
  <c r="T121" i="13"/>
  <c r="S121" i="13"/>
  <c r="R121" i="13"/>
  <c r="Q121" i="13"/>
  <c r="P121" i="13"/>
  <c r="O121" i="13"/>
  <c r="N121" i="13"/>
  <c r="M121" i="13"/>
  <c r="L121" i="13"/>
  <c r="K121" i="13"/>
  <c r="J121" i="13"/>
  <c r="I121" i="13"/>
  <c r="H121" i="13"/>
  <c r="G121" i="13"/>
  <c r="F121" i="13"/>
  <c r="E121" i="13"/>
  <c r="D121" i="13"/>
  <c r="C121" i="13"/>
  <c r="B121" i="13"/>
  <c r="Y120" i="13"/>
  <c r="AE120" i="13" s="1"/>
  <c r="X120" i="13"/>
  <c r="W120" i="13"/>
  <c r="V120" i="13"/>
  <c r="U120" i="13"/>
  <c r="T120" i="13"/>
  <c r="S120" i="13"/>
  <c r="R120" i="13"/>
  <c r="Q120" i="13"/>
  <c r="P120" i="13"/>
  <c r="O120" i="13"/>
  <c r="N120" i="13"/>
  <c r="M120" i="13"/>
  <c r="L120" i="13"/>
  <c r="K120" i="13"/>
  <c r="J120" i="13"/>
  <c r="I120" i="13"/>
  <c r="H120" i="13"/>
  <c r="G120" i="13"/>
  <c r="F120" i="13"/>
  <c r="E120" i="13"/>
  <c r="D120" i="13"/>
  <c r="C120" i="13"/>
  <c r="B120" i="13"/>
  <c r="Y117" i="13"/>
  <c r="AE117" i="13" s="1"/>
  <c r="X117" i="13"/>
  <c r="W117" i="13"/>
  <c r="V117" i="13"/>
  <c r="U117" i="13"/>
  <c r="T117" i="13"/>
  <c r="S117" i="13"/>
  <c r="R117" i="13"/>
  <c r="Q117" i="13"/>
  <c r="P117" i="13"/>
  <c r="O117" i="13"/>
  <c r="N117" i="13"/>
  <c r="M117" i="13"/>
  <c r="L117" i="13"/>
  <c r="K117" i="13"/>
  <c r="J117" i="13"/>
  <c r="I117" i="13"/>
  <c r="H117" i="13"/>
  <c r="G117" i="13"/>
  <c r="F117" i="13"/>
  <c r="E117" i="13"/>
  <c r="D117" i="13"/>
  <c r="C117" i="13"/>
  <c r="B117" i="13"/>
  <c r="Y116" i="13"/>
  <c r="AE116" i="13" s="1"/>
  <c r="X116" i="13"/>
  <c r="W116" i="13"/>
  <c r="V116" i="13"/>
  <c r="U116" i="13"/>
  <c r="T116" i="13"/>
  <c r="S116" i="13"/>
  <c r="R116" i="13"/>
  <c r="Q116" i="13"/>
  <c r="P116" i="13"/>
  <c r="O116" i="13"/>
  <c r="N116" i="13"/>
  <c r="M116" i="13"/>
  <c r="L116" i="13"/>
  <c r="K116" i="13"/>
  <c r="J116" i="13"/>
  <c r="I116" i="13"/>
  <c r="H116" i="13"/>
  <c r="G116" i="13"/>
  <c r="F116" i="13"/>
  <c r="E116" i="13"/>
  <c r="D116" i="13"/>
  <c r="C116" i="13"/>
  <c r="B116" i="13"/>
  <c r="Y115" i="13"/>
  <c r="AE115" i="13" s="1"/>
  <c r="X115" i="13"/>
  <c r="W115" i="13"/>
  <c r="V115" i="13"/>
  <c r="U115" i="13"/>
  <c r="T115" i="13"/>
  <c r="S115" i="13"/>
  <c r="R115" i="13"/>
  <c r="Q115" i="13"/>
  <c r="P115" i="13"/>
  <c r="O115" i="13"/>
  <c r="N115" i="13"/>
  <c r="M115" i="13"/>
  <c r="L115" i="13"/>
  <c r="K115" i="13"/>
  <c r="J115" i="13"/>
  <c r="I115" i="13"/>
  <c r="H115" i="13"/>
  <c r="G115" i="13"/>
  <c r="F115" i="13"/>
  <c r="E115" i="13"/>
  <c r="D115" i="13"/>
  <c r="C115" i="13"/>
  <c r="B115" i="13"/>
  <c r="Y114" i="13"/>
  <c r="AE114" i="13" s="1"/>
  <c r="X114" i="13"/>
  <c r="W114" i="13"/>
  <c r="V114" i="13"/>
  <c r="U114" i="13"/>
  <c r="T114" i="13"/>
  <c r="S114" i="13"/>
  <c r="R114" i="13"/>
  <c r="Q114" i="13"/>
  <c r="P114" i="13"/>
  <c r="O114" i="13"/>
  <c r="N114" i="13"/>
  <c r="M114" i="13"/>
  <c r="L114" i="13"/>
  <c r="K114" i="13"/>
  <c r="J114" i="13"/>
  <c r="I114" i="13"/>
  <c r="H114" i="13"/>
  <c r="G114" i="13"/>
  <c r="F114" i="13"/>
  <c r="E114" i="13"/>
  <c r="D114" i="13"/>
  <c r="C114" i="13"/>
  <c r="B114" i="13"/>
  <c r="B93" i="13"/>
  <c r="C93" i="13"/>
  <c r="D93" i="13"/>
  <c r="E93" i="13"/>
  <c r="F93" i="13"/>
  <c r="G93" i="13"/>
  <c r="H93" i="13"/>
  <c r="I93" i="13"/>
  <c r="J93" i="13"/>
  <c r="K93" i="13"/>
  <c r="L93" i="13"/>
  <c r="M93" i="13"/>
  <c r="N93" i="13"/>
  <c r="O93" i="13"/>
  <c r="P93" i="13"/>
  <c r="Q93" i="13"/>
  <c r="R93" i="13"/>
  <c r="S93" i="13"/>
  <c r="T93" i="13"/>
  <c r="U93" i="13"/>
  <c r="V93" i="13"/>
  <c r="W93" i="13"/>
  <c r="X93" i="13"/>
  <c r="Y93" i="13"/>
  <c r="AE93" i="13" s="1"/>
  <c r="B94" i="13"/>
  <c r="C94" i="13"/>
  <c r="D94" i="13"/>
  <c r="E94" i="13"/>
  <c r="F94" i="13"/>
  <c r="G94" i="13"/>
  <c r="H94" i="13"/>
  <c r="I94" i="13"/>
  <c r="J94" i="13"/>
  <c r="K94" i="13"/>
  <c r="L94" i="13"/>
  <c r="M94" i="13"/>
  <c r="N94" i="13"/>
  <c r="O94" i="13"/>
  <c r="P94" i="13"/>
  <c r="Q94" i="13"/>
  <c r="R94" i="13"/>
  <c r="S94" i="13"/>
  <c r="T94" i="13"/>
  <c r="U94" i="13"/>
  <c r="V94" i="13"/>
  <c r="W94" i="13"/>
  <c r="X94" i="13"/>
  <c r="Y94" i="13"/>
  <c r="AE94" i="13" s="1"/>
  <c r="B95" i="13"/>
  <c r="C95" i="13"/>
  <c r="D95" i="13"/>
  <c r="E95" i="13"/>
  <c r="F95" i="13"/>
  <c r="G95" i="13"/>
  <c r="H95" i="13"/>
  <c r="I95" i="13"/>
  <c r="J95" i="13"/>
  <c r="K95" i="13"/>
  <c r="L95" i="13"/>
  <c r="M95" i="13"/>
  <c r="N95" i="13"/>
  <c r="O95" i="13"/>
  <c r="P95" i="13"/>
  <c r="Q95" i="13"/>
  <c r="R95" i="13"/>
  <c r="S95" i="13"/>
  <c r="T95" i="13"/>
  <c r="U95" i="13"/>
  <c r="V95" i="13"/>
  <c r="W95" i="13"/>
  <c r="X95" i="13"/>
  <c r="Y95" i="13"/>
  <c r="AE95" i="13" s="1"/>
  <c r="B96" i="13"/>
  <c r="C96" i="13"/>
  <c r="D96" i="13"/>
  <c r="E96" i="13"/>
  <c r="F96" i="13"/>
  <c r="G96" i="13"/>
  <c r="H96" i="13"/>
  <c r="I96" i="13"/>
  <c r="J96" i="13"/>
  <c r="K96" i="13"/>
  <c r="L96" i="13"/>
  <c r="M96" i="13"/>
  <c r="N96" i="13"/>
  <c r="O96" i="13"/>
  <c r="P96" i="13"/>
  <c r="Q96" i="13"/>
  <c r="R96" i="13"/>
  <c r="S96" i="13"/>
  <c r="T96" i="13"/>
  <c r="U96" i="13"/>
  <c r="V96" i="13"/>
  <c r="W96" i="13"/>
  <c r="X96" i="13"/>
  <c r="Y96" i="13"/>
  <c r="AE96" i="13" s="1"/>
  <c r="B97" i="13"/>
  <c r="C97" i="13"/>
  <c r="D97" i="13"/>
  <c r="E97" i="13"/>
  <c r="F97" i="13"/>
  <c r="G97" i="13"/>
  <c r="H97" i="13"/>
  <c r="I97" i="13"/>
  <c r="J97" i="13"/>
  <c r="K97" i="13"/>
  <c r="L97" i="13"/>
  <c r="M97" i="13"/>
  <c r="N97" i="13"/>
  <c r="O97" i="13"/>
  <c r="P97" i="13"/>
  <c r="Q97" i="13"/>
  <c r="R97" i="13"/>
  <c r="S97" i="13"/>
  <c r="T97" i="13"/>
  <c r="U97" i="13"/>
  <c r="V97" i="13"/>
  <c r="W97" i="13"/>
  <c r="X97" i="13"/>
  <c r="Y97" i="13"/>
  <c r="AE97" i="13" s="1"/>
  <c r="B98" i="13"/>
  <c r="C98" i="13"/>
  <c r="D98" i="13"/>
  <c r="E98" i="13"/>
  <c r="F98" i="13"/>
  <c r="G98" i="13"/>
  <c r="H98" i="13"/>
  <c r="I98" i="13"/>
  <c r="J98" i="13"/>
  <c r="K98" i="13"/>
  <c r="L98" i="13"/>
  <c r="M98" i="13"/>
  <c r="N98" i="13"/>
  <c r="O98" i="13"/>
  <c r="P98" i="13"/>
  <c r="Q98" i="13"/>
  <c r="R98" i="13"/>
  <c r="S98" i="13"/>
  <c r="T98" i="13"/>
  <c r="U98" i="13"/>
  <c r="V98" i="13"/>
  <c r="W98" i="13"/>
  <c r="X98" i="13"/>
  <c r="Y98" i="13"/>
  <c r="AE98" i="13" s="1"/>
  <c r="B99" i="13"/>
  <c r="C99" i="13"/>
  <c r="D99" i="13"/>
  <c r="E99" i="13"/>
  <c r="F99" i="13"/>
  <c r="G99" i="13"/>
  <c r="H99" i="13"/>
  <c r="I99" i="13"/>
  <c r="J99" i="13"/>
  <c r="K99" i="13"/>
  <c r="L99" i="13"/>
  <c r="M99" i="13"/>
  <c r="N99" i="13"/>
  <c r="O99" i="13"/>
  <c r="P99" i="13"/>
  <c r="Q99" i="13"/>
  <c r="R99" i="13"/>
  <c r="S99" i="13"/>
  <c r="T99" i="13"/>
  <c r="U99" i="13"/>
  <c r="V99" i="13"/>
  <c r="W99" i="13"/>
  <c r="X99" i="13"/>
  <c r="Y99" i="13"/>
  <c r="AE99" i="13" s="1"/>
  <c r="Y92" i="13"/>
  <c r="AE92" i="13" s="1"/>
  <c r="X92" i="13"/>
  <c r="W92" i="13"/>
  <c r="V92" i="13"/>
  <c r="U92" i="13"/>
  <c r="T92" i="13"/>
  <c r="S92" i="13"/>
  <c r="R92" i="13"/>
  <c r="Q92" i="13"/>
  <c r="P92" i="13"/>
  <c r="O92" i="13"/>
  <c r="N92" i="13"/>
  <c r="M92" i="13"/>
  <c r="L92" i="13"/>
  <c r="K92" i="13"/>
  <c r="J92" i="13"/>
  <c r="I92" i="13"/>
  <c r="H92" i="13"/>
  <c r="G92" i="13"/>
  <c r="F92" i="13"/>
  <c r="E92" i="13"/>
  <c r="D92" i="13"/>
  <c r="C92" i="13"/>
  <c r="B92" i="13"/>
  <c r="Y139" i="13"/>
  <c r="X139" i="13"/>
  <c r="W139" i="13"/>
  <c r="V139" i="13"/>
  <c r="U139" i="13"/>
  <c r="T139" i="13"/>
  <c r="S139" i="13"/>
  <c r="R139" i="13"/>
  <c r="Q139" i="13"/>
  <c r="P139" i="13"/>
  <c r="O139" i="13"/>
  <c r="N139" i="13"/>
  <c r="M139" i="13"/>
  <c r="L139" i="13"/>
  <c r="K139" i="13"/>
  <c r="J139" i="13"/>
  <c r="I139" i="13"/>
  <c r="H139" i="13"/>
  <c r="G139" i="13"/>
  <c r="F139" i="13"/>
  <c r="E139" i="13"/>
  <c r="D139" i="13"/>
  <c r="C139" i="13"/>
  <c r="B139" i="13"/>
  <c r="Y137" i="13"/>
  <c r="X137" i="13"/>
  <c r="W137" i="13"/>
  <c r="V137" i="13"/>
  <c r="U137" i="13"/>
  <c r="T137" i="13"/>
  <c r="S137" i="13"/>
  <c r="R137" i="13"/>
  <c r="Q137" i="13"/>
  <c r="P137" i="13"/>
  <c r="O137" i="13"/>
  <c r="N137" i="13"/>
  <c r="M137" i="13"/>
  <c r="L137" i="13"/>
  <c r="K137" i="13"/>
  <c r="J137" i="13"/>
  <c r="I137" i="13"/>
  <c r="H137" i="13"/>
  <c r="G137" i="13"/>
  <c r="F137" i="13"/>
  <c r="E137" i="13"/>
  <c r="D137" i="13"/>
  <c r="C137" i="13"/>
  <c r="B137" i="13"/>
  <c r="Y135" i="13"/>
  <c r="X135" i="13"/>
  <c r="W135" i="13"/>
  <c r="V135" i="13"/>
  <c r="U135" i="13"/>
  <c r="T135" i="13"/>
  <c r="S135" i="13"/>
  <c r="R135" i="13"/>
  <c r="Q135" i="13"/>
  <c r="P135" i="13"/>
  <c r="O135" i="13"/>
  <c r="N135" i="13"/>
  <c r="M135" i="13"/>
  <c r="L135" i="13"/>
  <c r="K135" i="13"/>
  <c r="J135" i="13"/>
  <c r="I135" i="13"/>
  <c r="H135" i="13"/>
  <c r="G135" i="13"/>
  <c r="F135" i="13"/>
  <c r="E135" i="13"/>
  <c r="D135" i="13"/>
  <c r="C135" i="13"/>
  <c r="B135" i="13"/>
  <c r="Y133" i="13"/>
  <c r="X133" i="13"/>
  <c r="W133" i="13"/>
  <c r="V133" i="13"/>
  <c r="U133" i="13"/>
  <c r="T133" i="13"/>
  <c r="S133" i="13"/>
  <c r="R133" i="13"/>
  <c r="Q133" i="13"/>
  <c r="P133" i="13"/>
  <c r="O133" i="13"/>
  <c r="N133" i="13"/>
  <c r="M133" i="13"/>
  <c r="L133" i="13"/>
  <c r="K133" i="13"/>
  <c r="J133" i="13"/>
  <c r="I133" i="13"/>
  <c r="H133" i="13"/>
  <c r="G133" i="13"/>
  <c r="F133" i="13"/>
  <c r="E133" i="13"/>
  <c r="D133" i="13"/>
  <c r="C133" i="13"/>
  <c r="B133" i="13"/>
  <c r="B62" i="13"/>
  <c r="B58" i="13"/>
  <c r="B56" i="13"/>
  <c r="Y63" i="13"/>
  <c r="AE63" i="13" s="1"/>
  <c r="X63" i="13"/>
  <c r="W63" i="13"/>
  <c r="V63" i="13"/>
  <c r="U63" i="13"/>
  <c r="T63" i="13"/>
  <c r="S63" i="13"/>
  <c r="R63" i="13"/>
  <c r="Q63" i="13"/>
  <c r="P63" i="13"/>
  <c r="O63" i="13"/>
  <c r="N63" i="13"/>
  <c r="M63" i="13"/>
  <c r="L63" i="13"/>
  <c r="K63" i="13"/>
  <c r="J63" i="13"/>
  <c r="I63" i="13"/>
  <c r="H63" i="13"/>
  <c r="G63" i="13"/>
  <c r="F63" i="13"/>
  <c r="E63" i="13"/>
  <c r="D63" i="13"/>
  <c r="C63" i="13"/>
  <c r="B63" i="13"/>
  <c r="Y61" i="13"/>
  <c r="AE61" i="13" s="1"/>
  <c r="X61" i="13"/>
  <c r="W61" i="13"/>
  <c r="V61" i="13"/>
  <c r="U61" i="13"/>
  <c r="T61" i="13"/>
  <c r="S61" i="13"/>
  <c r="R61" i="13"/>
  <c r="Q61" i="13"/>
  <c r="P61" i="13"/>
  <c r="O61" i="13"/>
  <c r="N61" i="13"/>
  <c r="M61" i="13"/>
  <c r="L61" i="13"/>
  <c r="K61" i="13"/>
  <c r="J61" i="13"/>
  <c r="I61" i="13"/>
  <c r="H61" i="13"/>
  <c r="G61" i="13"/>
  <c r="F61" i="13"/>
  <c r="E61" i="13"/>
  <c r="D61" i="13"/>
  <c r="C61" i="13"/>
  <c r="B61" i="13"/>
  <c r="Y59" i="13"/>
  <c r="AE59" i="13" s="1"/>
  <c r="X59" i="13"/>
  <c r="W59" i="13"/>
  <c r="V59" i="13"/>
  <c r="U59" i="13"/>
  <c r="T59" i="13"/>
  <c r="S59" i="13"/>
  <c r="R59" i="13"/>
  <c r="Q59" i="13"/>
  <c r="P59" i="13"/>
  <c r="O59" i="13"/>
  <c r="N59" i="13"/>
  <c r="M59" i="13"/>
  <c r="L59" i="13"/>
  <c r="K59" i="13"/>
  <c r="J59" i="13"/>
  <c r="I59" i="13"/>
  <c r="H59" i="13"/>
  <c r="G59" i="13"/>
  <c r="F59" i="13"/>
  <c r="E59" i="13"/>
  <c r="D59" i="13"/>
  <c r="C59" i="13"/>
  <c r="B59" i="13"/>
  <c r="Y57" i="13"/>
  <c r="AE57" i="13" s="1"/>
  <c r="X57" i="13"/>
  <c r="W57" i="13"/>
  <c r="V57" i="13"/>
  <c r="U57" i="13"/>
  <c r="T57" i="13"/>
  <c r="S57" i="13"/>
  <c r="R57" i="13"/>
  <c r="Q57" i="13"/>
  <c r="P57" i="13"/>
  <c r="O57" i="13"/>
  <c r="N57" i="13"/>
  <c r="M57" i="13"/>
  <c r="L57" i="13"/>
  <c r="K57" i="13"/>
  <c r="J57" i="13"/>
  <c r="I57" i="13"/>
  <c r="H57" i="13"/>
  <c r="G57" i="13"/>
  <c r="F57" i="13"/>
  <c r="E57" i="13"/>
  <c r="D57" i="13"/>
  <c r="C57" i="13"/>
  <c r="B57" i="13"/>
  <c r="Y55" i="13"/>
  <c r="AE55" i="13" s="1"/>
  <c r="X55" i="13"/>
  <c r="W55" i="13"/>
  <c r="V55" i="13"/>
  <c r="U55" i="13"/>
  <c r="T55" i="13"/>
  <c r="S55" i="13"/>
  <c r="R55" i="13"/>
  <c r="Q55" i="13"/>
  <c r="P55" i="13"/>
  <c r="O55" i="13"/>
  <c r="N55" i="13"/>
  <c r="M55" i="13"/>
  <c r="L55" i="13"/>
  <c r="K55" i="13"/>
  <c r="J55" i="13"/>
  <c r="I55" i="13"/>
  <c r="H55" i="13"/>
  <c r="G55" i="13"/>
  <c r="F55" i="13"/>
  <c r="E55" i="13"/>
  <c r="D55" i="13"/>
  <c r="C55" i="13"/>
  <c r="B55" i="13"/>
  <c r="Y54" i="13"/>
  <c r="AE54" i="13" s="1"/>
  <c r="X54" i="13"/>
  <c r="W54" i="13"/>
  <c r="V54" i="13"/>
  <c r="U54" i="13"/>
  <c r="T54" i="13"/>
  <c r="S54" i="13"/>
  <c r="R54" i="13"/>
  <c r="Q54" i="13"/>
  <c r="P54" i="13"/>
  <c r="O54" i="13"/>
  <c r="N54" i="13"/>
  <c r="M54" i="13"/>
  <c r="L54" i="13"/>
  <c r="K54" i="13"/>
  <c r="J54" i="13"/>
  <c r="I54" i="13"/>
  <c r="H54" i="13"/>
  <c r="G54" i="13"/>
  <c r="F54" i="13"/>
  <c r="E54" i="13"/>
  <c r="D54" i="13"/>
  <c r="C54" i="13"/>
  <c r="B54" i="13"/>
  <c r="Y52" i="13"/>
  <c r="AE52" i="13" s="1"/>
  <c r="X52" i="13"/>
  <c r="W52" i="13"/>
  <c r="V52" i="13"/>
  <c r="U52" i="13"/>
  <c r="T52" i="13"/>
  <c r="S52" i="13"/>
  <c r="R52" i="13"/>
  <c r="Q52" i="13"/>
  <c r="P52" i="13"/>
  <c r="O52" i="13"/>
  <c r="N52" i="13"/>
  <c r="M52" i="13"/>
  <c r="L52" i="13"/>
  <c r="K52" i="13"/>
  <c r="J52" i="13"/>
  <c r="I52" i="13"/>
  <c r="H52" i="13"/>
  <c r="G52" i="13"/>
  <c r="F52" i="13"/>
  <c r="E52" i="13"/>
  <c r="D52" i="13"/>
  <c r="C52" i="13"/>
  <c r="B52" i="13"/>
  <c r="Y50" i="13"/>
  <c r="AE50" i="13" s="1"/>
  <c r="X50" i="13"/>
  <c r="W50" i="13"/>
  <c r="V50" i="13"/>
  <c r="U50" i="13"/>
  <c r="T50" i="13"/>
  <c r="S50" i="13"/>
  <c r="R50" i="13"/>
  <c r="Q50" i="13"/>
  <c r="P50" i="13"/>
  <c r="O50" i="13"/>
  <c r="N50" i="13"/>
  <c r="M50" i="13"/>
  <c r="L50" i="13"/>
  <c r="K50" i="13"/>
  <c r="J50" i="13"/>
  <c r="I50" i="13"/>
  <c r="H50" i="13"/>
  <c r="G50" i="13"/>
  <c r="F50" i="13"/>
  <c r="E50" i="13"/>
  <c r="D50" i="13"/>
  <c r="C50" i="13"/>
  <c r="B50" i="13"/>
  <c r="Y40" i="13"/>
  <c r="AE40" i="13" s="1"/>
  <c r="X40" i="13"/>
  <c r="W40" i="13"/>
  <c r="V40" i="13"/>
  <c r="U40" i="13"/>
  <c r="T40" i="13"/>
  <c r="S40" i="13"/>
  <c r="R40" i="13"/>
  <c r="Q40" i="13"/>
  <c r="P40" i="13"/>
  <c r="O40" i="13"/>
  <c r="N40" i="13"/>
  <c r="M40" i="13"/>
  <c r="L40" i="13"/>
  <c r="K40" i="13"/>
  <c r="J40" i="13"/>
  <c r="I40" i="13"/>
  <c r="H40" i="13"/>
  <c r="G40" i="13"/>
  <c r="F40" i="13"/>
  <c r="E40" i="13"/>
  <c r="D40" i="13"/>
  <c r="C40" i="13"/>
  <c r="B40" i="13"/>
  <c r="Y49" i="13"/>
  <c r="AE49" i="13" s="1"/>
  <c r="X49" i="13"/>
  <c r="W49" i="13"/>
  <c r="V49" i="13"/>
  <c r="U49" i="13"/>
  <c r="T49" i="13"/>
  <c r="S49" i="13"/>
  <c r="R49" i="13"/>
  <c r="Q49" i="13"/>
  <c r="P49" i="13"/>
  <c r="O49" i="13"/>
  <c r="N49" i="13"/>
  <c r="M49" i="13"/>
  <c r="L49" i="13"/>
  <c r="K49" i="13"/>
  <c r="J49" i="13"/>
  <c r="I49" i="13"/>
  <c r="H49" i="13"/>
  <c r="G49" i="13"/>
  <c r="F49" i="13"/>
  <c r="E49" i="13"/>
  <c r="D49" i="13"/>
  <c r="C49" i="13"/>
  <c r="B49" i="13"/>
  <c r="Y48" i="13"/>
  <c r="AE48" i="13" s="1"/>
  <c r="X48" i="13"/>
  <c r="W48" i="13"/>
  <c r="V48" i="13"/>
  <c r="U48" i="13"/>
  <c r="T48" i="13"/>
  <c r="S48" i="13"/>
  <c r="R48" i="13"/>
  <c r="Q48" i="13"/>
  <c r="P48" i="13"/>
  <c r="O48" i="13"/>
  <c r="N48" i="13"/>
  <c r="M48" i="13"/>
  <c r="L48" i="13"/>
  <c r="K48" i="13"/>
  <c r="J48" i="13"/>
  <c r="I48" i="13"/>
  <c r="H48" i="13"/>
  <c r="G48" i="13"/>
  <c r="F48" i="13"/>
  <c r="E48" i="13"/>
  <c r="D48" i="13"/>
  <c r="C48" i="13"/>
  <c r="B48" i="13"/>
  <c r="Y47" i="13"/>
  <c r="AE47" i="13" s="1"/>
  <c r="X47" i="13"/>
  <c r="W47" i="13"/>
  <c r="V47" i="13"/>
  <c r="U47" i="13"/>
  <c r="T47" i="13"/>
  <c r="S47" i="13"/>
  <c r="R47" i="13"/>
  <c r="Q47" i="13"/>
  <c r="P47" i="13"/>
  <c r="O47" i="13"/>
  <c r="N47" i="13"/>
  <c r="M47" i="13"/>
  <c r="L47" i="13"/>
  <c r="K47" i="13"/>
  <c r="J47" i="13"/>
  <c r="I47" i="13"/>
  <c r="H47" i="13"/>
  <c r="G47" i="13"/>
  <c r="F47" i="13"/>
  <c r="E47" i="13"/>
  <c r="D47" i="13"/>
  <c r="C47" i="13"/>
  <c r="B47" i="13"/>
  <c r="Y46" i="13"/>
  <c r="AE46" i="13" s="1"/>
  <c r="X46" i="13"/>
  <c r="W46" i="13"/>
  <c r="V46" i="13"/>
  <c r="U46" i="13"/>
  <c r="T46" i="13"/>
  <c r="S46" i="13"/>
  <c r="R46" i="13"/>
  <c r="Q46" i="13"/>
  <c r="P46" i="13"/>
  <c r="O46" i="13"/>
  <c r="N46" i="13"/>
  <c r="M46" i="13"/>
  <c r="L46" i="13"/>
  <c r="K46" i="13"/>
  <c r="J46" i="13"/>
  <c r="I46" i="13"/>
  <c r="H46" i="13"/>
  <c r="G46" i="13"/>
  <c r="F46" i="13"/>
  <c r="E46" i="13"/>
  <c r="D46" i="13"/>
  <c r="C46" i="13"/>
  <c r="B46" i="13"/>
  <c r="Y45" i="13"/>
  <c r="AE45" i="13" s="1"/>
  <c r="X45" i="13"/>
  <c r="W45" i="13"/>
  <c r="V45" i="13"/>
  <c r="U45" i="13"/>
  <c r="T45" i="13"/>
  <c r="S45" i="13"/>
  <c r="R45" i="13"/>
  <c r="Q45" i="13"/>
  <c r="P45" i="13"/>
  <c r="O45" i="13"/>
  <c r="N45" i="13"/>
  <c r="M45" i="13"/>
  <c r="L45" i="13"/>
  <c r="K45" i="13"/>
  <c r="J45" i="13"/>
  <c r="I45" i="13"/>
  <c r="H45" i="13"/>
  <c r="G45" i="13"/>
  <c r="F45" i="13"/>
  <c r="E45" i="13"/>
  <c r="D45" i="13"/>
  <c r="C45" i="13"/>
  <c r="B45" i="13"/>
  <c r="Y44" i="13"/>
  <c r="AE44" i="13" s="1"/>
  <c r="X44" i="13"/>
  <c r="W44" i="13"/>
  <c r="V44" i="13"/>
  <c r="U44" i="13"/>
  <c r="T44" i="13"/>
  <c r="S44" i="13"/>
  <c r="R44" i="13"/>
  <c r="Q44" i="13"/>
  <c r="P44" i="13"/>
  <c r="O44" i="13"/>
  <c r="N44" i="13"/>
  <c r="M44" i="13"/>
  <c r="L44" i="13"/>
  <c r="K44" i="13"/>
  <c r="J44" i="13"/>
  <c r="I44" i="13"/>
  <c r="H44" i="13"/>
  <c r="G44" i="13"/>
  <c r="F44" i="13"/>
  <c r="E44" i="13"/>
  <c r="D44" i="13"/>
  <c r="C44" i="13"/>
  <c r="B44" i="13"/>
  <c r="Y43" i="13"/>
  <c r="AE43" i="13" s="1"/>
  <c r="X43" i="13"/>
  <c r="W43" i="13"/>
  <c r="V43" i="13"/>
  <c r="U43" i="13"/>
  <c r="T43" i="13"/>
  <c r="S43" i="13"/>
  <c r="R43" i="13"/>
  <c r="Q43" i="13"/>
  <c r="P43" i="13"/>
  <c r="O43" i="13"/>
  <c r="N43" i="13"/>
  <c r="M43" i="13"/>
  <c r="L43" i="13"/>
  <c r="K43" i="13"/>
  <c r="J43" i="13"/>
  <c r="I43" i="13"/>
  <c r="H43" i="13"/>
  <c r="G43" i="13"/>
  <c r="F43" i="13"/>
  <c r="E43" i="13"/>
  <c r="D43" i="13"/>
  <c r="C43" i="13"/>
  <c r="B43" i="13"/>
  <c r="Y42" i="13"/>
  <c r="AE42" i="13" s="1"/>
  <c r="X42" i="13"/>
  <c r="W42" i="13"/>
  <c r="V42" i="13"/>
  <c r="U42" i="13"/>
  <c r="T42" i="13"/>
  <c r="S42" i="13"/>
  <c r="R42" i="13"/>
  <c r="Q42" i="13"/>
  <c r="P42" i="13"/>
  <c r="O42" i="13"/>
  <c r="N42" i="13"/>
  <c r="M42" i="13"/>
  <c r="L42" i="13"/>
  <c r="K42" i="13"/>
  <c r="J42" i="13"/>
  <c r="I42" i="13"/>
  <c r="H42" i="13"/>
  <c r="G42" i="13"/>
  <c r="F42" i="13"/>
  <c r="E42" i="13"/>
  <c r="D42" i="13"/>
  <c r="C42" i="13"/>
  <c r="B42" i="13"/>
  <c r="Y39" i="13"/>
  <c r="AE39" i="13" s="1"/>
  <c r="X39" i="13"/>
  <c r="W39" i="13"/>
  <c r="V39" i="13"/>
  <c r="U39" i="13"/>
  <c r="T39" i="13"/>
  <c r="S39" i="13"/>
  <c r="R39" i="13"/>
  <c r="Q39" i="13"/>
  <c r="P39" i="13"/>
  <c r="O39" i="13"/>
  <c r="N39" i="13"/>
  <c r="M39" i="13"/>
  <c r="L39" i="13"/>
  <c r="K39" i="13"/>
  <c r="J39" i="13"/>
  <c r="I39" i="13"/>
  <c r="H39" i="13"/>
  <c r="G39" i="13"/>
  <c r="F39" i="13"/>
  <c r="E39" i="13"/>
  <c r="D39" i="13"/>
  <c r="C39" i="13"/>
  <c r="B39" i="13"/>
  <c r="Y38" i="13"/>
  <c r="AE38" i="13" s="1"/>
  <c r="X38" i="13"/>
  <c r="W38" i="13"/>
  <c r="V38" i="13"/>
  <c r="U38" i="13"/>
  <c r="T38" i="13"/>
  <c r="S38" i="13"/>
  <c r="R38" i="13"/>
  <c r="Q38" i="13"/>
  <c r="P38" i="13"/>
  <c r="O38" i="13"/>
  <c r="N38" i="13"/>
  <c r="M38" i="13"/>
  <c r="L38" i="13"/>
  <c r="K38" i="13"/>
  <c r="J38" i="13"/>
  <c r="I38" i="13"/>
  <c r="H38" i="13"/>
  <c r="G38" i="13"/>
  <c r="F38" i="13"/>
  <c r="E38" i="13"/>
  <c r="D38" i="13"/>
  <c r="C38" i="13"/>
  <c r="B38" i="13"/>
  <c r="Y37" i="13"/>
  <c r="AE37" i="13" s="1"/>
  <c r="X37" i="13"/>
  <c r="W37" i="13"/>
  <c r="V37" i="13"/>
  <c r="U37" i="13"/>
  <c r="T37" i="13"/>
  <c r="S37" i="13"/>
  <c r="R37" i="13"/>
  <c r="Q37" i="13"/>
  <c r="P37" i="13"/>
  <c r="O37" i="13"/>
  <c r="N37" i="13"/>
  <c r="M37" i="13"/>
  <c r="L37" i="13"/>
  <c r="K37" i="13"/>
  <c r="J37" i="13"/>
  <c r="I37" i="13"/>
  <c r="H37" i="13"/>
  <c r="G37" i="13"/>
  <c r="F37" i="13"/>
  <c r="E37" i="13"/>
  <c r="D37" i="13"/>
  <c r="C37" i="13"/>
  <c r="B37" i="13"/>
  <c r="Y36" i="13"/>
  <c r="AE36" i="13" s="1"/>
  <c r="X36" i="13"/>
  <c r="W36" i="13"/>
  <c r="V36" i="13"/>
  <c r="U36" i="13"/>
  <c r="T36" i="13"/>
  <c r="S36" i="13"/>
  <c r="R36" i="13"/>
  <c r="Q36" i="13"/>
  <c r="P36" i="13"/>
  <c r="O36" i="13"/>
  <c r="N36" i="13"/>
  <c r="M36" i="13"/>
  <c r="L36" i="13"/>
  <c r="K36" i="13"/>
  <c r="J36" i="13"/>
  <c r="I36" i="13"/>
  <c r="H36" i="13"/>
  <c r="G36" i="13"/>
  <c r="F36" i="13"/>
  <c r="E36" i="13"/>
  <c r="D36" i="13"/>
  <c r="C36" i="13"/>
  <c r="B36" i="13"/>
  <c r="C33" i="13"/>
  <c r="D33" i="13"/>
  <c r="E33" i="13"/>
  <c r="F33" i="13"/>
  <c r="G33" i="13"/>
  <c r="H33" i="13"/>
  <c r="I33" i="13"/>
  <c r="J33" i="13"/>
  <c r="K33" i="13"/>
  <c r="L33" i="13"/>
  <c r="M33" i="13"/>
  <c r="N33" i="13"/>
  <c r="O33" i="13"/>
  <c r="P33" i="13"/>
  <c r="Q33" i="13"/>
  <c r="R33" i="13"/>
  <c r="S33" i="13"/>
  <c r="T33" i="13"/>
  <c r="U33" i="13"/>
  <c r="V33" i="13"/>
  <c r="W33" i="13"/>
  <c r="X33" i="13"/>
  <c r="Y33" i="13"/>
  <c r="AE33" i="13" s="1"/>
  <c r="C34" i="13"/>
  <c r="D34" i="13"/>
  <c r="E34" i="13"/>
  <c r="F34" i="13"/>
  <c r="G34" i="13"/>
  <c r="H34" i="13"/>
  <c r="I34" i="13"/>
  <c r="J34" i="13"/>
  <c r="K34" i="13"/>
  <c r="L34" i="13"/>
  <c r="M34" i="13"/>
  <c r="N34" i="13"/>
  <c r="O34" i="13"/>
  <c r="P34" i="13"/>
  <c r="Q34" i="13"/>
  <c r="R34" i="13"/>
  <c r="S34" i="13"/>
  <c r="T34" i="13"/>
  <c r="U34" i="13"/>
  <c r="V34" i="13"/>
  <c r="W34" i="13"/>
  <c r="X34" i="13"/>
  <c r="Y34" i="13"/>
  <c r="AE34" i="13" s="1"/>
  <c r="B34" i="13"/>
  <c r="B33" i="13"/>
  <c r="Y32" i="13"/>
  <c r="AE32" i="13" s="1"/>
  <c r="X32" i="13"/>
  <c r="W32" i="13"/>
  <c r="V32" i="13"/>
  <c r="U32" i="13"/>
  <c r="T32" i="13"/>
  <c r="S32" i="13"/>
  <c r="R32" i="13"/>
  <c r="Q32" i="13"/>
  <c r="P32" i="13"/>
  <c r="O32" i="13"/>
  <c r="N32" i="13"/>
  <c r="M32" i="13"/>
  <c r="L32" i="13"/>
  <c r="K32" i="13"/>
  <c r="J32" i="13"/>
  <c r="I32" i="13"/>
  <c r="H32" i="13"/>
  <c r="G32" i="13"/>
  <c r="F32" i="13"/>
  <c r="E32" i="13"/>
  <c r="D32" i="13"/>
  <c r="C32" i="13"/>
  <c r="B32" i="13"/>
  <c r="Y31" i="13"/>
  <c r="AE31" i="13" s="1"/>
  <c r="X31" i="13"/>
  <c r="W31" i="13"/>
  <c r="V31" i="13"/>
  <c r="U31" i="13"/>
  <c r="T31" i="13"/>
  <c r="S31" i="13"/>
  <c r="R31" i="13"/>
  <c r="Q31" i="13"/>
  <c r="P31" i="13"/>
  <c r="O31" i="13"/>
  <c r="N31" i="13"/>
  <c r="M31" i="13"/>
  <c r="L31" i="13"/>
  <c r="K31" i="13"/>
  <c r="J31" i="13"/>
  <c r="I31" i="13"/>
  <c r="H31" i="13"/>
  <c r="G31" i="13"/>
  <c r="F31" i="13"/>
  <c r="E31" i="13"/>
  <c r="D31" i="13"/>
  <c r="C31" i="13"/>
  <c r="B31" i="13"/>
  <c r="C27" i="13"/>
  <c r="D27" i="13"/>
  <c r="E27" i="13"/>
  <c r="F27" i="13"/>
  <c r="G27" i="13"/>
  <c r="H27" i="13"/>
  <c r="I27" i="13"/>
  <c r="J27" i="13"/>
  <c r="K27" i="13"/>
  <c r="L27" i="13"/>
  <c r="M27" i="13"/>
  <c r="N27" i="13"/>
  <c r="O27" i="13"/>
  <c r="P27" i="13"/>
  <c r="Q27" i="13"/>
  <c r="R27" i="13"/>
  <c r="S27" i="13"/>
  <c r="T27" i="13"/>
  <c r="U27" i="13"/>
  <c r="V27" i="13"/>
  <c r="W27" i="13"/>
  <c r="X27" i="13"/>
  <c r="Y27" i="13"/>
  <c r="AE27" i="13" s="1"/>
  <c r="C28" i="13"/>
  <c r="D28" i="13"/>
  <c r="E28" i="13"/>
  <c r="F28" i="13"/>
  <c r="G28" i="13"/>
  <c r="H28" i="13"/>
  <c r="I28" i="13"/>
  <c r="J28" i="13"/>
  <c r="K28" i="13"/>
  <c r="L28" i="13"/>
  <c r="M28" i="13"/>
  <c r="N28" i="13"/>
  <c r="O28" i="13"/>
  <c r="P28" i="13"/>
  <c r="Q28" i="13"/>
  <c r="R28" i="13"/>
  <c r="S28" i="13"/>
  <c r="T28" i="13"/>
  <c r="U28" i="13"/>
  <c r="V28" i="13"/>
  <c r="W28" i="13"/>
  <c r="X28" i="13"/>
  <c r="Y28" i="13"/>
  <c r="AE28" i="13" s="1"/>
  <c r="C29" i="13"/>
  <c r="D29" i="13"/>
  <c r="E29" i="13"/>
  <c r="F29" i="13"/>
  <c r="G29" i="13"/>
  <c r="H29" i="13"/>
  <c r="I29" i="13"/>
  <c r="J29" i="13"/>
  <c r="K29" i="13"/>
  <c r="L29" i="13"/>
  <c r="M29" i="13"/>
  <c r="N29" i="13"/>
  <c r="O29" i="13"/>
  <c r="P29" i="13"/>
  <c r="Q29" i="13"/>
  <c r="R29" i="13"/>
  <c r="S29" i="13"/>
  <c r="T29" i="13"/>
  <c r="U29" i="13"/>
  <c r="V29" i="13"/>
  <c r="W29" i="13"/>
  <c r="X29" i="13"/>
  <c r="Y29" i="13"/>
  <c r="AE29" i="13" s="1"/>
  <c r="B28" i="13"/>
  <c r="B29" i="13"/>
  <c r="B27" i="13"/>
  <c r="C23" i="13"/>
  <c r="D23" i="13"/>
  <c r="E23" i="13"/>
  <c r="F23" i="13"/>
  <c r="G23" i="13"/>
  <c r="H23" i="13"/>
  <c r="I23" i="13"/>
  <c r="J23" i="13"/>
  <c r="K23" i="13"/>
  <c r="L23" i="13"/>
  <c r="M23" i="13"/>
  <c r="N23" i="13"/>
  <c r="O23" i="13"/>
  <c r="P23" i="13"/>
  <c r="Q23" i="13"/>
  <c r="R23" i="13"/>
  <c r="S23" i="13"/>
  <c r="T23" i="13"/>
  <c r="U23" i="13"/>
  <c r="V23" i="13"/>
  <c r="W23" i="13"/>
  <c r="X23" i="13"/>
  <c r="Y23" i="13"/>
  <c r="AE23" i="13" s="1"/>
  <c r="C24" i="13"/>
  <c r="D24" i="13"/>
  <c r="E24" i="13"/>
  <c r="F24" i="13"/>
  <c r="G24" i="13"/>
  <c r="H24" i="13"/>
  <c r="I24" i="13"/>
  <c r="J24" i="13"/>
  <c r="K24" i="13"/>
  <c r="L24" i="13"/>
  <c r="M24" i="13"/>
  <c r="N24" i="13"/>
  <c r="O24" i="13"/>
  <c r="P24" i="13"/>
  <c r="Q24" i="13"/>
  <c r="R24" i="13"/>
  <c r="S24" i="13"/>
  <c r="T24" i="13"/>
  <c r="U24" i="13"/>
  <c r="V24" i="13"/>
  <c r="W24" i="13"/>
  <c r="X24" i="13"/>
  <c r="Y24" i="13"/>
  <c r="AE24" i="13" s="1"/>
  <c r="C25" i="13"/>
  <c r="D25" i="13"/>
  <c r="E25" i="13"/>
  <c r="F25" i="13"/>
  <c r="G25" i="13"/>
  <c r="H25" i="13"/>
  <c r="I25" i="13"/>
  <c r="J25" i="13"/>
  <c r="K25" i="13"/>
  <c r="L25" i="13"/>
  <c r="M25" i="13"/>
  <c r="N25" i="13"/>
  <c r="O25" i="13"/>
  <c r="P25" i="13"/>
  <c r="Q25" i="13"/>
  <c r="R25" i="13"/>
  <c r="S25" i="13"/>
  <c r="T25" i="13"/>
  <c r="U25" i="13"/>
  <c r="V25" i="13"/>
  <c r="W25" i="13"/>
  <c r="X25" i="13"/>
  <c r="Y25" i="13"/>
  <c r="AE25" i="13" s="1"/>
  <c r="B24" i="13"/>
  <c r="B25" i="13"/>
  <c r="B23" i="13"/>
  <c r="B15" i="13"/>
  <c r="C15" i="13"/>
  <c r="D15" i="13"/>
  <c r="E15" i="13"/>
  <c r="F15" i="13"/>
  <c r="G15" i="13"/>
  <c r="H15" i="13"/>
  <c r="I15" i="13"/>
  <c r="J15" i="13"/>
  <c r="K15" i="13"/>
  <c r="L15" i="13"/>
  <c r="M15" i="13"/>
  <c r="N15" i="13"/>
  <c r="O15" i="13"/>
  <c r="P15" i="13"/>
  <c r="Q15" i="13"/>
  <c r="R15" i="13"/>
  <c r="S15" i="13"/>
  <c r="T15" i="13"/>
  <c r="U15" i="13"/>
  <c r="V15" i="13"/>
  <c r="W15" i="13"/>
  <c r="X15" i="13"/>
  <c r="Y15" i="13"/>
  <c r="AE15" i="13" s="1"/>
  <c r="B16" i="13"/>
  <c r="C16" i="13"/>
  <c r="D16" i="13"/>
  <c r="E16" i="13"/>
  <c r="F16" i="13"/>
  <c r="G16" i="13"/>
  <c r="H16" i="13"/>
  <c r="I16" i="13"/>
  <c r="J16" i="13"/>
  <c r="K16" i="13"/>
  <c r="L16" i="13"/>
  <c r="M16" i="13"/>
  <c r="N16" i="13"/>
  <c r="O16" i="13"/>
  <c r="P16" i="13"/>
  <c r="Q16" i="13"/>
  <c r="R16" i="13"/>
  <c r="S16" i="13"/>
  <c r="T16" i="13"/>
  <c r="U16" i="13"/>
  <c r="V16" i="13"/>
  <c r="W16" i="13"/>
  <c r="X16" i="13"/>
  <c r="Y16" i="13"/>
  <c r="AE16" i="13" s="1"/>
  <c r="B17" i="13"/>
  <c r="C17" i="13"/>
  <c r="D17" i="13"/>
  <c r="E17" i="13"/>
  <c r="F17" i="13"/>
  <c r="G17" i="13"/>
  <c r="H17" i="13"/>
  <c r="I17" i="13"/>
  <c r="J17" i="13"/>
  <c r="K17" i="13"/>
  <c r="L17" i="13"/>
  <c r="M17" i="13"/>
  <c r="N17" i="13"/>
  <c r="O17" i="13"/>
  <c r="P17" i="13"/>
  <c r="Q17" i="13"/>
  <c r="R17" i="13"/>
  <c r="S17" i="13"/>
  <c r="T17" i="13"/>
  <c r="U17" i="13"/>
  <c r="V17" i="13"/>
  <c r="W17" i="13"/>
  <c r="X17" i="13"/>
  <c r="Y17" i="13"/>
  <c r="AE17" i="13" s="1"/>
  <c r="B18" i="13"/>
  <c r="C18" i="13"/>
  <c r="D18" i="13"/>
  <c r="E18" i="13"/>
  <c r="F18" i="13"/>
  <c r="G18" i="13"/>
  <c r="H18" i="13"/>
  <c r="I18" i="13"/>
  <c r="J18" i="13"/>
  <c r="K18" i="13"/>
  <c r="L18" i="13"/>
  <c r="M18" i="13"/>
  <c r="N18" i="13"/>
  <c r="O18" i="13"/>
  <c r="P18" i="13"/>
  <c r="Q18" i="13"/>
  <c r="R18" i="13"/>
  <c r="S18" i="13"/>
  <c r="T18" i="13"/>
  <c r="U18" i="13"/>
  <c r="V18" i="13"/>
  <c r="W18" i="13"/>
  <c r="X18" i="13"/>
  <c r="Y18" i="13"/>
  <c r="AE18" i="13" s="1"/>
  <c r="B19" i="13"/>
  <c r="C19" i="13"/>
  <c r="D19" i="13"/>
  <c r="E19" i="13"/>
  <c r="F19" i="13"/>
  <c r="G19" i="13"/>
  <c r="H19" i="13"/>
  <c r="I19" i="13"/>
  <c r="J19" i="13"/>
  <c r="K19" i="13"/>
  <c r="L19" i="13"/>
  <c r="M19" i="13"/>
  <c r="N19" i="13"/>
  <c r="O19" i="13"/>
  <c r="P19" i="13"/>
  <c r="Q19" i="13"/>
  <c r="R19" i="13"/>
  <c r="S19" i="13"/>
  <c r="T19" i="13"/>
  <c r="U19" i="13"/>
  <c r="V19" i="13"/>
  <c r="W19" i="13"/>
  <c r="X19" i="13"/>
  <c r="Y19" i="13"/>
  <c r="AE19" i="13" s="1"/>
  <c r="B20" i="13"/>
  <c r="C20" i="13"/>
  <c r="D20" i="13"/>
  <c r="E20" i="13"/>
  <c r="F20" i="13"/>
  <c r="G20" i="13"/>
  <c r="H20" i="13"/>
  <c r="I20" i="13"/>
  <c r="J20" i="13"/>
  <c r="K20" i="13"/>
  <c r="L20" i="13"/>
  <c r="M20" i="13"/>
  <c r="N20" i="13"/>
  <c r="O20" i="13"/>
  <c r="P20" i="13"/>
  <c r="Q20" i="13"/>
  <c r="R20" i="13"/>
  <c r="S20" i="13"/>
  <c r="T20" i="13"/>
  <c r="U20" i="13"/>
  <c r="V20" i="13"/>
  <c r="W20" i="13"/>
  <c r="X20" i="13"/>
  <c r="Y20" i="13"/>
  <c r="AE20" i="13" s="1"/>
  <c r="B21" i="13"/>
  <c r="C21" i="13"/>
  <c r="D21" i="13"/>
  <c r="E21" i="13"/>
  <c r="F21" i="13"/>
  <c r="G21" i="13"/>
  <c r="H21" i="13"/>
  <c r="I21" i="13"/>
  <c r="J21" i="13"/>
  <c r="K21" i="13"/>
  <c r="L21" i="13"/>
  <c r="M21" i="13"/>
  <c r="N21" i="13"/>
  <c r="O21" i="13"/>
  <c r="P21" i="13"/>
  <c r="Q21" i="13"/>
  <c r="R21" i="13"/>
  <c r="S21" i="13"/>
  <c r="T21" i="13"/>
  <c r="U21" i="13"/>
  <c r="V21" i="13"/>
  <c r="W21" i="13"/>
  <c r="X21" i="13"/>
  <c r="Y21" i="13"/>
  <c r="AE21" i="13" s="1"/>
  <c r="C14" i="13"/>
  <c r="D14" i="13"/>
  <c r="E14" i="13"/>
  <c r="F14" i="13"/>
  <c r="G14" i="13"/>
  <c r="H14" i="13"/>
  <c r="I14" i="13"/>
  <c r="J14" i="13"/>
  <c r="K14" i="13"/>
  <c r="L14" i="13"/>
  <c r="M14" i="13"/>
  <c r="N14" i="13"/>
  <c r="O14" i="13"/>
  <c r="P14" i="13"/>
  <c r="Q14" i="13"/>
  <c r="R14" i="13"/>
  <c r="S14" i="13"/>
  <c r="T14" i="13"/>
  <c r="U14" i="13"/>
  <c r="V14" i="13"/>
  <c r="W14" i="13"/>
  <c r="X14" i="13"/>
  <c r="Y14" i="13"/>
  <c r="AE14" i="13" s="1"/>
  <c r="B14" i="13"/>
  <c r="Y62" i="13"/>
  <c r="X62" i="13"/>
  <c r="W62" i="13"/>
  <c r="V62" i="13"/>
  <c r="U62" i="13"/>
  <c r="T62" i="13"/>
  <c r="S62" i="13"/>
  <c r="R62" i="13"/>
  <c r="Q62" i="13"/>
  <c r="P62" i="13"/>
  <c r="O62" i="13"/>
  <c r="N62" i="13"/>
  <c r="M62" i="13"/>
  <c r="L62" i="13"/>
  <c r="K62" i="13"/>
  <c r="J62" i="13"/>
  <c r="I62" i="13"/>
  <c r="H62" i="13"/>
  <c r="G62" i="13"/>
  <c r="F62" i="13"/>
  <c r="E62" i="13"/>
  <c r="D62" i="13"/>
  <c r="C62" i="13"/>
  <c r="Y60" i="13"/>
  <c r="X60" i="13"/>
  <c r="W60" i="13"/>
  <c r="V60" i="13"/>
  <c r="U60" i="13"/>
  <c r="T60" i="13"/>
  <c r="S60" i="13"/>
  <c r="R60" i="13"/>
  <c r="Q60" i="13"/>
  <c r="P60" i="13"/>
  <c r="O60" i="13"/>
  <c r="N60" i="13"/>
  <c r="M60" i="13"/>
  <c r="L60" i="13"/>
  <c r="K60" i="13"/>
  <c r="J60" i="13"/>
  <c r="I60" i="13"/>
  <c r="H60" i="13"/>
  <c r="G60" i="13"/>
  <c r="F60" i="13"/>
  <c r="E60" i="13"/>
  <c r="D60" i="13"/>
  <c r="C60" i="13"/>
  <c r="B60" i="13"/>
  <c r="Y58" i="13"/>
  <c r="X58" i="13"/>
  <c r="W58" i="13"/>
  <c r="V58" i="13"/>
  <c r="U58" i="13"/>
  <c r="T58" i="13"/>
  <c r="S58" i="13"/>
  <c r="R58" i="13"/>
  <c r="Q58" i="13"/>
  <c r="P58" i="13"/>
  <c r="O58" i="13"/>
  <c r="N58" i="13"/>
  <c r="M58" i="13"/>
  <c r="L58" i="13"/>
  <c r="K58" i="13"/>
  <c r="J58" i="13"/>
  <c r="I58" i="13"/>
  <c r="H58" i="13"/>
  <c r="G58" i="13"/>
  <c r="F58" i="13"/>
  <c r="E58" i="13"/>
  <c r="D58" i="13"/>
  <c r="C58" i="13"/>
  <c r="Y56" i="13"/>
  <c r="X56" i="13"/>
  <c r="W56" i="13"/>
  <c r="V56" i="13"/>
  <c r="U56" i="13"/>
  <c r="T56" i="13"/>
  <c r="S56" i="13"/>
  <c r="R56" i="13"/>
  <c r="Q56" i="13"/>
  <c r="P56" i="13"/>
  <c r="O56" i="13"/>
  <c r="N56" i="13"/>
  <c r="M56" i="13"/>
  <c r="L56" i="13"/>
  <c r="K56" i="13"/>
  <c r="J56" i="13"/>
  <c r="I56" i="13"/>
  <c r="H56" i="13"/>
  <c r="G56" i="13"/>
  <c r="F56" i="13"/>
  <c r="E56" i="13"/>
  <c r="D56" i="13"/>
  <c r="C56" i="13"/>
  <c r="AE111" i="16" l="1"/>
  <c r="Y29" i="16"/>
  <c r="AC35" i="16"/>
  <c r="AE37" i="16"/>
  <c r="H79" i="16"/>
  <c r="P79" i="16"/>
  <c r="Z62" i="16"/>
  <c r="AC37" i="16"/>
  <c r="AE35" i="16"/>
  <c r="I79" i="16"/>
  <c r="Q79" i="16"/>
  <c r="Z61" i="16"/>
  <c r="Z74" i="16"/>
  <c r="AC33" i="16"/>
  <c r="AE33" i="16"/>
  <c r="J79" i="16"/>
  <c r="Z60" i="16"/>
  <c r="Z76" i="16"/>
  <c r="G79" i="16"/>
  <c r="K79" i="16"/>
  <c r="Z78" i="16"/>
  <c r="AD37" i="16"/>
  <c r="L79" i="16"/>
  <c r="T79" i="16"/>
  <c r="Z67" i="16"/>
  <c r="AD35" i="16"/>
  <c r="U79" i="16"/>
  <c r="Z59" i="16"/>
  <c r="R171" i="16"/>
  <c r="O79" i="16"/>
  <c r="AD33" i="16"/>
  <c r="F79" i="16"/>
  <c r="N79" i="16"/>
  <c r="V79" i="16"/>
  <c r="Z64" i="16"/>
  <c r="Z70" i="16"/>
  <c r="F172" i="16"/>
  <c r="D172" i="16"/>
  <c r="J171" i="16"/>
  <c r="B172" i="16"/>
  <c r="T172" i="16"/>
  <c r="O172" i="16"/>
  <c r="J172" i="16"/>
  <c r="X172" i="16"/>
  <c r="S172" i="16"/>
  <c r="N172" i="16"/>
  <c r="H172" i="16"/>
  <c r="C172" i="16"/>
  <c r="Z95" i="16"/>
  <c r="L125" i="16" s="1"/>
  <c r="W172" i="16"/>
  <c r="R172" i="16"/>
  <c r="L172" i="16"/>
  <c r="G172" i="16"/>
  <c r="AE119" i="16"/>
  <c r="Z107" i="16"/>
  <c r="V127" i="16" s="1"/>
  <c r="B171" i="16"/>
  <c r="V172" i="16"/>
  <c r="P172" i="16"/>
  <c r="K172" i="16"/>
  <c r="AF144" i="16"/>
  <c r="AF146" i="16"/>
  <c r="AE105" i="15"/>
  <c r="AD57" i="15"/>
  <c r="AE82" i="15"/>
  <c r="AD93" i="15"/>
  <c r="AC98" i="15"/>
  <c r="AD100" i="15"/>
  <c r="AE59" i="14"/>
  <c r="AE65" i="14"/>
  <c r="AE57" i="14"/>
  <c r="AD122" i="14"/>
  <c r="AE56" i="13"/>
  <c r="AE133" i="13"/>
  <c r="AE135" i="13"/>
  <c r="AE137" i="13"/>
  <c r="AE139" i="13"/>
  <c r="AE58" i="13"/>
  <c r="AE60" i="13"/>
  <c r="AE62" i="13"/>
  <c r="AE37" i="15"/>
  <c r="AE42" i="15"/>
  <c r="AE26" i="15"/>
  <c r="AE35" i="15"/>
  <c r="AE52" i="15"/>
  <c r="AD115" i="14"/>
  <c r="AD120" i="14"/>
  <c r="AD124" i="14"/>
  <c r="AD132" i="14"/>
  <c r="AD105" i="14"/>
  <c r="AD107" i="14"/>
  <c r="AD109" i="14"/>
  <c r="AD110" i="14"/>
  <c r="AD112" i="14"/>
  <c r="AE157" i="15"/>
  <c r="AD17" i="14"/>
  <c r="AC23" i="14"/>
  <c r="AC28" i="14"/>
  <c r="AC32" i="14"/>
  <c r="AC33" i="14"/>
  <c r="AD49" i="14"/>
  <c r="AD60" i="14"/>
  <c r="AC62" i="14"/>
  <c r="AD97" i="14"/>
  <c r="AD96" i="14"/>
  <c r="AD95" i="14"/>
  <c r="AD93" i="14"/>
  <c r="AC109" i="14"/>
  <c r="AF109" i="14" s="1"/>
  <c r="AD118" i="14"/>
  <c r="AD127" i="14"/>
  <c r="AD125" i="14"/>
  <c r="AC137" i="14"/>
  <c r="AD133" i="14"/>
  <c r="AD135" i="14"/>
  <c r="AD139" i="14"/>
  <c r="AC44" i="14"/>
  <c r="AD52" i="14"/>
  <c r="AC95" i="14"/>
  <c r="AC123" i="14"/>
  <c r="AD46" i="15"/>
  <c r="AC20" i="14"/>
  <c r="AC16" i="14"/>
  <c r="AC39" i="14"/>
  <c r="AD45" i="14"/>
  <c r="AD99" i="14"/>
  <c r="AC101" i="14"/>
  <c r="AC112" i="14"/>
  <c r="AC128" i="14"/>
  <c r="AC139" i="14"/>
  <c r="AE150" i="15"/>
  <c r="AE152" i="15"/>
  <c r="AE167" i="15"/>
  <c r="AE141" i="15"/>
  <c r="AE220" i="15"/>
  <c r="AC46" i="15"/>
  <c r="AC28" i="15"/>
  <c r="AD41" i="15"/>
  <c r="AD38" i="14"/>
  <c r="AC107" i="14"/>
  <c r="AF107" i="14" s="1"/>
  <c r="AD21" i="14"/>
  <c r="AD40" i="14"/>
  <c r="AD57" i="14"/>
  <c r="AC117" i="14"/>
  <c r="AD117" i="14"/>
  <c r="AC133" i="14"/>
  <c r="AF133" i="14" s="1"/>
  <c r="AG133" i="14" s="1"/>
  <c r="AD33" i="14"/>
  <c r="AC129" i="14"/>
  <c r="AD129" i="14"/>
  <c r="AC102" i="14"/>
  <c r="AD102" i="14"/>
  <c r="AC105" i="14"/>
  <c r="AC106" i="14"/>
  <c r="AD14" i="14"/>
  <c r="AC48" i="14"/>
  <c r="AD55" i="14"/>
  <c r="AD101" i="14"/>
  <c r="AC115" i="14"/>
  <c r="AC65" i="14"/>
  <c r="AC60" i="14"/>
  <c r="AD24" i="14"/>
  <c r="AD106" i="14"/>
  <c r="AD114" i="14"/>
  <c r="AC52" i="14"/>
  <c r="AC116" i="14"/>
  <c r="AD116" i="14"/>
  <c r="AC132" i="14"/>
  <c r="AC104" i="15"/>
  <c r="AD104" i="15"/>
  <c r="AF154" i="15"/>
  <c r="AG154" i="15" s="1"/>
  <c r="AE169" i="15"/>
  <c r="AF171" i="15"/>
  <c r="AG171" i="15" s="1"/>
  <c r="S228" i="15"/>
  <c r="AC14" i="15"/>
  <c r="AC21" i="15"/>
  <c r="AD24" i="15"/>
  <c r="AD31" i="15"/>
  <c r="AD36" i="15"/>
  <c r="AC38" i="15"/>
  <c r="AD39" i="15"/>
  <c r="V173" i="15"/>
  <c r="F173" i="15"/>
  <c r="L228" i="15"/>
  <c r="AC25" i="15"/>
  <c r="AC40" i="15"/>
  <c r="D228" i="15"/>
  <c r="AD14" i="15"/>
  <c r="AD18" i="15"/>
  <c r="AD40" i="15"/>
  <c r="AD49" i="15"/>
  <c r="AD92" i="15"/>
  <c r="AD94" i="15"/>
  <c r="AC97" i="15"/>
  <c r="AD97" i="15"/>
  <c r="AD102" i="15"/>
  <c r="AF140" i="15"/>
  <c r="AG140" i="15" s="1"/>
  <c r="Q224" i="15"/>
  <c r="AD48" i="15"/>
  <c r="AD55" i="15"/>
  <c r="AD90" i="15"/>
  <c r="AD95" i="15"/>
  <c r="AD101" i="15"/>
  <c r="Z199" i="15"/>
  <c r="F229" i="15" s="1"/>
  <c r="AC36" i="15"/>
  <c r="AC56" i="15"/>
  <c r="AC86" i="15"/>
  <c r="AC102" i="15"/>
  <c r="AF216" i="15"/>
  <c r="X228" i="15"/>
  <c r="AD23" i="15"/>
  <c r="AC47" i="15"/>
  <c r="AD47" i="15"/>
  <c r="AC83" i="15"/>
  <c r="AC100" i="15"/>
  <c r="Y13" i="15"/>
  <c r="U13" i="15"/>
  <c r="Q13" i="15"/>
  <c r="M13" i="15"/>
  <c r="I13" i="15"/>
  <c r="E13" i="15"/>
  <c r="AC128" i="15"/>
  <c r="AE131" i="15"/>
  <c r="Y16" i="15"/>
  <c r="Q16" i="15"/>
  <c r="M16" i="15"/>
  <c r="I16" i="15"/>
  <c r="AC131" i="15"/>
  <c r="E16" i="15"/>
  <c r="Z15" i="15"/>
  <c r="Z27" i="15"/>
  <c r="Z34" i="15"/>
  <c r="Z43" i="15"/>
  <c r="Z48" i="15"/>
  <c r="AE135" i="15"/>
  <c r="Y20" i="15"/>
  <c r="U20" i="15"/>
  <c r="Q20" i="15"/>
  <c r="M20" i="15"/>
  <c r="I20" i="15"/>
  <c r="E20" i="15"/>
  <c r="AC135" i="15"/>
  <c r="Y22" i="15"/>
  <c r="AE137" i="15"/>
  <c r="U22" i="15"/>
  <c r="Q22" i="15"/>
  <c r="M22" i="15"/>
  <c r="I22" i="15"/>
  <c r="E22" i="15"/>
  <c r="B26" i="15"/>
  <c r="AD141" i="15"/>
  <c r="V26" i="15"/>
  <c r="R26" i="15"/>
  <c r="N26" i="15"/>
  <c r="J26" i="15"/>
  <c r="Z141" i="15"/>
  <c r="R181" i="15" s="1"/>
  <c r="F26" i="15"/>
  <c r="B30" i="15"/>
  <c r="V30" i="15"/>
  <c r="AD145" i="15"/>
  <c r="R30" i="15"/>
  <c r="N30" i="15"/>
  <c r="J30" i="15"/>
  <c r="F30" i="15"/>
  <c r="AC150" i="15"/>
  <c r="B35" i="15"/>
  <c r="Z150" i="15"/>
  <c r="N183" i="15" s="1"/>
  <c r="V35" i="15"/>
  <c r="AD150" i="15"/>
  <c r="R35" i="15"/>
  <c r="N35" i="15"/>
  <c r="J35" i="15"/>
  <c r="F35" i="15"/>
  <c r="N37" i="15"/>
  <c r="J37" i="15"/>
  <c r="F37" i="15"/>
  <c r="B42" i="15"/>
  <c r="U42" i="15"/>
  <c r="Q42" i="15"/>
  <c r="M42" i="15"/>
  <c r="I42" i="15"/>
  <c r="E42" i="15"/>
  <c r="B45" i="15"/>
  <c r="AD160" i="15"/>
  <c r="V45" i="15"/>
  <c r="R45" i="15"/>
  <c r="N45" i="15"/>
  <c r="J45" i="15"/>
  <c r="F45" i="15"/>
  <c r="B50" i="15"/>
  <c r="W50" i="15"/>
  <c r="S50" i="15"/>
  <c r="O50" i="15"/>
  <c r="K50" i="15"/>
  <c r="G50" i="15"/>
  <c r="C50" i="15"/>
  <c r="AD167" i="15"/>
  <c r="V52" i="15"/>
  <c r="R52" i="15"/>
  <c r="N52" i="15"/>
  <c r="J52" i="15"/>
  <c r="F52" i="15"/>
  <c r="U54" i="15"/>
  <c r="U173" i="15"/>
  <c r="Q54" i="15"/>
  <c r="Q173" i="15"/>
  <c r="M54" i="15"/>
  <c r="M173" i="15"/>
  <c r="I54" i="15"/>
  <c r="I173" i="15"/>
  <c r="E54" i="15"/>
  <c r="E173" i="15"/>
  <c r="B173" i="15"/>
  <c r="J173" i="15"/>
  <c r="AE128" i="15"/>
  <c r="R173" i="15"/>
  <c r="Z131" i="15"/>
  <c r="T178" i="15" s="1"/>
  <c r="N173" i="15"/>
  <c r="Z100" i="15"/>
  <c r="AF172" i="15"/>
  <c r="AG172" i="15" s="1"/>
  <c r="AD128" i="15"/>
  <c r="V13" i="15"/>
  <c r="R13" i="15"/>
  <c r="N13" i="15"/>
  <c r="J13" i="15"/>
  <c r="F13" i="15"/>
  <c r="AD131" i="15"/>
  <c r="V16" i="15"/>
  <c r="AD135" i="15"/>
  <c r="V20" i="15"/>
  <c r="R20" i="15"/>
  <c r="N20" i="15"/>
  <c r="J20" i="15"/>
  <c r="F20" i="15"/>
  <c r="AD137" i="15"/>
  <c r="V22" i="15"/>
  <c r="R22" i="15"/>
  <c r="N22" i="15"/>
  <c r="J22" i="15"/>
  <c r="AC137" i="15"/>
  <c r="F22" i="15"/>
  <c r="Z128" i="15"/>
  <c r="R177" i="15" s="1"/>
  <c r="W26" i="15"/>
  <c r="S26" i="15"/>
  <c r="O26" i="15"/>
  <c r="K26" i="15"/>
  <c r="G26" i="15"/>
  <c r="C26" i="15"/>
  <c r="W37" i="15"/>
  <c r="O37" i="15"/>
  <c r="K37" i="15"/>
  <c r="G37" i="15"/>
  <c r="Z152" i="15"/>
  <c r="R184" i="15" s="1"/>
  <c r="AD157" i="15"/>
  <c r="V42" i="15"/>
  <c r="AC157" i="15"/>
  <c r="F42" i="15"/>
  <c r="Z167" i="15"/>
  <c r="V188" i="15" s="1"/>
  <c r="C52" i="15"/>
  <c r="AD169" i="15"/>
  <c r="V54" i="15"/>
  <c r="Z169" i="15"/>
  <c r="U189" i="15" s="1"/>
  <c r="W173" i="15"/>
  <c r="S173" i="15"/>
  <c r="O173" i="15"/>
  <c r="K173" i="15"/>
  <c r="G173" i="15"/>
  <c r="C173" i="15"/>
  <c r="Y88" i="15"/>
  <c r="AE203" i="15"/>
  <c r="Q88" i="15"/>
  <c r="M88" i="15"/>
  <c r="I88" i="15"/>
  <c r="Y91" i="15"/>
  <c r="AE206" i="15"/>
  <c r="I91" i="15"/>
  <c r="Z206" i="15"/>
  <c r="U231" i="15" s="1"/>
  <c r="E91" i="15"/>
  <c r="AE211" i="15"/>
  <c r="Y96" i="15"/>
  <c r="Y99" i="15"/>
  <c r="U99" i="15"/>
  <c r="Q99" i="15"/>
  <c r="M99" i="15"/>
  <c r="I99" i="15"/>
  <c r="E99" i="15"/>
  <c r="AE218" i="15"/>
  <c r="Y103" i="15"/>
  <c r="U103" i="15"/>
  <c r="Q103" i="15"/>
  <c r="M103" i="15"/>
  <c r="I103" i="15"/>
  <c r="Z218" i="15"/>
  <c r="U234" i="15" s="1"/>
  <c r="E103" i="15"/>
  <c r="C105" i="15"/>
  <c r="G105" i="15"/>
  <c r="K105" i="15"/>
  <c r="O105" i="15"/>
  <c r="S105" i="15"/>
  <c r="W105" i="15"/>
  <c r="C107" i="15"/>
  <c r="C224" i="15"/>
  <c r="G107" i="15"/>
  <c r="G224" i="15"/>
  <c r="K107" i="15"/>
  <c r="K224" i="15"/>
  <c r="O107" i="15"/>
  <c r="O224" i="15"/>
  <c r="S107" i="15"/>
  <c r="S224" i="15"/>
  <c r="W107" i="15"/>
  <c r="W224" i="15"/>
  <c r="AD222" i="15"/>
  <c r="U224" i="15"/>
  <c r="E224" i="15"/>
  <c r="T84" i="15"/>
  <c r="H84" i="15"/>
  <c r="Z108" i="15"/>
  <c r="AF151" i="15"/>
  <c r="AG151" i="15" s="1"/>
  <c r="AF166" i="15"/>
  <c r="AG166" i="15" s="1"/>
  <c r="AF168" i="15"/>
  <c r="AG168" i="15" s="1"/>
  <c r="X13" i="15"/>
  <c r="T13" i="15"/>
  <c r="P13" i="15"/>
  <c r="L13" i="15"/>
  <c r="H13" i="15"/>
  <c r="D13" i="15"/>
  <c r="X16" i="15"/>
  <c r="P16" i="15"/>
  <c r="L16" i="15"/>
  <c r="H16" i="15"/>
  <c r="D16" i="15"/>
  <c r="X20" i="15"/>
  <c r="T20" i="15"/>
  <c r="P20" i="15"/>
  <c r="H20" i="15"/>
  <c r="D20" i="15"/>
  <c r="Z135" i="15"/>
  <c r="X179" i="15" s="1"/>
  <c r="Y30" i="15"/>
  <c r="U30" i="15"/>
  <c r="M30" i="15"/>
  <c r="I30" i="15"/>
  <c r="E30" i="15"/>
  <c r="X42" i="15"/>
  <c r="T42" i="15"/>
  <c r="P42" i="15"/>
  <c r="L42" i="15"/>
  <c r="H42" i="15"/>
  <c r="D42" i="15"/>
  <c r="Y45" i="15"/>
  <c r="U45" i="15"/>
  <c r="M45" i="15"/>
  <c r="I45" i="15"/>
  <c r="E45" i="15"/>
  <c r="N50" i="15"/>
  <c r="J50" i="15"/>
  <c r="AC165" i="15"/>
  <c r="F50" i="15"/>
  <c r="Y173" i="15"/>
  <c r="M224" i="15"/>
  <c r="F54" i="15"/>
  <c r="X84" i="15"/>
  <c r="P84" i="15"/>
  <c r="D84" i="15"/>
  <c r="Z90" i="15"/>
  <c r="AF147" i="15"/>
  <c r="AG147" i="15" s="1"/>
  <c r="AF156" i="15"/>
  <c r="AG156" i="15" s="1"/>
  <c r="AF164" i="15"/>
  <c r="AG164" i="15" s="1"/>
  <c r="W13" i="15"/>
  <c r="S13" i="15"/>
  <c r="K13" i="15"/>
  <c r="G13" i="15"/>
  <c r="C13" i="15"/>
  <c r="W16" i="15"/>
  <c r="S16" i="15"/>
  <c r="O16" i="15"/>
  <c r="K16" i="15"/>
  <c r="G16" i="15"/>
  <c r="C16" i="15"/>
  <c r="W22" i="15"/>
  <c r="O22" i="15"/>
  <c r="K22" i="15"/>
  <c r="G22" i="15"/>
  <c r="Z137" i="15"/>
  <c r="X26" i="15"/>
  <c r="T26" i="15"/>
  <c r="P26" i="15"/>
  <c r="L26" i="15"/>
  <c r="H26" i="15"/>
  <c r="D26" i="15"/>
  <c r="H30" i="15"/>
  <c r="D30" i="15"/>
  <c r="AE165" i="15"/>
  <c r="Y50" i="15"/>
  <c r="AD165" i="15"/>
  <c r="U50" i="15"/>
  <c r="Z165" i="15"/>
  <c r="I187" i="15" s="1"/>
  <c r="E50" i="15"/>
  <c r="AC169" i="15"/>
  <c r="C54" i="15"/>
  <c r="X173" i="15"/>
  <c r="T173" i="15"/>
  <c r="P173" i="15"/>
  <c r="L173" i="15"/>
  <c r="H173" i="15"/>
  <c r="D173" i="15"/>
  <c r="Y224" i="15"/>
  <c r="AE224" i="15" s="1"/>
  <c r="I224" i="15"/>
  <c r="L20" i="15"/>
  <c r="AF210" i="15"/>
  <c r="AG210" i="15" s="1"/>
  <c r="AF219" i="15"/>
  <c r="AG219" i="15" s="1"/>
  <c r="AF223" i="15"/>
  <c r="AG223" i="15" s="1"/>
  <c r="AE199" i="15"/>
  <c r="Y84" i="15"/>
  <c r="AD203" i="15"/>
  <c r="V88" i="15"/>
  <c r="AC203" i="15"/>
  <c r="F88" i="15"/>
  <c r="AC206" i="15"/>
  <c r="AD211" i="15"/>
  <c r="V96" i="15"/>
  <c r="Z211" i="15"/>
  <c r="F96" i="15"/>
  <c r="AD214" i="15"/>
  <c r="V99" i="15"/>
  <c r="AC214" i="15"/>
  <c r="J99" i="15"/>
  <c r="AD218" i="15"/>
  <c r="V103" i="15"/>
  <c r="AC218" i="15"/>
  <c r="F103" i="15"/>
  <c r="Z220" i="15"/>
  <c r="K235" i="15" s="1"/>
  <c r="B105" i="15"/>
  <c r="AC220" i="15"/>
  <c r="R105" i="15"/>
  <c r="AD220" i="15"/>
  <c r="V105" i="15"/>
  <c r="AC222" i="15"/>
  <c r="B107" i="15"/>
  <c r="B224" i="15"/>
  <c r="V224" i="15"/>
  <c r="R224" i="15"/>
  <c r="N224" i="15"/>
  <c r="J224" i="15"/>
  <c r="F224" i="15"/>
  <c r="B228" i="15"/>
  <c r="Y228" i="15"/>
  <c r="T228" i="15"/>
  <c r="M228" i="15"/>
  <c r="E228" i="15"/>
  <c r="T99" i="15"/>
  <c r="AF202" i="15"/>
  <c r="AG202" i="15" s="1"/>
  <c r="AF215" i="15"/>
  <c r="W84" i="15"/>
  <c r="S84" i="15"/>
  <c r="O84" i="15"/>
  <c r="K84" i="15"/>
  <c r="G84" i="15"/>
  <c r="C84" i="15"/>
  <c r="Z203" i="15"/>
  <c r="C230" i="15" s="1"/>
  <c r="X88" i="15"/>
  <c r="T88" i="15"/>
  <c r="P88" i="15"/>
  <c r="L88" i="15"/>
  <c r="H88" i="15"/>
  <c r="D88" i="15"/>
  <c r="X224" i="15"/>
  <c r="T224" i="15"/>
  <c r="P224" i="15"/>
  <c r="L224" i="15"/>
  <c r="H224" i="15"/>
  <c r="D224" i="15"/>
  <c r="W228" i="15"/>
  <c r="Q228" i="15"/>
  <c r="AF212" i="15"/>
  <c r="AG212" i="15" s="1"/>
  <c r="AD199" i="15"/>
  <c r="V84" i="15"/>
  <c r="AC199" i="15"/>
  <c r="F84" i="15"/>
  <c r="Z82" i="15"/>
  <c r="X113" i="15" s="1"/>
  <c r="F228" i="15"/>
  <c r="J228" i="15"/>
  <c r="N228" i="15"/>
  <c r="R228" i="15"/>
  <c r="V228" i="15"/>
  <c r="C228" i="15"/>
  <c r="G228" i="15"/>
  <c r="K228" i="15"/>
  <c r="O228" i="15"/>
  <c r="AE222" i="15"/>
  <c r="Y107" i="15"/>
  <c r="U228" i="15"/>
  <c r="P228" i="15"/>
  <c r="H228" i="15"/>
  <c r="F91" i="15"/>
  <c r="AC41" i="15"/>
  <c r="AC39" i="15"/>
  <c r="AF39" i="15" s="1"/>
  <c r="AG39" i="15" s="1"/>
  <c r="AC18" i="15"/>
  <c r="AD15" i="15"/>
  <c r="AC19" i="15"/>
  <c r="AD21" i="15"/>
  <c r="AD25" i="15"/>
  <c r="AC27" i="15"/>
  <c r="AD27" i="15"/>
  <c r="AD28" i="15"/>
  <c r="AC29" i="15"/>
  <c r="AD29" i="15"/>
  <c r="AC31" i="15"/>
  <c r="AD32" i="15"/>
  <c r="AD34" i="15"/>
  <c r="AC34" i="15"/>
  <c r="AC49" i="15"/>
  <c r="AC53" i="15"/>
  <c r="AD53" i="15"/>
  <c r="AC15" i="15"/>
  <c r="AF15" i="15" s="1"/>
  <c r="AG15" i="15" s="1"/>
  <c r="AC17" i="15"/>
  <c r="AD19" i="15"/>
  <c r="AD38" i="15"/>
  <c r="AC57" i="15"/>
  <c r="AC82" i="15"/>
  <c r="AD17" i="15"/>
  <c r="AC23" i="15"/>
  <c r="AC24" i="15"/>
  <c r="AC32" i="15"/>
  <c r="AC33" i="15"/>
  <c r="AD33" i="15"/>
  <c r="AC48" i="15"/>
  <c r="AC43" i="15"/>
  <c r="AD43" i="15"/>
  <c r="AC44" i="15"/>
  <c r="AD44" i="15"/>
  <c r="AC55" i="15"/>
  <c r="AD56" i="15"/>
  <c r="AC51" i="15"/>
  <c r="AD51" i="15"/>
  <c r="AC85" i="15"/>
  <c r="AD85" i="15"/>
  <c r="AD86" i="15"/>
  <c r="AC90" i="15"/>
  <c r="AC92" i="15"/>
  <c r="AC95" i="15"/>
  <c r="AC101" i="15"/>
  <c r="AC108" i="15"/>
  <c r="AD108" i="15"/>
  <c r="AC87" i="15"/>
  <c r="AD87" i="15"/>
  <c r="AC89" i="15"/>
  <c r="AC93" i="15"/>
  <c r="AD98" i="15"/>
  <c r="AF98" i="15" s="1"/>
  <c r="AG98" i="15" s="1"/>
  <c r="AD82" i="15"/>
  <c r="AD83" i="15"/>
  <c r="AD89" i="15"/>
  <c r="AC94" i="15"/>
  <c r="AF94" i="15" s="1"/>
  <c r="AG94" i="15" s="1"/>
  <c r="AC106" i="15"/>
  <c r="AD106" i="15"/>
  <c r="AC40" i="14"/>
  <c r="AC25" i="14"/>
  <c r="AD23" i="14"/>
  <c r="AC14" i="14"/>
  <c r="AC21" i="14"/>
  <c r="AD19" i="14"/>
  <c r="AD18" i="14"/>
  <c r="AC18" i="14"/>
  <c r="AC17" i="14"/>
  <c r="AD16" i="14"/>
  <c r="AD15" i="14"/>
  <c r="AC15" i="14"/>
  <c r="AC42" i="14"/>
  <c r="AD42" i="14"/>
  <c r="AC43" i="14"/>
  <c r="AD43" i="14"/>
  <c r="AD44" i="14"/>
  <c r="AC45" i="14"/>
  <c r="AF45" i="14" s="1"/>
  <c r="AG45" i="14" s="1"/>
  <c r="AC46" i="14"/>
  <c r="AD46" i="14"/>
  <c r="AC31" i="14"/>
  <c r="AD31" i="14"/>
  <c r="AD32" i="14"/>
  <c r="AD59" i="14"/>
  <c r="AD20" i="14"/>
  <c r="AC19" i="14"/>
  <c r="AC27" i="14"/>
  <c r="AD27" i="14"/>
  <c r="AD28" i="14"/>
  <c r="AD34" i="14"/>
  <c r="AC34" i="14"/>
  <c r="AD36" i="14"/>
  <c r="AD37" i="14"/>
  <c r="AC38" i="14"/>
  <c r="AD39" i="14"/>
  <c r="AC53" i="14"/>
  <c r="AD53" i="14"/>
  <c r="AC55" i="14"/>
  <c r="AD62" i="14"/>
  <c r="AC56" i="14"/>
  <c r="AD56" i="14"/>
  <c r="AC64" i="14"/>
  <c r="AD64" i="14"/>
  <c r="AD50" i="14"/>
  <c r="AC50" i="14"/>
  <c r="AC49" i="14"/>
  <c r="AD48" i="14"/>
  <c r="AD47" i="14"/>
  <c r="AC47" i="14"/>
  <c r="AC58" i="14"/>
  <c r="AD58" i="14"/>
  <c r="AC66" i="14"/>
  <c r="AD66" i="14"/>
  <c r="AC118" i="14"/>
  <c r="AC130" i="14"/>
  <c r="AD130" i="14"/>
  <c r="AC141" i="14"/>
  <c r="AD141" i="14"/>
  <c r="AC99" i="14"/>
  <c r="AD98" i="14"/>
  <c r="AC98" i="14"/>
  <c r="AC97" i="14"/>
  <c r="AC96" i="14"/>
  <c r="AD94" i="14"/>
  <c r="AC94" i="14"/>
  <c r="AC93" i="14"/>
  <c r="AC120" i="14"/>
  <c r="AC121" i="14"/>
  <c r="AD121" i="14"/>
  <c r="AC122" i="14"/>
  <c r="AD123" i="14"/>
  <c r="AC124" i="14"/>
  <c r="AD128" i="14"/>
  <c r="AC127" i="14"/>
  <c r="AC135" i="14"/>
  <c r="AC92" i="14"/>
  <c r="AD92" i="14"/>
  <c r="AC110" i="14"/>
  <c r="AC111" i="14"/>
  <c r="AD126" i="14"/>
  <c r="AC126" i="14"/>
  <c r="AC125" i="14"/>
  <c r="AD137" i="14"/>
  <c r="AD56" i="13"/>
  <c r="AC60" i="13"/>
  <c r="AC25" i="13"/>
  <c r="AD23" i="13"/>
  <c r="AD27" i="13"/>
  <c r="AC34" i="13"/>
  <c r="AD33" i="13"/>
  <c r="AD14" i="13"/>
  <c r="AC29" i="13"/>
  <c r="AC58" i="13"/>
  <c r="AC24" i="13"/>
  <c r="AD34" i="13"/>
  <c r="AD24" i="13"/>
  <c r="AC28" i="13"/>
  <c r="AD28" i="13"/>
  <c r="AC62" i="13"/>
  <c r="AD98" i="13"/>
  <c r="AD97" i="13"/>
  <c r="AD93" i="13"/>
  <c r="AD94" i="13"/>
  <c r="AC93" i="13"/>
  <c r="AD127" i="13"/>
  <c r="AC127" i="13"/>
  <c r="AD126" i="13"/>
  <c r="AC126" i="13"/>
  <c r="AD125" i="13"/>
  <c r="AC125" i="13"/>
  <c r="AD124" i="13"/>
  <c r="AC124" i="13"/>
  <c r="AD123" i="13"/>
  <c r="AC123" i="13"/>
  <c r="AD103" i="13"/>
  <c r="AC103" i="13"/>
  <c r="AD112" i="13"/>
  <c r="AC112" i="13"/>
  <c r="AC118" i="13"/>
  <c r="AD62" i="13"/>
  <c r="AC21" i="13"/>
  <c r="AC20" i="13"/>
  <c r="AC19" i="13"/>
  <c r="AC18" i="13"/>
  <c r="AC17" i="13"/>
  <c r="AC16" i="13"/>
  <c r="AC15" i="13"/>
  <c r="AD25" i="13"/>
  <c r="AD29" i="13"/>
  <c r="AD31" i="13"/>
  <c r="AD32" i="13"/>
  <c r="AD36" i="13"/>
  <c r="AD37" i="13"/>
  <c r="AD38" i="13"/>
  <c r="AD39" i="13"/>
  <c r="AD42" i="13"/>
  <c r="AD43" i="13"/>
  <c r="AD44" i="13"/>
  <c r="AD45" i="13"/>
  <c r="AD46" i="13"/>
  <c r="AD47" i="13"/>
  <c r="AD48" i="13"/>
  <c r="AD49" i="13"/>
  <c r="AD40" i="13"/>
  <c r="AD50" i="13"/>
  <c r="AD52" i="13"/>
  <c r="AD54" i="13"/>
  <c r="AD55" i="13"/>
  <c r="AD57" i="13"/>
  <c r="AD59" i="13"/>
  <c r="AD61" i="13"/>
  <c r="AD63" i="13"/>
  <c r="AC133" i="13"/>
  <c r="AD133" i="13"/>
  <c r="AD135" i="13"/>
  <c r="AD92" i="13"/>
  <c r="AC114" i="13"/>
  <c r="AD114" i="13"/>
  <c r="AC115" i="13"/>
  <c r="AD115" i="13"/>
  <c r="AC116" i="13"/>
  <c r="AD116" i="13"/>
  <c r="AC117" i="13"/>
  <c r="AD117" i="13"/>
  <c r="AC120" i="13"/>
  <c r="AD120" i="13"/>
  <c r="AC121" i="13"/>
  <c r="AD121" i="13"/>
  <c r="AC101" i="13"/>
  <c r="AD101" i="13"/>
  <c r="AC102" i="13"/>
  <c r="AD102" i="13"/>
  <c r="AC105" i="13"/>
  <c r="AD105" i="13"/>
  <c r="AC106" i="13"/>
  <c r="AD106" i="13"/>
  <c r="AC107" i="13"/>
  <c r="AD107" i="13"/>
  <c r="AC109" i="13"/>
  <c r="AD109" i="13"/>
  <c r="AC110" i="13"/>
  <c r="AD110" i="13"/>
  <c r="AC111" i="13"/>
  <c r="AD111" i="13"/>
  <c r="AC131" i="13"/>
  <c r="AD131" i="13"/>
  <c r="AC132" i="13"/>
  <c r="AD132" i="13"/>
  <c r="AC129" i="13"/>
  <c r="AD129" i="13"/>
  <c r="AC134" i="13"/>
  <c r="AD134" i="13"/>
  <c r="AC136" i="13"/>
  <c r="AD136" i="13"/>
  <c r="AC138" i="13"/>
  <c r="AD138" i="13"/>
  <c r="AC140" i="13"/>
  <c r="AD140" i="13"/>
  <c r="AD122" i="13"/>
  <c r="AC122" i="13"/>
  <c r="AD118" i="13"/>
  <c r="AD58" i="13"/>
  <c r="AD60" i="13"/>
  <c r="AC14" i="13"/>
  <c r="AD21" i="13"/>
  <c r="AD20" i="13"/>
  <c r="AD19" i="13"/>
  <c r="AD18" i="13"/>
  <c r="AD17" i="13"/>
  <c r="AD16" i="13"/>
  <c r="AD15" i="13"/>
  <c r="AC23" i="13"/>
  <c r="AC27" i="13"/>
  <c r="AC31" i="13"/>
  <c r="AC32" i="13"/>
  <c r="AC33" i="13"/>
  <c r="AC36" i="13"/>
  <c r="AC37" i="13"/>
  <c r="AG37" i="13" s="1"/>
  <c r="AC38" i="13"/>
  <c r="AC39" i="13"/>
  <c r="AC42" i="13"/>
  <c r="AC43" i="13"/>
  <c r="AC44" i="13"/>
  <c r="AC45" i="13"/>
  <c r="AC46" i="13"/>
  <c r="AC47" i="13"/>
  <c r="AG47" i="13" s="1"/>
  <c r="AC48" i="13"/>
  <c r="AC49" i="13"/>
  <c r="AC40" i="13"/>
  <c r="AC50" i="13"/>
  <c r="AC52" i="13"/>
  <c r="AC54" i="13"/>
  <c r="AC55" i="13"/>
  <c r="AC57" i="13"/>
  <c r="AG57" i="13" s="1"/>
  <c r="AC59" i="13"/>
  <c r="AC61" i="13"/>
  <c r="AC63" i="13"/>
  <c r="AC56" i="13"/>
  <c r="AC137" i="13"/>
  <c r="AD137" i="13"/>
  <c r="AD99" i="13"/>
  <c r="AC99" i="13"/>
  <c r="AD95" i="13"/>
  <c r="AC95" i="13"/>
  <c r="AC139" i="13"/>
  <c r="AD139" i="13"/>
  <c r="AC98" i="13"/>
  <c r="AC94" i="13"/>
  <c r="AC97" i="13"/>
  <c r="AC135" i="13"/>
  <c r="AC92" i="13"/>
  <c r="AD96" i="13"/>
  <c r="AC96" i="13"/>
  <c r="AE117" i="16"/>
  <c r="AE115" i="16"/>
  <c r="E171" i="16"/>
  <c r="I171" i="16"/>
  <c r="M171" i="16"/>
  <c r="Q171" i="16"/>
  <c r="U171" i="16"/>
  <c r="Y171" i="16"/>
  <c r="C171" i="16"/>
  <c r="G171" i="16"/>
  <c r="K171" i="16"/>
  <c r="O171" i="16"/>
  <c r="S171" i="16"/>
  <c r="W171" i="16"/>
  <c r="D171" i="16"/>
  <c r="H171" i="16"/>
  <c r="L171" i="16"/>
  <c r="P171" i="16"/>
  <c r="T171" i="16"/>
  <c r="X171" i="16"/>
  <c r="N171" i="16"/>
  <c r="V171" i="16"/>
  <c r="F171" i="16"/>
  <c r="Y172" i="16"/>
  <c r="U172" i="16"/>
  <c r="Q172" i="16"/>
  <c r="M172" i="16"/>
  <c r="I172" i="16"/>
  <c r="E172" i="16"/>
  <c r="AF147" i="16"/>
  <c r="AG147" i="16" s="1"/>
  <c r="AF150" i="16"/>
  <c r="AG150" i="16" s="1"/>
  <c r="AF153" i="16"/>
  <c r="AG153" i="16" s="1"/>
  <c r="AF149" i="16"/>
  <c r="AG149" i="16" s="1"/>
  <c r="AD148" i="16"/>
  <c r="AF161" i="16"/>
  <c r="AG161" i="16" s="1"/>
  <c r="AF158" i="16"/>
  <c r="AG158" i="16" s="1"/>
  <c r="AF160" i="16"/>
  <c r="AG160" i="16" s="1"/>
  <c r="AF156" i="16"/>
  <c r="AF159" i="16"/>
  <c r="AG159" i="16" s="1"/>
  <c r="AF157" i="16"/>
  <c r="AD152" i="16"/>
  <c r="AF155" i="16"/>
  <c r="AG155" i="16" s="1"/>
  <c r="AF154" i="16"/>
  <c r="AG154" i="16" s="1"/>
  <c r="X162" i="16"/>
  <c r="AF145" i="16"/>
  <c r="AG145" i="16" s="1"/>
  <c r="D162" i="16"/>
  <c r="L162" i="16"/>
  <c r="T162" i="16"/>
  <c r="Z141" i="16"/>
  <c r="AD141" i="16"/>
  <c r="AF143" i="16"/>
  <c r="AG143" i="16" s="1"/>
  <c r="F162" i="16"/>
  <c r="J162" i="16"/>
  <c r="N162" i="16"/>
  <c r="R162" i="16"/>
  <c r="V162" i="16"/>
  <c r="H162" i="16"/>
  <c r="P162" i="16"/>
  <c r="AF142" i="16"/>
  <c r="C162" i="16"/>
  <c r="G162" i="16"/>
  <c r="K162" i="16"/>
  <c r="O162" i="16"/>
  <c r="S162" i="16"/>
  <c r="W162" i="16"/>
  <c r="AF151" i="16"/>
  <c r="AG151" i="16" s="1"/>
  <c r="AC141" i="16"/>
  <c r="AC148" i="16"/>
  <c r="E162" i="16"/>
  <c r="I162" i="16"/>
  <c r="M162" i="16"/>
  <c r="Q162" i="16"/>
  <c r="U162" i="16"/>
  <c r="Y148" i="16"/>
  <c r="B152" i="16"/>
  <c r="AE152" i="16"/>
  <c r="Z117" i="16"/>
  <c r="T130" i="16" s="1"/>
  <c r="Z119" i="16"/>
  <c r="C131" i="16" s="1"/>
  <c r="AD115" i="16"/>
  <c r="AC115" i="16"/>
  <c r="AC107" i="16"/>
  <c r="Z115" i="16"/>
  <c r="S129" i="16" s="1"/>
  <c r="W121" i="16"/>
  <c r="S121" i="16"/>
  <c r="O121" i="16"/>
  <c r="K121" i="16"/>
  <c r="G121" i="16"/>
  <c r="C121" i="16"/>
  <c r="N121" i="16"/>
  <c r="AD117" i="16"/>
  <c r="AD95" i="16"/>
  <c r="Y121" i="16"/>
  <c r="U121" i="16"/>
  <c r="Q121" i="16"/>
  <c r="M121" i="16"/>
  <c r="I121" i="16"/>
  <c r="E121" i="16"/>
  <c r="B121" i="16"/>
  <c r="R121" i="16"/>
  <c r="F121" i="16"/>
  <c r="AF106" i="16"/>
  <c r="AD119" i="16"/>
  <c r="AC119" i="16"/>
  <c r="X121" i="16"/>
  <c r="T121" i="16"/>
  <c r="P121" i="16"/>
  <c r="L121" i="16"/>
  <c r="H121" i="16"/>
  <c r="D121" i="16"/>
  <c r="Z111" i="16"/>
  <c r="V121" i="16"/>
  <c r="J121" i="16"/>
  <c r="AF96" i="16"/>
  <c r="AG96" i="16" s="1"/>
  <c r="AF104" i="16"/>
  <c r="AC117" i="16"/>
  <c r="AF109" i="16"/>
  <c r="AG109" i="16" s="1"/>
  <c r="AF100" i="16"/>
  <c r="AG100" i="16" s="1"/>
  <c r="AF101" i="16"/>
  <c r="AG101" i="16" s="1"/>
  <c r="AF108" i="16"/>
  <c r="AG108" i="16" s="1"/>
  <c r="AF97" i="16"/>
  <c r="AG97" i="16" s="1"/>
  <c r="AF99" i="16"/>
  <c r="AG99" i="16" s="1"/>
  <c r="AF103" i="16"/>
  <c r="AG103" i="16" s="1"/>
  <c r="AF105" i="16"/>
  <c r="AF110" i="16"/>
  <c r="AG110" i="16" s="1"/>
  <c r="AF98" i="16"/>
  <c r="AG98" i="16" s="1"/>
  <c r="AF102" i="16"/>
  <c r="AG102" i="16" s="1"/>
  <c r="AF113" i="16"/>
  <c r="AG113" i="16" s="1"/>
  <c r="AF116" i="16"/>
  <c r="AG116" i="16" s="1"/>
  <c r="AF118" i="16"/>
  <c r="AG118" i="16" s="1"/>
  <c r="AC111" i="16"/>
  <c r="AE95" i="16"/>
  <c r="AD111" i="16"/>
  <c r="AC114" i="16"/>
  <c r="AF114" i="16" s="1"/>
  <c r="AG114" i="16" s="1"/>
  <c r="AC120" i="16"/>
  <c r="AF120" i="16" s="1"/>
  <c r="AG120" i="16" s="1"/>
  <c r="AD107" i="16"/>
  <c r="AD112" i="16"/>
  <c r="AF112" i="16" s="1"/>
  <c r="AE107" i="16"/>
  <c r="AE54" i="15"/>
  <c r="Z222" i="15"/>
  <c r="O236" i="15" s="1"/>
  <c r="Z214" i="15"/>
  <c r="M233" i="15" s="1"/>
  <c r="AC211" i="15"/>
  <c r="AF205" i="15"/>
  <c r="AG205" i="15" s="1"/>
  <c r="AF221" i="15"/>
  <c r="AG221" i="15" s="1"/>
  <c r="AF200" i="15"/>
  <c r="AG200" i="15" s="1"/>
  <c r="AF197" i="15"/>
  <c r="AG197" i="15" s="1"/>
  <c r="AF207" i="15"/>
  <c r="AG207" i="15" s="1"/>
  <c r="AF198" i="15"/>
  <c r="AG198" i="15" s="1"/>
  <c r="AF201" i="15"/>
  <c r="AG201" i="15" s="1"/>
  <c r="AF204" i="15"/>
  <c r="AG204" i="15" s="1"/>
  <c r="AF213" i="15"/>
  <c r="AG213" i="15" s="1"/>
  <c r="AF217" i="15"/>
  <c r="AG217" i="15" s="1"/>
  <c r="AF209" i="15"/>
  <c r="AG209" i="15" s="1"/>
  <c r="AF208" i="15"/>
  <c r="AG208" i="15" s="1"/>
  <c r="AD206" i="15"/>
  <c r="AC167" i="15"/>
  <c r="Z160" i="15"/>
  <c r="I186" i="15" s="1"/>
  <c r="AC160" i="15"/>
  <c r="Z157" i="15"/>
  <c r="U185" i="15" s="1"/>
  <c r="AC152" i="15"/>
  <c r="Z145" i="15"/>
  <c r="R182" i="15" s="1"/>
  <c r="AC141" i="15"/>
  <c r="AF134" i="15"/>
  <c r="AG134" i="15" s="1"/>
  <c r="AF142" i="15"/>
  <c r="AG142" i="15" s="1"/>
  <c r="AF136" i="15"/>
  <c r="AG136" i="15" s="1"/>
  <c r="AF146" i="15"/>
  <c r="AG146" i="15" s="1"/>
  <c r="AF161" i="15"/>
  <c r="AG161" i="15" s="1"/>
  <c r="AF130" i="15"/>
  <c r="AG130" i="15" s="1"/>
  <c r="AF143" i="15"/>
  <c r="AG143" i="15" s="1"/>
  <c r="AF159" i="15"/>
  <c r="AG159" i="15" s="1"/>
  <c r="AF129" i="15"/>
  <c r="AG129" i="15" s="1"/>
  <c r="AF133" i="15"/>
  <c r="AG133" i="15" s="1"/>
  <c r="AF139" i="15"/>
  <c r="AG139" i="15" s="1"/>
  <c r="AF149" i="15"/>
  <c r="AG149" i="15" s="1"/>
  <c r="AF163" i="15"/>
  <c r="AG163" i="15" s="1"/>
  <c r="AF170" i="15"/>
  <c r="AG170" i="15" s="1"/>
  <c r="AF132" i="15"/>
  <c r="AF138" i="15"/>
  <c r="AG138" i="15" s="1"/>
  <c r="AF144" i="15"/>
  <c r="AG144" i="15" s="1"/>
  <c r="AF158" i="15"/>
  <c r="AG158" i="15" s="1"/>
  <c r="AF162" i="15"/>
  <c r="AG162" i="15" s="1"/>
  <c r="AF148" i="15"/>
  <c r="AF153" i="15"/>
  <c r="AG153" i="15" s="1"/>
  <c r="AF155" i="15"/>
  <c r="AG155" i="15" s="1"/>
  <c r="AD152" i="15"/>
  <c r="AC145" i="15"/>
  <c r="Z294" i="14"/>
  <c r="Z141" i="14" s="1"/>
  <c r="Z292" i="14"/>
  <c r="Z290" i="14"/>
  <c r="Z288" i="14"/>
  <c r="Z135" i="14" s="1"/>
  <c r="Z286" i="14"/>
  <c r="Z285" i="14"/>
  <c r="Z283" i="14"/>
  <c r="Z130" i="14" s="1"/>
  <c r="Z274" i="14"/>
  <c r="Z275" i="14"/>
  <c r="Z276" i="14"/>
  <c r="Z277" i="14"/>
  <c r="Z124" i="14" s="1"/>
  <c r="Z278" i="14"/>
  <c r="Z125" i="14" s="1"/>
  <c r="Z279" i="14"/>
  <c r="Z280" i="14"/>
  <c r="Z281" i="14"/>
  <c r="Z273" i="14"/>
  <c r="Z271" i="14"/>
  <c r="Z270" i="14"/>
  <c r="Z269" i="14"/>
  <c r="Z268" i="14"/>
  <c r="Z267" i="14"/>
  <c r="Z265" i="14"/>
  <c r="Z264" i="14"/>
  <c r="Z263" i="14"/>
  <c r="Z110" i="14" s="1"/>
  <c r="Z262" i="14"/>
  <c r="Z260" i="14"/>
  <c r="Z107" i="14" s="1"/>
  <c r="Z259" i="14"/>
  <c r="Z106" i="14" s="1"/>
  <c r="Z258" i="14"/>
  <c r="Z256" i="14"/>
  <c r="Z255" i="14"/>
  <c r="Z254" i="14"/>
  <c r="Z101" i="14" s="1"/>
  <c r="Z246" i="14"/>
  <c r="Z247" i="14"/>
  <c r="Z248" i="14"/>
  <c r="Z249" i="14"/>
  <c r="Z96" i="14" s="1"/>
  <c r="Z250" i="14"/>
  <c r="Z251" i="14"/>
  <c r="Z98" i="14" s="1"/>
  <c r="Z252" i="14"/>
  <c r="Z245" i="14"/>
  <c r="C293" i="14"/>
  <c r="C140" i="14" s="1"/>
  <c r="D293" i="14"/>
  <c r="D140" i="14" s="1"/>
  <c r="E293" i="14"/>
  <c r="E140" i="14" s="1"/>
  <c r="F293" i="14"/>
  <c r="G293" i="14"/>
  <c r="G140" i="14" s="1"/>
  <c r="H293" i="14"/>
  <c r="H140" i="14" s="1"/>
  <c r="I293" i="14"/>
  <c r="I140" i="14" s="1"/>
  <c r="J293" i="14"/>
  <c r="K293" i="14"/>
  <c r="K140" i="14" s="1"/>
  <c r="L293" i="14"/>
  <c r="L140" i="14" s="1"/>
  <c r="M293" i="14"/>
  <c r="M140" i="14" s="1"/>
  <c r="N293" i="14"/>
  <c r="O293" i="14"/>
  <c r="O140" i="14" s="1"/>
  <c r="P293" i="14"/>
  <c r="P140" i="14" s="1"/>
  <c r="Q293" i="14"/>
  <c r="Q140" i="14" s="1"/>
  <c r="R293" i="14"/>
  <c r="S293" i="14"/>
  <c r="S140" i="14" s="1"/>
  <c r="T293" i="14"/>
  <c r="T140" i="14" s="1"/>
  <c r="U293" i="14"/>
  <c r="U140" i="14" s="1"/>
  <c r="V293" i="14"/>
  <c r="W293" i="14"/>
  <c r="W140" i="14" s="1"/>
  <c r="X293" i="14"/>
  <c r="X140" i="14" s="1"/>
  <c r="Y293" i="14"/>
  <c r="Y140" i="14" s="1"/>
  <c r="Y291" i="14"/>
  <c r="C291" i="14"/>
  <c r="C138" i="14" s="1"/>
  <c r="D291" i="14"/>
  <c r="D138" i="14" s="1"/>
  <c r="E291" i="14"/>
  <c r="E138" i="14" s="1"/>
  <c r="F291" i="14"/>
  <c r="G291" i="14"/>
  <c r="G138" i="14" s="1"/>
  <c r="H291" i="14"/>
  <c r="H138" i="14" s="1"/>
  <c r="I291" i="14"/>
  <c r="I138" i="14" s="1"/>
  <c r="J291" i="14"/>
  <c r="K291" i="14"/>
  <c r="K138" i="14" s="1"/>
  <c r="L291" i="14"/>
  <c r="L138" i="14" s="1"/>
  <c r="M291" i="14"/>
  <c r="M138" i="14" s="1"/>
  <c r="N291" i="14"/>
  <c r="O291" i="14"/>
  <c r="O138" i="14" s="1"/>
  <c r="P291" i="14"/>
  <c r="Q291" i="14"/>
  <c r="R291" i="14"/>
  <c r="S291" i="14"/>
  <c r="T291" i="14"/>
  <c r="T138" i="14" s="1"/>
  <c r="U291" i="14"/>
  <c r="V291" i="14"/>
  <c r="W291" i="14"/>
  <c r="X291" i="14"/>
  <c r="C289" i="14"/>
  <c r="C136" i="14" s="1"/>
  <c r="D289" i="14"/>
  <c r="E289" i="14"/>
  <c r="E136" i="14" s="1"/>
  <c r="F289" i="14"/>
  <c r="G289" i="14"/>
  <c r="G136" i="14" s="1"/>
  <c r="H289" i="14"/>
  <c r="I289" i="14"/>
  <c r="I136" i="14" s="1"/>
  <c r="J289" i="14"/>
  <c r="J136" i="14" s="1"/>
  <c r="K289" i="14"/>
  <c r="K136" i="14" s="1"/>
  <c r="L289" i="14"/>
  <c r="M289" i="14"/>
  <c r="M136" i="14" s="1"/>
  <c r="N289" i="14"/>
  <c r="N136" i="14" s="1"/>
  <c r="O289" i="14"/>
  <c r="O136" i="14" s="1"/>
  <c r="P289" i="14"/>
  <c r="Q289" i="14"/>
  <c r="Q136" i="14" s="1"/>
  <c r="R289" i="14"/>
  <c r="R136" i="14" s="1"/>
  <c r="S289" i="14"/>
  <c r="S136" i="14" s="1"/>
  <c r="T289" i="14"/>
  <c r="U289" i="14"/>
  <c r="U136" i="14" s="1"/>
  <c r="V289" i="14"/>
  <c r="W289" i="14"/>
  <c r="X289" i="14"/>
  <c r="Y289" i="14"/>
  <c r="Y136" i="14" s="1"/>
  <c r="C287" i="14"/>
  <c r="C134" i="14" s="1"/>
  <c r="D287" i="14"/>
  <c r="D134" i="14" s="1"/>
  <c r="E287" i="14"/>
  <c r="F287" i="14"/>
  <c r="F134" i="14" s="1"/>
  <c r="G287" i="14"/>
  <c r="G134" i="14" s="1"/>
  <c r="H287" i="14"/>
  <c r="H134" i="14" s="1"/>
  <c r="I287" i="14"/>
  <c r="J287" i="14"/>
  <c r="J134" i="14" s="1"/>
  <c r="K287" i="14"/>
  <c r="K134" i="14" s="1"/>
  <c r="L287" i="14"/>
  <c r="L134" i="14" s="1"/>
  <c r="M287" i="14"/>
  <c r="N287" i="14"/>
  <c r="N134" i="14" s="1"/>
  <c r="O287" i="14"/>
  <c r="O134" i="14" s="1"/>
  <c r="P287" i="14"/>
  <c r="P134" i="14" s="1"/>
  <c r="Q287" i="14"/>
  <c r="R287" i="14"/>
  <c r="R134" i="14" s="1"/>
  <c r="S287" i="14"/>
  <c r="S134" i="14" s="1"/>
  <c r="T287" i="14"/>
  <c r="T134" i="14" s="1"/>
  <c r="U287" i="14"/>
  <c r="V287" i="14"/>
  <c r="W287" i="14"/>
  <c r="W134" i="14" s="1"/>
  <c r="X287" i="14"/>
  <c r="X134" i="14" s="1"/>
  <c r="Y287" i="14"/>
  <c r="B293" i="14"/>
  <c r="B140" i="14" s="1"/>
  <c r="B291" i="14"/>
  <c r="B138" i="14" s="1"/>
  <c r="B289" i="14"/>
  <c r="B136" i="14" s="1"/>
  <c r="B287" i="14"/>
  <c r="B134" i="14" s="1"/>
  <c r="C284" i="14"/>
  <c r="D284" i="14"/>
  <c r="D131" i="14" s="1"/>
  <c r="E284" i="14"/>
  <c r="E131" i="14" s="1"/>
  <c r="F284" i="14"/>
  <c r="G284" i="14"/>
  <c r="G131" i="14" s="1"/>
  <c r="H284" i="14"/>
  <c r="H131" i="14" s="1"/>
  <c r="I284" i="14"/>
  <c r="I131" i="14" s="1"/>
  <c r="J284" i="14"/>
  <c r="K284" i="14"/>
  <c r="K131" i="14" s="1"/>
  <c r="L284" i="14"/>
  <c r="L131" i="14" s="1"/>
  <c r="M284" i="14"/>
  <c r="M131" i="14" s="1"/>
  <c r="N284" i="14"/>
  <c r="O284" i="14"/>
  <c r="O131" i="14" s="1"/>
  <c r="P284" i="14"/>
  <c r="Q284" i="14"/>
  <c r="Q131" i="14" s="1"/>
  <c r="R284" i="14"/>
  <c r="S284" i="14"/>
  <c r="S131" i="14" s="1"/>
  <c r="T284" i="14"/>
  <c r="U284" i="14"/>
  <c r="V284" i="14"/>
  <c r="W284" i="14"/>
  <c r="X284" i="14"/>
  <c r="X131" i="14" s="1"/>
  <c r="Y284" i="14"/>
  <c r="AE284" i="14" s="1"/>
  <c r="B284" i="14"/>
  <c r="AD282" i="14"/>
  <c r="Z282" i="14"/>
  <c r="Z129" i="14" s="1"/>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B272" i="14"/>
  <c r="C266" i="14"/>
  <c r="D266" i="14"/>
  <c r="E266" i="14"/>
  <c r="F266" i="14"/>
  <c r="G266" i="14"/>
  <c r="H266" i="14"/>
  <c r="I266" i="14"/>
  <c r="J266" i="14"/>
  <c r="K266" i="14"/>
  <c r="L266" i="14"/>
  <c r="M266" i="14"/>
  <c r="N266" i="14"/>
  <c r="O266" i="14"/>
  <c r="P266" i="14"/>
  <c r="Q266" i="14"/>
  <c r="R266" i="14"/>
  <c r="S266" i="14"/>
  <c r="T266" i="14"/>
  <c r="U266" i="14"/>
  <c r="V266" i="14"/>
  <c r="W266" i="14"/>
  <c r="X266" i="14"/>
  <c r="Y266" i="14"/>
  <c r="B266" i="14"/>
  <c r="C261" i="14"/>
  <c r="C108" i="14" s="1"/>
  <c r="D261" i="14"/>
  <c r="E261" i="14"/>
  <c r="E108" i="14" s="1"/>
  <c r="F261" i="14"/>
  <c r="G261" i="14"/>
  <c r="G108" i="14" s="1"/>
  <c r="H261" i="14"/>
  <c r="I261" i="14"/>
  <c r="I108" i="14" s="1"/>
  <c r="J261" i="14"/>
  <c r="J108" i="14" s="1"/>
  <c r="K261" i="14"/>
  <c r="K108" i="14" s="1"/>
  <c r="L261" i="14"/>
  <c r="M261" i="14"/>
  <c r="M108" i="14" s="1"/>
  <c r="N261" i="14"/>
  <c r="N108" i="14" s="1"/>
  <c r="O261" i="14"/>
  <c r="O108" i="14" s="1"/>
  <c r="P261" i="14"/>
  <c r="Q261" i="14"/>
  <c r="Q108" i="14" s="1"/>
  <c r="R261" i="14"/>
  <c r="R108" i="14" s="1"/>
  <c r="S261" i="14"/>
  <c r="T261" i="14"/>
  <c r="U261" i="14"/>
  <c r="V261" i="14"/>
  <c r="V108" i="14" s="1"/>
  <c r="W261" i="14"/>
  <c r="X261" i="14"/>
  <c r="Y261" i="14"/>
  <c r="Y108" i="14" s="1"/>
  <c r="B261" i="14"/>
  <c r="C257" i="14"/>
  <c r="C104" i="14" s="1"/>
  <c r="D257" i="14"/>
  <c r="E257" i="14"/>
  <c r="E104" i="14" s="1"/>
  <c r="F257" i="14"/>
  <c r="F104" i="14" s="1"/>
  <c r="G257" i="14"/>
  <c r="G104" i="14" s="1"/>
  <c r="H257" i="14"/>
  <c r="I257" i="14"/>
  <c r="I104" i="14" s="1"/>
  <c r="J257" i="14"/>
  <c r="J104" i="14" s="1"/>
  <c r="K257" i="14"/>
  <c r="K104" i="14" s="1"/>
  <c r="L257" i="14"/>
  <c r="M257" i="14"/>
  <c r="M104" i="14" s="1"/>
  <c r="N257" i="14"/>
  <c r="N104" i="14" s="1"/>
  <c r="O257" i="14"/>
  <c r="O104" i="14" s="1"/>
  <c r="P257" i="14"/>
  <c r="Q257" i="14"/>
  <c r="Q104" i="14" s="1"/>
  <c r="R257" i="14"/>
  <c r="R104" i="14" s="1"/>
  <c r="S257" i="14"/>
  <c r="S104" i="14" s="1"/>
  <c r="T257" i="14"/>
  <c r="U257" i="14"/>
  <c r="V257" i="14"/>
  <c r="V104" i="14" s="1"/>
  <c r="W257" i="14"/>
  <c r="W104" i="14" s="1"/>
  <c r="X257" i="14"/>
  <c r="Y257" i="14"/>
  <c r="Y104" i="14" s="1"/>
  <c r="B257" i="14"/>
  <c r="C253" i="14"/>
  <c r="D253" i="14"/>
  <c r="D100" i="14" s="1"/>
  <c r="E253" i="14"/>
  <c r="E100" i="14" s="1"/>
  <c r="F253" i="14"/>
  <c r="F100" i="14" s="1"/>
  <c r="G253" i="14"/>
  <c r="G100" i="14" s="1"/>
  <c r="H253" i="14"/>
  <c r="H100" i="14" s="1"/>
  <c r="I253" i="14"/>
  <c r="I100" i="14" s="1"/>
  <c r="J253" i="14"/>
  <c r="J100" i="14" s="1"/>
  <c r="K253" i="14"/>
  <c r="K100" i="14" s="1"/>
  <c r="L253" i="14"/>
  <c r="L100" i="14" s="1"/>
  <c r="M253" i="14"/>
  <c r="M100" i="14" s="1"/>
  <c r="N253" i="14"/>
  <c r="N100" i="14" s="1"/>
  <c r="O253" i="14"/>
  <c r="O100" i="14" s="1"/>
  <c r="P253" i="14"/>
  <c r="P100" i="14" s="1"/>
  <c r="Q253" i="14"/>
  <c r="Q100" i="14" s="1"/>
  <c r="R253" i="14"/>
  <c r="R100" i="14" s="1"/>
  <c r="S253" i="14"/>
  <c r="T253" i="14"/>
  <c r="T100" i="14" s="1"/>
  <c r="U253" i="14"/>
  <c r="V253" i="14"/>
  <c r="W253" i="14"/>
  <c r="X253" i="14"/>
  <c r="Y253" i="14"/>
  <c r="Y100" i="14" s="1"/>
  <c r="B253" i="14"/>
  <c r="C244" i="14"/>
  <c r="C91" i="14" s="1"/>
  <c r="D244" i="14"/>
  <c r="D91" i="14" s="1"/>
  <c r="E244" i="14"/>
  <c r="E91" i="14" s="1"/>
  <c r="F244" i="14"/>
  <c r="G244" i="14"/>
  <c r="G91" i="14" s="1"/>
  <c r="H244" i="14"/>
  <c r="I244" i="14"/>
  <c r="J244" i="14"/>
  <c r="K244" i="14"/>
  <c r="K91" i="14" s="1"/>
  <c r="L244" i="14"/>
  <c r="M244" i="14"/>
  <c r="N244" i="14"/>
  <c r="O244" i="14"/>
  <c r="P244" i="14"/>
  <c r="Q244" i="14"/>
  <c r="R244" i="14"/>
  <c r="S244" i="14"/>
  <c r="T244" i="14"/>
  <c r="U244" i="14"/>
  <c r="V244" i="14"/>
  <c r="W244" i="14"/>
  <c r="X244" i="14"/>
  <c r="Y244" i="14"/>
  <c r="AE244" i="14" s="1"/>
  <c r="B244" i="14"/>
  <c r="AE294" i="14"/>
  <c r="AD294" i="14"/>
  <c r="AC294" i="14"/>
  <c r="AE292" i="14"/>
  <c r="AD292" i="14"/>
  <c r="AC292" i="14"/>
  <c r="AE290" i="14"/>
  <c r="AD290" i="14"/>
  <c r="AC290" i="14"/>
  <c r="AE288" i="14"/>
  <c r="AD288" i="14"/>
  <c r="AC288" i="14"/>
  <c r="AE286" i="14"/>
  <c r="AD286" i="14"/>
  <c r="AC286" i="14"/>
  <c r="AE285" i="14"/>
  <c r="AD285" i="14"/>
  <c r="AC285" i="14"/>
  <c r="AE283" i="14"/>
  <c r="AD283" i="14"/>
  <c r="AC283" i="14"/>
  <c r="AE282" i="14"/>
  <c r="AC282" i="14"/>
  <c r="AE281" i="14"/>
  <c r="AD281" i="14"/>
  <c r="AC281" i="14"/>
  <c r="AE280" i="14"/>
  <c r="AD280" i="14"/>
  <c r="AC280" i="14"/>
  <c r="AE279" i="14"/>
  <c r="AD279" i="14"/>
  <c r="AC279" i="14"/>
  <c r="AE278" i="14"/>
  <c r="AD278" i="14"/>
  <c r="AC278" i="14"/>
  <c r="AE277" i="14"/>
  <c r="AD277" i="14"/>
  <c r="AC277" i="14"/>
  <c r="AE276" i="14"/>
  <c r="AD276" i="14"/>
  <c r="AC276" i="14"/>
  <c r="AE275" i="14"/>
  <c r="AD275" i="14"/>
  <c r="AC275" i="14"/>
  <c r="AE274" i="14"/>
  <c r="AD274" i="14"/>
  <c r="AC274" i="14"/>
  <c r="AE273" i="14"/>
  <c r="AD273" i="14"/>
  <c r="AC273" i="14"/>
  <c r="AE271" i="14"/>
  <c r="AD271" i="14"/>
  <c r="AC271" i="14"/>
  <c r="AE270" i="14"/>
  <c r="AD270" i="14"/>
  <c r="AC270" i="14"/>
  <c r="AE269" i="14"/>
  <c r="AD269" i="14"/>
  <c r="AC269" i="14"/>
  <c r="AE268" i="14"/>
  <c r="AD268" i="14"/>
  <c r="AC268" i="14"/>
  <c r="AE267" i="14"/>
  <c r="AD267" i="14"/>
  <c r="AE265" i="14"/>
  <c r="AD265" i="14"/>
  <c r="AC265" i="14"/>
  <c r="AE264" i="14"/>
  <c r="AC264" i="14"/>
  <c r="AE263" i="14"/>
  <c r="AD263" i="14"/>
  <c r="AC263" i="14"/>
  <c r="AE262" i="14"/>
  <c r="AD262" i="14"/>
  <c r="AC262" i="14"/>
  <c r="AE260" i="14"/>
  <c r="AD260" i="14"/>
  <c r="AC260" i="14"/>
  <c r="AE259" i="14"/>
  <c r="AD259" i="14"/>
  <c r="AC259" i="14"/>
  <c r="AE258" i="14"/>
  <c r="AD258" i="14"/>
  <c r="AC258" i="14"/>
  <c r="AE256" i="14"/>
  <c r="AC256" i="14"/>
  <c r="AD256" i="14"/>
  <c r="AE255" i="14"/>
  <c r="AD255" i="14"/>
  <c r="AC255" i="14"/>
  <c r="AE254" i="14"/>
  <c r="AD254" i="14"/>
  <c r="AC254" i="14"/>
  <c r="AE252" i="14"/>
  <c r="AD252" i="14"/>
  <c r="AC252" i="14"/>
  <c r="AE251" i="14"/>
  <c r="AD251" i="14"/>
  <c r="AC251" i="14"/>
  <c r="AE250" i="14"/>
  <c r="AD250" i="14"/>
  <c r="AC250" i="14"/>
  <c r="AE249" i="14"/>
  <c r="AD249" i="14"/>
  <c r="AC249" i="14"/>
  <c r="AE248" i="14"/>
  <c r="AD248" i="14"/>
  <c r="AC248" i="14"/>
  <c r="AE247" i="14"/>
  <c r="AD247" i="14"/>
  <c r="AC247" i="14"/>
  <c r="AE246" i="14"/>
  <c r="AD246" i="14"/>
  <c r="AC246" i="14"/>
  <c r="AE245" i="14"/>
  <c r="AD245" i="14"/>
  <c r="AC245" i="14"/>
  <c r="AE219" i="14"/>
  <c r="AD219" i="14"/>
  <c r="AC219" i="14"/>
  <c r="AE218" i="14"/>
  <c r="AD218" i="14"/>
  <c r="AC218" i="14"/>
  <c r="AE217" i="14"/>
  <c r="AD217" i="14"/>
  <c r="AC217" i="14"/>
  <c r="AE216" i="14"/>
  <c r="AD216" i="14"/>
  <c r="AC216" i="14"/>
  <c r="AE215" i="14"/>
  <c r="AD215" i="14"/>
  <c r="AC215" i="14"/>
  <c r="AE214" i="14"/>
  <c r="AD214" i="14"/>
  <c r="AC214" i="14"/>
  <c r="AE213" i="14"/>
  <c r="AD213" i="14"/>
  <c r="AC213" i="14"/>
  <c r="AE212" i="14"/>
  <c r="AD212" i="14"/>
  <c r="AC212" i="14"/>
  <c r="AE211" i="14"/>
  <c r="AD211" i="14"/>
  <c r="AC211" i="14"/>
  <c r="AE210" i="14"/>
  <c r="AD210" i="14"/>
  <c r="AE209" i="14"/>
  <c r="AD209" i="14"/>
  <c r="AC209" i="14"/>
  <c r="AE208" i="14"/>
  <c r="AD208" i="14"/>
  <c r="AC208" i="14"/>
  <c r="AE206" i="14"/>
  <c r="AD206" i="14"/>
  <c r="AC206" i="14"/>
  <c r="AE205" i="14"/>
  <c r="AD205" i="14"/>
  <c r="AC205" i="14"/>
  <c r="AE203" i="14"/>
  <c r="AD203" i="14"/>
  <c r="AC203" i="14"/>
  <c r="AE202" i="14"/>
  <c r="AD202" i="14"/>
  <c r="AC202" i="14"/>
  <c r="AE201" i="14"/>
  <c r="AD201" i="14"/>
  <c r="AC201" i="14"/>
  <c r="AE200" i="14"/>
  <c r="AD200" i="14"/>
  <c r="AC200" i="14"/>
  <c r="AE199" i="14"/>
  <c r="AD199" i="14"/>
  <c r="AC199" i="14"/>
  <c r="AE198" i="14"/>
  <c r="AD198" i="14"/>
  <c r="AC198" i="14"/>
  <c r="AE197" i="14"/>
  <c r="AD197" i="14"/>
  <c r="AC197" i="14"/>
  <c r="AE196" i="14"/>
  <c r="AD196" i="14"/>
  <c r="AC196" i="14"/>
  <c r="AE195" i="14"/>
  <c r="AD195" i="14"/>
  <c r="AC195" i="14"/>
  <c r="AE193" i="14"/>
  <c r="AD193" i="14"/>
  <c r="AC193" i="14"/>
  <c r="AE192" i="14"/>
  <c r="AD192" i="14"/>
  <c r="AC192" i="14"/>
  <c r="AE191" i="14"/>
  <c r="AD191" i="14"/>
  <c r="AC191" i="14"/>
  <c r="AE190" i="14"/>
  <c r="AD190" i="14"/>
  <c r="AC190" i="14"/>
  <c r="AE189" i="14"/>
  <c r="AD189" i="14"/>
  <c r="AC189" i="14"/>
  <c r="AE187" i="14"/>
  <c r="AD187" i="14"/>
  <c r="AC187" i="14"/>
  <c r="AE186" i="14"/>
  <c r="AD186" i="14"/>
  <c r="AC186" i="14"/>
  <c r="AE185" i="14"/>
  <c r="AD185" i="14"/>
  <c r="AC185" i="14"/>
  <c r="AE184" i="14"/>
  <c r="AD184" i="14"/>
  <c r="AC184" i="14"/>
  <c r="AE182" i="14"/>
  <c r="AD182" i="14"/>
  <c r="AC182" i="14"/>
  <c r="AE181" i="14"/>
  <c r="AD181" i="14"/>
  <c r="AC181" i="14"/>
  <c r="AE180" i="14"/>
  <c r="AD180" i="14"/>
  <c r="AC180" i="14"/>
  <c r="AE178" i="14"/>
  <c r="AD178" i="14"/>
  <c r="AC178" i="14"/>
  <c r="AE177" i="14"/>
  <c r="AD177" i="14"/>
  <c r="AC177" i="14"/>
  <c r="AE176" i="14"/>
  <c r="AD176" i="14"/>
  <c r="AC176" i="14"/>
  <c r="AE174" i="14"/>
  <c r="AD174" i="14"/>
  <c r="AC174" i="14"/>
  <c r="AE173" i="14"/>
  <c r="AD173" i="14"/>
  <c r="AC173" i="14"/>
  <c r="AE172" i="14"/>
  <c r="AD172" i="14"/>
  <c r="AC172" i="14"/>
  <c r="AE171" i="14"/>
  <c r="AD171" i="14"/>
  <c r="AC171" i="14"/>
  <c r="AE170" i="14"/>
  <c r="AD170" i="14"/>
  <c r="AC170" i="14"/>
  <c r="AE169" i="14"/>
  <c r="AD169" i="14"/>
  <c r="AC169" i="14"/>
  <c r="AE168" i="14"/>
  <c r="AD168" i="14"/>
  <c r="AC168" i="14"/>
  <c r="AE167" i="14"/>
  <c r="AD167" i="14"/>
  <c r="AC167" i="14"/>
  <c r="Z219" i="14"/>
  <c r="Z217" i="14"/>
  <c r="Z215" i="14"/>
  <c r="Z213" i="14"/>
  <c r="Z211" i="14"/>
  <c r="Z58" i="14" s="1"/>
  <c r="Z209" i="14"/>
  <c r="Z56" i="14" s="1"/>
  <c r="Z208" i="14"/>
  <c r="Z55" i="14" s="1"/>
  <c r="Z206" i="14"/>
  <c r="Z205" i="14"/>
  <c r="Z198" i="14"/>
  <c r="Z199" i="14"/>
  <c r="Z200" i="14"/>
  <c r="Z201" i="14"/>
  <c r="Z48" i="14" s="1"/>
  <c r="Z202" i="14"/>
  <c r="Z203" i="14"/>
  <c r="Z197" i="14"/>
  <c r="Z196" i="14"/>
  <c r="Z195" i="14"/>
  <c r="Z193" i="14"/>
  <c r="Z192" i="14"/>
  <c r="Z191" i="14"/>
  <c r="Z190" i="14"/>
  <c r="Z189" i="14"/>
  <c r="Z187" i="14"/>
  <c r="Z186" i="14"/>
  <c r="Z185" i="14"/>
  <c r="Z32" i="14" s="1"/>
  <c r="Z184" i="14"/>
  <c r="Z182" i="14"/>
  <c r="Z181" i="14"/>
  <c r="Z180" i="14"/>
  <c r="Z178" i="14"/>
  <c r="Z177" i="14"/>
  <c r="Z176" i="14"/>
  <c r="Z168" i="14"/>
  <c r="Z169" i="14"/>
  <c r="Z170" i="14"/>
  <c r="Z171" i="14"/>
  <c r="Z172" i="14"/>
  <c r="Z173" i="14"/>
  <c r="Z174" i="14"/>
  <c r="Z167" i="14"/>
  <c r="Z218" i="14"/>
  <c r="R236" i="14" s="1"/>
  <c r="Z216" i="14"/>
  <c r="J235" i="14" s="1"/>
  <c r="Z214" i="14"/>
  <c r="N234" i="14" s="1"/>
  <c r="Z212" i="14"/>
  <c r="R233" i="14" s="1"/>
  <c r="O210" i="14"/>
  <c r="B210" i="14"/>
  <c r="B57" i="14" s="1"/>
  <c r="C207" i="14"/>
  <c r="C54" i="14" s="1"/>
  <c r="D207" i="14"/>
  <c r="D54" i="14" s="1"/>
  <c r="E207" i="14"/>
  <c r="F207" i="14"/>
  <c r="F54" i="14" s="1"/>
  <c r="G207" i="14"/>
  <c r="G54" i="14" s="1"/>
  <c r="H207" i="14"/>
  <c r="H54" i="14" s="1"/>
  <c r="I207" i="14"/>
  <c r="J207" i="14"/>
  <c r="J54" i="14" s="1"/>
  <c r="K207" i="14"/>
  <c r="K54" i="14" s="1"/>
  <c r="L207" i="14"/>
  <c r="L54" i="14" s="1"/>
  <c r="M207" i="14"/>
  <c r="N207" i="14"/>
  <c r="N54" i="14" s="1"/>
  <c r="O207" i="14"/>
  <c r="O54" i="14" s="1"/>
  <c r="P207" i="14"/>
  <c r="P54" i="14" s="1"/>
  <c r="Q207" i="14"/>
  <c r="R207" i="14"/>
  <c r="R54" i="14" s="1"/>
  <c r="S207" i="14"/>
  <c r="S54" i="14" s="1"/>
  <c r="T207" i="14"/>
  <c r="T54" i="14" s="1"/>
  <c r="U207" i="14"/>
  <c r="V207" i="14"/>
  <c r="V54" i="14" s="1"/>
  <c r="W207" i="14"/>
  <c r="W54" i="14" s="1"/>
  <c r="X207" i="14"/>
  <c r="X54" i="14" s="1"/>
  <c r="Y207" i="14"/>
  <c r="B207" i="14"/>
  <c r="B54" i="14" s="1"/>
  <c r="C204" i="14"/>
  <c r="D204" i="14"/>
  <c r="E204" i="14"/>
  <c r="F204" i="14"/>
  <c r="F51" i="14" s="1"/>
  <c r="G204" i="14"/>
  <c r="H204" i="14"/>
  <c r="I204" i="14"/>
  <c r="J204" i="14"/>
  <c r="K204" i="14"/>
  <c r="L204" i="14"/>
  <c r="M204" i="14"/>
  <c r="N204" i="14"/>
  <c r="O204" i="14"/>
  <c r="P204" i="14"/>
  <c r="Q204" i="14"/>
  <c r="R204" i="14"/>
  <c r="S204" i="14"/>
  <c r="T204" i="14"/>
  <c r="U204" i="14"/>
  <c r="V204" i="14"/>
  <c r="W204" i="14"/>
  <c r="X204" i="14"/>
  <c r="Y204" i="14"/>
  <c r="B204" i="14"/>
  <c r="B51" i="14" s="1"/>
  <c r="C194" i="14"/>
  <c r="D194" i="14"/>
  <c r="E194" i="14"/>
  <c r="F194" i="14"/>
  <c r="F41" i="14" s="1"/>
  <c r="G194" i="14"/>
  <c r="H194" i="14"/>
  <c r="I194" i="14"/>
  <c r="J194" i="14"/>
  <c r="J41" i="14" s="1"/>
  <c r="K194" i="14"/>
  <c r="L194" i="14"/>
  <c r="M194" i="14"/>
  <c r="N194" i="14"/>
  <c r="O194" i="14"/>
  <c r="P194" i="14"/>
  <c r="Q194" i="14"/>
  <c r="R194" i="14"/>
  <c r="S194" i="14"/>
  <c r="T194" i="14"/>
  <c r="U194" i="14"/>
  <c r="V194" i="14"/>
  <c r="W194" i="14"/>
  <c r="X194" i="14"/>
  <c r="Y194" i="14"/>
  <c r="AE194" i="14" s="1"/>
  <c r="B194"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B188" i="14"/>
  <c r="C183" i="14"/>
  <c r="C30" i="14" s="1"/>
  <c r="D183" i="14"/>
  <c r="D30" i="14" s="1"/>
  <c r="E183" i="14"/>
  <c r="F183" i="14"/>
  <c r="F30" i="14" s="1"/>
  <c r="G183" i="14"/>
  <c r="G30" i="14" s="1"/>
  <c r="H183" i="14"/>
  <c r="H30" i="14" s="1"/>
  <c r="I183" i="14"/>
  <c r="J183" i="14"/>
  <c r="J30" i="14" s="1"/>
  <c r="K183" i="14"/>
  <c r="K30" i="14" s="1"/>
  <c r="L183" i="14"/>
  <c r="L30" i="14" s="1"/>
  <c r="M183" i="14"/>
  <c r="N183" i="14"/>
  <c r="O183" i="14"/>
  <c r="O30" i="14" s="1"/>
  <c r="P183" i="14"/>
  <c r="P30" i="14" s="1"/>
  <c r="Q183" i="14"/>
  <c r="R183" i="14"/>
  <c r="R30" i="14" s="1"/>
  <c r="S183" i="14"/>
  <c r="T183" i="14"/>
  <c r="U183" i="14"/>
  <c r="V183" i="14"/>
  <c r="V30" i="14" s="1"/>
  <c r="W183" i="14"/>
  <c r="X183" i="14"/>
  <c r="X30" i="14" s="1"/>
  <c r="Y183" i="14"/>
  <c r="B183" i="14"/>
  <c r="Y179" i="14"/>
  <c r="AE179" i="14" s="1"/>
  <c r="X179" i="14"/>
  <c r="W179" i="14"/>
  <c r="V179" i="14"/>
  <c r="U179" i="14"/>
  <c r="T179" i="14"/>
  <c r="S179" i="14"/>
  <c r="R179" i="14"/>
  <c r="Q179" i="14"/>
  <c r="Q26" i="14" s="1"/>
  <c r="P179" i="14"/>
  <c r="O179" i="14"/>
  <c r="O26" i="14" s="1"/>
  <c r="N179" i="14"/>
  <c r="M179" i="14"/>
  <c r="M26" i="14" s="1"/>
  <c r="L179" i="14"/>
  <c r="L26" i="14" s="1"/>
  <c r="K179" i="14"/>
  <c r="K26" i="14" s="1"/>
  <c r="J179" i="14"/>
  <c r="J26" i="14" s="1"/>
  <c r="I179" i="14"/>
  <c r="H179" i="14"/>
  <c r="H26" i="14" s="1"/>
  <c r="G179" i="14"/>
  <c r="G26" i="14" s="1"/>
  <c r="F179" i="14"/>
  <c r="F26" i="14" s="1"/>
  <c r="E179" i="14"/>
  <c r="E26" i="14" s="1"/>
  <c r="D179" i="14"/>
  <c r="D26" i="14" s="1"/>
  <c r="C179" i="14"/>
  <c r="B179" i="14"/>
  <c r="B26" i="14" s="1"/>
  <c r="C175" i="14"/>
  <c r="C22" i="14" s="1"/>
  <c r="D175" i="14"/>
  <c r="D22" i="14" s="1"/>
  <c r="E175" i="14"/>
  <c r="F175" i="14"/>
  <c r="F22" i="14" s="1"/>
  <c r="G175" i="14"/>
  <c r="G22" i="14" s="1"/>
  <c r="H175" i="14"/>
  <c r="H22" i="14" s="1"/>
  <c r="I175" i="14"/>
  <c r="J175" i="14"/>
  <c r="J22" i="14" s="1"/>
  <c r="K175" i="14"/>
  <c r="K22" i="14" s="1"/>
  <c r="L175" i="14"/>
  <c r="L22" i="14" s="1"/>
  <c r="M175" i="14"/>
  <c r="N175" i="14"/>
  <c r="O175" i="14"/>
  <c r="P175" i="14"/>
  <c r="P22" i="14" s="1"/>
  <c r="Q175" i="14"/>
  <c r="R175" i="14"/>
  <c r="R22" i="14" s="1"/>
  <c r="S175" i="14"/>
  <c r="T175" i="14"/>
  <c r="U175" i="14"/>
  <c r="V175" i="14"/>
  <c r="W175" i="14"/>
  <c r="X175" i="14"/>
  <c r="Y175" i="14"/>
  <c r="B175" i="14"/>
  <c r="C166" i="14"/>
  <c r="C13" i="14" s="1"/>
  <c r="D166" i="14"/>
  <c r="D13" i="14" s="1"/>
  <c r="E166" i="14"/>
  <c r="F166" i="14"/>
  <c r="F13" i="14" s="1"/>
  <c r="G166" i="14"/>
  <c r="G13" i="14" s="1"/>
  <c r="H166" i="14"/>
  <c r="I166" i="14"/>
  <c r="J166" i="14"/>
  <c r="J13" i="14" s="1"/>
  <c r="K166" i="14"/>
  <c r="K13" i="14" s="1"/>
  <c r="L166" i="14"/>
  <c r="L13" i="14" s="1"/>
  <c r="M166" i="14"/>
  <c r="N166" i="14"/>
  <c r="O166" i="14"/>
  <c r="P166" i="14"/>
  <c r="Q166" i="14"/>
  <c r="R166" i="14"/>
  <c r="S166" i="14"/>
  <c r="T166" i="14"/>
  <c r="U166" i="14"/>
  <c r="V166" i="14"/>
  <c r="W166" i="14"/>
  <c r="X166" i="14"/>
  <c r="Y166" i="14"/>
  <c r="B166" i="14"/>
  <c r="B13" i="14" s="1"/>
  <c r="AF99" i="14" l="1"/>
  <c r="AG99" i="14" s="1"/>
  <c r="AF19" i="14"/>
  <c r="AG19" i="14" s="1"/>
  <c r="AF95" i="14"/>
  <c r="AG95" i="14" s="1"/>
  <c r="AF23" i="14"/>
  <c r="AG23" i="14" s="1"/>
  <c r="AF96" i="14"/>
  <c r="AG31" i="13"/>
  <c r="AH31" i="13" s="1"/>
  <c r="D129" i="16"/>
  <c r="N125" i="16"/>
  <c r="P125" i="16"/>
  <c r="J127" i="16"/>
  <c r="AE29" i="16"/>
  <c r="AF33" i="16"/>
  <c r="AG33" i="16" s="1"/>
  <c r="W167" i="16"/>
  <c r="AF37" i="16"/>
  <c r="AG37" i="16" s="1"/>
  <c r="AF35" i="16"/>
  <c r="AG35" i="16" s="1"/>
  <c r="I131" i="16"/>
  <c r="AF102" i="15"/>
  <c r="AG102" i="15" s="1"/>
  <c r="AF122" i="14"/>
  <c r="AF127" i="14"/>
  <c r="AG127" i="14" s="1"/>
  <c r="AG34" i="13"/>
  <c r="AH34" i="13" s="1"/>
  <c r="AG56" i="13"/>
  <c r="AH56" i="13" s="1"/>
  <c r="AG50" i="13"/>
  <c r="AH50" i="13" s="1"/>
  <c r="AG43" i="13"/>
  <c r="AH43" i="13" s="1"/>
  <c r="AG24" i="13"/>
  <c r="AH24" i="13" s="1"/>
  <c r="M125" i="16"/>
  <c r="C125" i="16"/>
  <c r="F125" i="16"/>
  <c r="S125" i="16"/>
  <c r="L127" i="16"/>
  <c r="C122" i="16"/>
  <c r="K127" i="16"/>
  <c r="C127" i="16"/>
  <c r="B127" i="16"/>
  <c r="Q127" i="16"/>
  <c r="I129" i="16"/>
  <c r="G131" i="16"/>
  <c r="K129" i="16"/>
  <c r="G125" i="16"/>
  <c r="W125" i="16"/>
  <c r="Y125" i="16"/>
  <c r="I125" i="16"/>
  <c r="J125" i="16"/>
  <c r="D125" i="16"/>
  <c r="T125" i="16"/>
  <c r="J129" i="16"/>
  <c r="D122" i="16"/>
  <c r="D123" i="16" s="1"/>
  <c r="E129" i="16"/>
  <c r="K125" i="16"/>
  <c r="V125" i="16"/>
  <c r="U125" i="16"/>
  <c r="E125" i="16"/>
  <c r="T131" i="16"/>
  <c r="H125" i="16"/>
  <c r="X125" i="16"/>
  <c r="O125" i="16"/>
  <c r="R125" i="16"/>
  <c r="Q125" i="16"/>
  <c r="B125" i="16"/>
  <c r="M129" i="16"/>
  <c r="O127" i="16"/>
  <c r="F131" i="16"/>
  <c r="P127" i="16"/>
  <c r="E127" i="16"/>
  <c r="U127" i="16"/>
  <c r="N127" i="16"/>
  <c r="S127" i="16"/>
  <c r="D127" i="16"/>
  <c r="T127" i="16"/>
  <c r="I127" i="16"/>
  <c r="Y127" i="16"/>
  <c r="R127" i="16"/>
  <c r="T129" i="16"/>
  <c r="G127" i="16"/>
  <c r="W127" i="16"/>
  <c r="R129" i="16"/>
  <c r="H127" i="16"/>
  <c r="X127" i="16"/>
  <c r="C129" i="16"/>
  <c r="M127" i="16"/>
  <c r="F127" i="16"/>
  <c r="E130" i="16"/>
  <c r="X131" i="16"/>
  <c r="K131" i="16"/>
  <c r="B131" i="16"/>
  <c r="H131" i="16"/>
  <c r="N131" i="16"/>
  <c r="O131" i="16"/>
  <c r="Y131" i="16"/>
  <c r="AF115" i="16"/>
  <c r="AG115" i="16" s="1"/>
  <c r="D131" i="16"/>
  <c r="V131" i="16"/>
  <c r="Q131" i="16"/>
  <c r="L131" i="16"/>
  <c r="S131" i="16"/>
  <c r="J131" i="16"/>
  <c r="AF100" i="15"/>
  <c r="AF93" i="15"/>
  <c r="AG93" i="15" s="1"/>
  <c r="AF92" i="15"/>
  <c r="AG92" i="15" s="1"/>
  <c r="AF55" i="15"/>
  <c r="AG55" i="15" s="1"/>
  <c r="J229" i="15"/>
  <c r="O181" i="15"/>
  <c r="I229" i="15"/>
  <c r="O229" i="15"/>
  <c r="D181" i="15"/>
  <c r="X229" i="15"/>
  <c r="AF38" i="15"/>
  <c r="AG38" i="15" s="1"/>
  <c r="N229" i="15"/>
  <c r="M229" i="15"/>
  <c r="L229" i="15"/>
  <c r="Q181" i="15"/>
  <c r="M181" i="15"/>
  <c r="B229" i="15"/>
  <c r="U229" i="15"/>
  <c r="G229" i="15"/>
  <c r="W229" i="15"/>
  <c r="L181" i="15"/>
  <c r="T181" i="15"/>
  <c r="D229" i="15"/>
  <c r="I181" i="15"/>
  <c r="X177" i="15"/>
  <c r="T229" i="15"/>
  <c r="G181" i="15"/>
  <c r="AF14" i="15"/>
  <c r="AG14" i="15" s="1"/>
  <c r="AF21" i="15"/>
  <c r="AG21" i="15" s="1"/>
  <c r="Y229" i="15"/>
  <c r="E229" i="15"/>
  <c r="C229" i="15"/>
  <c r="K229" i="15"/>
  <c r="S229" i="15"/>
  <c r="R229" i="15"/>
  <c r="H181" i="15"/>
  <c r="P181" i="15"/>
  <c r="X181" i="15"/>
  <c r="P229" i="15"/>
  <c r="Y181" i="15"/>
  <c r="H229" i="15"/>
  <c r="U181" i="15"/>
  <c r="Q229" i="15"/>
  <c r="AF47" i="15"/>
  <c r="AG47" i="15" s="1"/>
  <c r="C174" i="15"/>
  <c r="D174" i="15" s="1"/>
  <c r="D175" i="15" s="1"/>
  <c r="J113" i="15"/>
  <c r="AF57" i="15"/>
  <c r="AG57" i="15" s="1"/>
  <c r="E113" i="15"/>
  <c r="K113" i="15"/>
  <c r="AF25" i="15"/>
  <c r="AG25" i="15" s="1"/>
  <c r="AF18" i="15"/>
  <c r="AG18" i="15" s="1"/>
  <c r="AF220" i="15"/>
  <c r="AG220" i="15" s="1"/>
  <c r="AF46" i="15"/>
  <c r="AG46" i="15" s="1"/>
  <c r="J235" i="15"/>
  <c r="G178" i="15"/>
  <c r="I113" i="15"/>
  <c r="N113" i="15"/>
  <c r="U113" i="15"/>
  <c r="O113" i="15"/>
  <c r="B113" i="15"/>
  <c r="L113" i="15"/>
  <c r="Y113" i="15"/>
  <c r="W113" i="15"/>
  <c r="C113" i="15"/>
  <c r="P113" i="15"/>
  <c r="AE99" i="15"/>
  <c r="AE88" i="15"/>
  <c r="AF23" i="15"/>
  <c r="AG23" i="15" s="1"/>
  <c r="AD103" i="15"/>
  <c r="AD96" i="15"/>
  <c r="N178" i="15"/>
  <c r="AE103" i="15"/>
  <c r="AE96" i="15"/>
  <c r="AF40" i="15"/>
  <c r="AG40" i="15" s="1"/>
  <c r="AE107" i="15"/>
  <c r="Q232" i="15"/>
  <c r="G232" i="15"/>
  <c r="AE84" i="15"/>
  <c r="Y178" i="15"/>
  <c r="D178" i="15"/>
  <c r="O178" i="15"/>
  <c r="L178" i="15"/>
  <c r="W178" i="15"/>
  <c r="AD99" i="15"/>
  <c r="AF49" i="15"/>
  <c r="AG49" i="15" s="1"/>
  <c r="AF41" i="15"/>
  <c r="AG41" i="15" s="1"/>
  <c r="AD107" i="15"/>
  <c r="AF36" i="15"/>
  <c r="AG36" i="15" s="1"/>
  <c r="M113" i="15"/>
  <c r="R113" i="15"/>
  <c r="S113" i="15"/>
  <c r="D113" i="15"/>
  <c r="T113" i="15"/>
  <c r="AF48" i="15"/>
  <c r="AG48" i="15" s="1"/>
  <c r="AC96" i="15"/>
  <c r="C225" i="15"/>
  <c r="D225" i="15" s="1"/>
  <c r="D226" i="15" s="1"/>
  <c r="AE91" i="15"/>
  <c r="Q113" i="15"/>
  <c r="G113" i="15"/>
  <c r="F113" i="15"/>
  <c r="V113" i="15"/>
  <c r="H113" i="15"/>
  <c r="AE100" i="14"/>
  <c r="AE104" i="14"/>
  <c r="AF97" i="14"/>
  <c r="AG97" i="14" s="1"/>
  <c r="AF98" i="14"/>
  <c r="AF60" i="14"/>
  <c r="AG60" i="14" s="1"/>
  <c r="AF105" i="14"/>
  <c r="AG105" i="14" s="1"/>
  <c r="AF112" i="14"/>
  <c r="AG112" i="14" s="1"/>
  <c r="AE108" i="14"/>
  <c r="AE140" i="14"/>
  <c r="AE136" i="14"/>
  <c r="AF135" i="14"/>
  <c r="AF115" i="14"/>
  <c r="AG115" i="14" s="1"/>
  <c r="AE257" i="14"/>
  <c r="AF44" i="14"/>
  <c r="AG44" i="14" s="1"/>
  <c r="AF17" i="14"/>
  <c r="AG17" i="14" s="1"/>
  <c r="AF38" i="14"/>
  <c r="AG38" i="14" s="1"/>
  <c r="AF124" i="14"/>
  <c r="AF137" i="14"/>
  <c r="AG137" i="14" s="1"/>
  <c r="AF33" i="14"/>
  <c r="AG33" i="14" s="1"/>
  <c r="AF123" i="14"/>
  <c r="AG123" i="14" s="1"/>
  <c r="AF120" i="14"/>
  <c r="AG120" i="14" s="1"/>
  <c r="AF32" i="14"/>
  <c r="AF52" i="14"/>
  <c r="AG52" i="14" s="1"/>
  <c r="AG61" i="13"/>
  <c r="AH61" i="13" s="1"/>
  <c r="AG54" i="13"/>
  <c r="AH54" i="13" s="1"/>
  <c r="AG49" i="13"/>
  <c r="AH49" i="13" s="1"/>
  <c r="AG45" i="13"/>
  <c r="AG39" i="13"/>
  <c r="AH39" i="13" s="1"/>
  <c r="AG23" i="13"/>
  <c r="AG14" i="13"/>
  <c r="AH14" i="13" s="1"/>
  <c r="AG25" i="13"/>
  <c r="AH25" i="13" s="1"/>
  <c r="AG63" i="13"/>
  <c r="AH63" i="13" s="1"/>
  <c r="AG55" i="13"/>
  <c r="AH55" i="13" s="1"/>
  <c r="AG40" i="13"/>
  <c r="AH40" i="13" s="1"/>
  <c r="AG42" i="13"/>
  <c r="AH42" i="13" s="1"/>
  <c r="AG36" i="13"/>
  <c r="AH36" i="13" s="1"/>
  <c r="AG27" i="13"/>
  <c r="AG20" i="13"/>
  <c r="AH20" i="13" s="1"/>
  <c r="AG46" i="13"/>
  <c r="AH46" i="13" s="1"/>
  <c r="AG17" i="13"/>
  <c r="AH17" i="13" s="1"/>
  <c r="AG21" i="13"/>
  <c r="AH21" i="13" s="1"/>
  <c r="AG28" i="13"/>
  <c r="AH28" i="13" s="1"/>
  <c r="AG58" i="13"/>
  <c r="AH58" i="13" s="1"/>
  <c r="AG60" i="13"/>
  <c r="AH60" i="13" s="1"/>
  <c r="AG16" i="13"/>
  <c r="AG33" i="13"/>
  <c r="AH33" i="13" s="1"/>
  <c r="AG18" i="13"/>
  <c r="AH18" i="13" s="1"/>
  <c r="AG29" i="13"/>
  <c r="AH29" i="13" s="1"/>
  <c r="AG59" i="13"/>
  <c r="AH59" i="13" s="1"/>
  <c r="AG52" i="13"/>
  <c r="AH52" i="13" s="1"/>
  <c r="AG48" i="13"/>
  <c r="AH48" i="13" s="1"/>
  <c r="AG44" i="13"/>
  <c r="AH44" i="13" s="1"/>
  <c r="AG38" i="13"/>
  <c r="AH38" i="13" s="1"/>
  <c r="AG32" i="13"/>
  <c r="AH32" i="13" s="1"/>
  <c r="AG15" i="13"/>
  <c r="AH15" i="13" s="1"/>
  <c r="AG19" i="13"/>
  <c r="AH19" i="13" s="1"/>
  <c r="AG62" i="13"/>
  <c r="AG118" i="13"/>
  <c r="AH118" i="13" s="1"/>
  <c r="AH45" i="13"/>
  <c r="AH57" i="13"/>
  <c r="AH47" i="13"/>
  <c r="AH37" i="13"/>
  <c r="AG123" i="13"/>
  <c r="AH123" i="13" s="1"/>
  <c r="AG112" i="13"/>
  <c r="AH112" i="13" s="1"/>
  <c r="AG125" i="13"/>
  <c r="AH125" i="13" s="1"/>
  <c r="AG127" i="13"/>
  <c r="AH127" i="13" s="1"/>
  <c r="AG97" i="13"/>
  <c r="AH97" i="13" s="1"/>
  <c r="B167" i="16"/>
  <c r="E167" i="16"/>
  <c r="F167" i="16"/>
  <c r="H167" i="16"/>
  <c r="U167" i="16"/>
  <c r="V167" i="16"/>
  <c r="X167" i="16"/>
  <c r="N167" i="16"/>
  <c r="P167" i="16"/>
  <c r="Z121" i="16"/>
  <c r="AA117" i="16" s="1"/>
  <c r="AF82" i="15"/>
  <c r="AG82" i="15" s="1"/>
  <c r="AF104" i="15"/>
  <c r="AG104" i="15" s="1"/>
  <c r="AD52" i="15"/>
  <c r="AE45" i="15"/>
  <c r="AF28" i="15"/>
  <c r="AG28" i="15" s="1"/>
  <c r="B235" i="15"/>
  <c r="AD35" i="15"/>
  <c r="AE20" i="15"/>
  <c r="AE16" i="15"/>
  <c r="AE13" i="15"/>
  <c r="AE50" i="15"/>
  <c r="AD54" i="15"/>
  <c r="AF90" i="15"/>
  <c r="AG90" i="15" s="1"/>
  <c r="AF24" i="15"/>
  <c r="AG24" i="15" s="1"/>
  <c r="R230" i="15"/>
  <c r="AE30" i="15"/>
  <c r="AE22" i="15"/>
  <c r="AF135" i="15"/>
  <c r="AG135" i="15" s="1"/>
  <c r="AF131" i="15"/>
  <c r="AG131" i="15" s="1"/>
  <c r="AF141" i="15"/>
  <c r="AG141" i="15" s="1"/>
  <c r="AF87" i="15"/>
  <c r="AG87" i="15" s="1"/>
  <c r="P187" i="15"/>
  <c r="AD50" i="15"/>
  <c r="AC99" i="15"/>
  <c r="P183" i="15"/>
  <c r="V229" i="15"/>
  <c r="F189" i="15"/>
  <c r="E181" i="15"/>
  <c r="C181" i="15"/>
  <c r="K181" i="15"/>
  <c r="S181" i="15"/>
  <c r="AF106" i="15"/>
  <c r="AG106" i="15" s="1"/>
  <c r="AF51" i="15"/>
  <c r="AG51" i="15" s="1"/>
  <c r="AF110" i="14"/>
  <c r="AF118" i="14"/>
  <c r="AG118" i="14" s="1"/>
  <c r="AF49" i="14"/>
  <c r="AG49" i="14" s="1"/>
  <c r="AF20" i="14"/>
  <c r="AG20" i="14" s="1"/>
  <c r="AF40" i="14"/>
  <c r="AG40" i="14" s="1"/>
  <c r="AF39" i="14"/>
  <c r="AG39" i="14" s="1"/>
  <c r="AF139" i="14"/>
  <c r="AG139" i="14" s="1"/>
  <c r="AF62" i="14"/>
  <c r="AG62" i="14" s="1"/>
  <c r="AF132" i="14"/>
  <c r="AG132" i="14" s="1"/>
  <c r="AF101" i="14"/>
  <c r="AF16" i="14"/>
  <c r="AG16" i="14" s="1"/>
  <c r="H177" i="15"/>
  <c r="AF93" i="14"/>
  <c r="AG93" i="14" s="1"/>
  <c r="AF55" i="14"/>
  <c r="AF34" i="14"/>
  <c r="AG34" i="14" s="1"/>
  <c r="AE289" i="14"/>
  <c r="AF28" i="14"/>
  <c r="AG28" i="14" s="1"/>
  <c r="AF125" i="14"/>
  <c r="AF64" i="14"/>
  <c r="AG64" i="14" s="1"/>
  <c r="AF48" i="14"/>
  <c r="AE253" i="14"/>
  <c r="AE261" i="14"/>
  <c r="AF102" i="14"/>
  <c r="AG102" i="14" s="1"/>
  <c r="AF170" i="14"/>
  <c r="AG170" i="14" s="1"/>
  <c r="AF174" i="14"/>
  <c r="AG174" i="14" s="1"/>
  <c r="AF195" i="14"/>
  <c r="AG195" i="14" s="1"/>
  <c r="AF258" i="14"/>
  <c r="AG258" i="14" s="1"/>
  <c r="AF129" i="14"/>
  <c r="AF117" i="14"/>
  <c r="AG117" i="14" s="1"/>
  <c r="AF21" i="14"/>
  <c r="AG21" i="14" s="1"/>
  <c r="AF128" i="14"/>
  <c r="AG128" i="14" s="1"/>
  <c r="AF34" i="15"/>
  <c r="AG34" i="15" s="1"/>
  <c r="S189" i="15"/>
  <c r="AD30" i="15"/>
  <c r="M188" i="15"/>
  <c r="W183" i="15"/>
  <c r="V189" i="15"/>
  <c r="K179" i="15"/>
  <c r="C183" i="15"/>
  <c r="H188" i="15"/>
  <c r="AF31" i="15"/>
  <c r="AG31" i="15" s="1"/>
  <c r="AC84" i="15"/>
  <c r="F181" i="15"/>
  <c r="N181" i="15"/>
  <c r="AE293" i="14"/>
  <c r="B295" i="14"/>
  <c r="AF130" i="14"/>
  <c r="AF27" i="14"/>
  <c r="AG27" i="14" s="1"/>
  <c r="AF46" i="14"/>
  <c r="AF43" i="14"/>
  <c r="AG43" i="14" s="1"/>
  <c r="AF15" i="14"/>
  <c r="AG15" i="14" s="1"/>
  <c r="AF18" i="14"/>
  <c r="AG18" i="14" s="1"/>
  <c r="AF106" i="14"/>
  <c r="B231" i="15"/>
  <c r="AF206" i="15"/>
  <c r="AG206" i="15" s="1"/>
  <c r="W232" i="15"/>
  <c r="N234" i="15"/>
  <c r="X188" i="15"/>
  <c r="W179" i="15"/>
  <c r="D232" i="15"/>
  <c r="AF218" i="15"/>
  <c r="AG218" i="15" s="1"/>
  <c r="AF83" i="15"/>
  <c r="AG83" i="15" s="1"/>
  <c r="AF43" i="15"/>
  <c r="AG43" i="15" s="1"/>
  <c r="T232" i="15"/>
  <c r="R232" i="15"/>
  <c r="G179" i="15"/>
  <c r="P177" i="15"/>
  <c r="W181" i="15"/>
  <c r="V181" i="15"/>
  <c r="AF249" i="14"/>
  <c r="AF66" i="14"/>
  <c r="AG66" i="14" s="1"/>
  <c r="AF47" i="14"/>
  <c r="AG47" i="14" s="1"/>
  <c r="AF50" i="14"/>
  <c r="AG50" i="14" s="1"/>
  <c r="AF56" i="14"/>
  <c r="AF53" i="14"/>
  <c r="AG53" i="14" s="1"/>
  <c r="AF14" i="14"/>
  <c r="AG14" i="14" s="1"/>
  <c r="AD179" i="14"/>
  <c r="AD183" i="14"/>
  <c r="AF171" i="14"/>
  <c r="AG171" i="14" s="1"/>
  <c r="AF217" i="14"/>
  <c r="AG217" i="14" s="1"/>
  <c r="W295" i="14"/>
  <c r="S295" i="14"/>
  <c r="AF126" i="14"/>
  <c r="AF92" i="14"/>
  <c r="AG92" i="14" s="1"/>
  <c r="AF94" i="14"/>
  <c r="AG94" i="14" s="1"/>
  <c r="AF116" i="14"/>
  <c r="AG116" i="14" s="1"/>
  <c r="AF31" i="14"/>
  <c r="AG31" i="14" s="1"/>
  <c r="AF42" i="14"/>
  <c r="AG42" i="14" s="1"/>
  <c r="AF294" i="14"/>
  <c r="Z183" i="14"/>
  <c r="K228" i="14" s="1"/>
  <c r="AD188" i="14"/>
  <c r="AD204" i="14"/>
  <c r="O220" i="14"/>
  <c r="C220" i="14"/>
  <c r="AF181" i="14"/>
  <c r="AG181" i="14" s="1"/>
  <c r="AF192" i="14"/>
  <c r="AG192" i="14" s="1"/>
  <c r="AF209" i="14"/>
  <c r="J233" i="14"/>
  <c r="B235" i="14"/>
  <c r="G295" i="14"/>
  <c r="W220" i="14"/>
  <c r="AF186" i="14"/>
  <c r="AG186" i="14" s="1"/>
  <c r="AF191" i="14"/>
  <c r="AG191" i="14" s="1"/>
  <c r="AF211" i="14"/>
  <c r="B234" i="14"/>
  <c r="C295" i="14"/>
  <c r="S220" i="14"/>
  <c r="R234" i="14"/>
  <c r="O295" i="14"/>
  <c r="G220" i="14"/>
  <c r="B233" i="14"/>
  <c r="J234" i="14"/>
  <c r="K295" i="14"/>
  <c r="AF95" i="15"/>
  <c r="AG95" i="15" s="1"/>
  <c r="AF56" i="15"/>
  <c r="AG56" i="15" s="1"/>
  <c r="AF33" i="15"/>
  <c r="AG33" i="15" s="1"/>
  <c r="AF53" i="15"/>
  <c r="AG53" i="15" s="1"/>
  <c r="R235" i="15"/>
  <c r="AD84" i="15"/>
  <c r="D234" i="15"/>
  <c r="M235" i="15"/>
  <c r="AF214" i="15"/>
  <c r="AG214" i="15" s="1"/>
  <c r="E188" i="15"/>
  <c r="U188" i="15"/>
  <c r="N189" i="15"/>
  <c r="AD173" i="15"/>
  <c r="C178" i="15"/>
  <c r="K178" i="15"/>
  <c r="S178" i="15"/>
  <c r="K189" i="15"/>
  <c r="B188" i="15"/>
  <c r="H178" i="15"/>
  <c r="P178" i="15"/>
  <c r="S236" i="15"/>
  <c r="J178" i="15"/>
  <c r="P188" i="15"/>
  <c r="AC173" i="15"/>
  <c r="AF157" i="15"/>
  <c r="AG157" i="15" s="1"/>
  <c r="F179" i="15"/>
  <c r="B189" i="15"/>
  <c r="AC35" i="15"/>
  <c r="B181" i="15"/>
  <c r="M179" i="15"/>
  <c r="E235" i="15"/>
  <c r="AF167" i="15"/>
  <c r="AG167" i="15" s="1"/>
  <c r="AF211" i="15"/>
  <c r="AG211" i="15" s="1"/>
  <c r="AF27" i="15"/>
  <c r="AG27" i="15" s="1"/>
  <c r="F235" i="15"/>
  <c r="V235" i="15"/>
  <c r="T234" i="15"/>
  <c r="Q235" i="15"/>
  <c r="AD105" i="15"/>
  <c r="AF203" i="15"/>
  <c r="AG203" i="15" s="1"/>
  <c r="AF199" i="15"/>
  <c r="AG199" i="15" s="1"/>
  <c r="AC20" i="15"/>
  <c r="G182" i="15"/>
  <c r="I188" i="15"/>
  <c r="Y188" i="15"/>
  <c r="R189" i="15"/>
  <c r="R178" i="15"/>
  <c r="O189" i="15"/>
  <c r="AD45" i="15"/>
  <c r="Q182" i="15"/>
  <c r="E233" i="15"/>
  <c r="D188" i="15"/>
  <c r="T188" i="15"/>
  <c r="AF86" i="15"/>
  <c r="AG86" i="15" s="1"/>
  <c r="AF101" i="15"/>
  <c r="AG101" i="15" s="1"/>
  <c r="U235" i="15"/>
  <c r="N235" i="15"/>
  <c r="X236" i="15"/>
  <c r="AC88" i="15"/>
  <c r="K233" i="15"/>
  <c r="I235" i="15"/>
  <c r="Y235" i="15"/>
  <c r="Q188" i="15"/>
  <c r="J189" i="15"/>
  <c r="G189" i="15"/>
  <c r="W189" i="15"/>
  <c r="X178" i="15"/>
  <c r="S235" i="15"/>
  <c r="L188" i="15"/>
  <c r="Y189" i="15"/>
  <c r="S187" i="15"/>
  <c r="AC30" i="15"/>
  <c r="AF89" i="15"/>
  <c r="AG89" i="15" s="1"/>
  <c r="P233" i="15"/>
  <c r="F236" i="15"/>
  <c r="G183" i="15"/>
  <c r="C185" i="15"/>
  <c r="T187" i="15"/>
  <c r="D182" i="15"/>
  <c r="AC13" i="15"/>
  <c r="S177" i="15"/>
  <c r="O231" i="15"/>
  <c r="M183" i="15"/>
  <c r="X186" i="15"/>
  <c r="I182" i="15"/>
  <c r="H179" i="15"/>
  <c r="AD224" i="15"/>
  <c r="C236" i="15"/>
  <c r="U183" i="15"/>
  <c r="AC26" i="15"/>
  <c r="AC22" i="15"/>
  <c r="AC52" i="15"/>
  <c r="K187" i="15"/>
  <c r="R186" i="15"/>
  <c r="B183" i="15"/>
  <c r="E179" i="15"/>
  <c r="AF97" i="15"/>
  <c r="AG97" i="15" s="1"/>
  <c r="D187" i="15"/>
  <c r="J177" i="15"/>
  <c r="AF44" i="15"/>
  <c r="AG44" i="15" s="1"/>
  <c r="AF29" i="15"/>
  <c r="AG29" i="15" s="1"/>
  <c r="N231" i="15"/>
  <c r="V236" i="15"/>
  <c r="L183" i="15"/>
  <c r="G186" i="15"/>
  <c r="X187" i="15"/>
  <c r="B177" i="15"/>
  <c r="AF169" i="15"/>
  <c r="AG169" i="15" s="1"/>
  <c r="C177" i="15"/>
  <c r="K177" i="15"/>
  <c r="W177" i="15"/>
  <c r="S183" i="15"/>
  <c r="Q186" i="15"/>
  <c r="AC42" i="15"/>
  <c r="D177" i="15"/>
  <c r="L177" i="15"/>
  <c r="T177" i="15"/>
  <c r="C235" i="15"/>
  <c r="U233" i="15"/>
  <c r="C179" i="15"/>
  <c r="E183" i="15"/>
  <c r="D184" i="15"/>
  <c r="V179" i="15"/>
  <c r="H183" i="15"/>
  <c r="I189" i="15"/>
  <c r="C187" i="15"/>
  <c r="J186" i="15"/>
  <c r="AF150" i="15"/>
  <c r="AG150" i="15" s="1"/>
  <c r="J181" i="15"/>
  <c r="I178" i="15"/>
  <c r="O185" i="15"/>
  <c r="F183" i="15"/>
  <c r="AF85" i="15"/>
  <c r="AG85" i="15" s="1"/>
  <c r="AF17" i="15"/>
  <c r="AG17" i="15" s="1"/>
  <c r="AF32" i="15"/>
  <c r="AG32" i="15" s="1"/>
  <c r="H236" i="15"/>
  <c r="Q183" i="15"/>
  <c r="E187" i="15"/>
  <c r="G177" i="15"/>
  <c r="O177" i="15"/>
  <c r="X183" i="15"/>
  <c r="P179" i="15"/>
  <c r="AC107" i="15"/>
  <c r="AC103" i="15"/>
  <c r="AF103" i="15" s="1"/>
  <c r="AG103" i="15" s="1"/>
  <c r="K183" i="15"/>
  <c r="R185" i="15"/>
  <c r="N179" i="15"/>
  <c r="Z173" i="15"/>
  <c r="AA162" i="15" s="1"/>
  <c r="B187" i="15"/>
  <c r="E185" i="15"/>
  <c r="U179" i="15"/>
  <c r="D230" i="15"/>
  <c r="T230" i="15"/>
  <c r="H180" i="15"/>
  <c r="X180" i="15"/>
  <c r="K180" i="15"/>
  <c r="U232" i="15"/>
  <c r="M232" i="15"/>
  <c r="L184" i="15"/>
  <c r="AD42" i="15"/>
  <c r="I180" i="15"/>
  <c r="AF152" i="15"/>
  <c r="AG152" i="15" s="1"/>
  <c r="AF128" i="15"/>
  <c r="AG128" i="15" s="1"/>
  <c r="D186" i="15"/>
  <c r="T186" i="15"/>
  <c r="O186" i="15"/>
  <c r="J233" i="15"/>
  <c r="B233" i="15"/>
  <c r="N233" i="15"/>
  <c r="R233" i="15"/>
  <c r="F233" i="15"/>
  <c r="V233" i="15"/>
  <c r="G230" i="15"/>
  <c r="J231" i="15"/>
  <c r="C232" i="15"/>
  <c r="S232" i="15"/>
  <c r="L233" i="15"/>
  <c r="S230" i="15"/>
  <c r="P232" i="15"/>
  <c r="J234" i="15"/>
  <c r="D236" i="15"/>
  <c r="T236" i="15"/>
  <c r="K230" i="15"/>
  <c r="N232" i="15"/>
  <c r="G233" i="15"/>
  <c r="W233" i="15"/>
  <c r="P234" i="15"/>
  <c r="R236" i="15"/>
  <c r="AD88" i="15"/>
  <c r="P180" i="15"/>
  <c r="E184" i="15"/>
  <c r="Y185" i="15"/>
  <c r="O180" i="15"/>
  <c r="D231" i="15"/>
  <c r="E232" i="15"/>
  <c r="K231" i="15"/>
  <c r="J185" i="15"/>
  <c r="S186" i="15"/>
  <c r="N187" i="15"/>
  <c r="Y186" i="15"/>
  <c r="H185" i="15"/>
  <c r="P185" i="15"/>
  <c r="X185" i="15"/>
  <c r="M182" i="15"/>
  <c r="Y182" i="15"/>
  <c r="E230" i="15"/>
  <c r="M234" i="15"/>
  <c r="M231" i="15"/>
  <c r="W182" i="15"/>
  <c r="G185" i="15"/>
  <c r="P186" i="15"/>
  <c r="C184" i="15"/>
  <c r="K184" i="15"/>
  <c r="S184" i="15"/>
  <c r="J180" i="15"/>
  <c r="R180" i="15"/>
  <c r="AD13" i="15"/>
  <c r="Y187" i="15"/>
  <c r="M189" i="15"/>
  <c r="J188" i="15"/>
  <c r="R188" i="15"/>
  <c r="M185" i="15"/>
  <c r="F184" i="15"/>
  <c r="N184" i="15"/>
  <c r="B184" i="15"/>
  <c r="Z35" i="15"/>
  <c r="J68" i="15" s="1"/>
  <c r="O183" i="15"/>
  <c r="D183" i="15"/>
  <c r="T183" i="15"/>
  <c r="I183" i="15"/>
  <c r="Y183" i="15"/>
  <c r="F182" i="15"/>
  <c r="N182" i="15"/>
  <c r="V182" i="15"/>
  <c r="AD22" i="15"/>
  <c r="E178" i="15"/>
  <c r="E177" i="15"/>
  <c r="M177" i="15"/>
  <c r="U177" i="15"/>
  <c r="L230" i="15"/>
  <c r="V230" i="15"/>
  <c r="AF165" i="15"/>
  <c r="AG165" i="15" s="1"/>
  <c r="C234" i="15"/>
  <c r="S234" i="15"/>
  <c r="G234" i="15"/>
  <c r="W234" i="15"/>
  <c r="O234" i="15"/>
  <c r="K234" i="15"/>
  <c r="H231" i="15"/>
  <c r="X231" i="15"/>
  <c r="L231" i="15"/>
  <c r="P231" i="15"/>
  <c r="C231" i="15"/>
  <c r="T231" i="15"/>
  <c r="I230" i="15"/>
  <c r="F180" i="15"/>
  <c r="U184" i="15"/>
  <c r="Q180" i="15"/>
  <c r="F185" i="15"/>
  <c r="V185" i="15"/>
  <c r="K185" i="15"/>
  <c r="Z107" i="15"/>
  <c r="C121" i="15" s="1"/>
  <c r="E236" i="15"/>
  <c r="U236" i="15"/>
  <c r="I236" i="15"/>
  <c r="Y236" i="15"/>
  <c r="M236" i="15"/>
  <c r="Q236" i="15"/>
  <c r="AF19" i="15"/>
  <c r="AG19" i="15" s="1"/>
  <c r="W230" i="15"/>
  <c r="R231" i="15"/>
  <c r="K232" i="15"/>
  <c r="D233" i="15"/>
  <c r="X233" i="15"/>
  <c r="H232" i="15"/>
  <c r="X232" i="15"/>
  <c r="R234" i="15"/>
  <c r="L236" i="15"/>
  <c r="B234" i="15"/>
  <c r="F232" i="15"/>
  <c r="V232" i="15"/>
  <c r="O233" i="15"/>
  <c r="H234" i="15"/>
  <c r="X234" i="15"/>
  <c r="J236" i="15"/>
  <c r="B236" i="15"/>
  <c r="Z224" i="15"/>
  <c r="AA214" i="15" s="1"/>
  <c r="S182" i="15"/>
  <c r="N185" i="15"/>
  <c r="L186" i="15"/>
  <c r="C180" i="15"/>
  <c r="W180" i="15"/>
  <c r="S231" i="15"/>
  <c r="T180" i="15"/>
  <c r="O182" i="15"/>
  <c r="C186" i="15"/>
  <c r="L187" i="15"/>
  <c r="B180" i="15"/>
  <c r="J187" i="15"/>
  <c r="U186" i="15"/>
  <c r="D185" i="15"/>
  <c r="L185" i="15"/>
  <c r="T185" i="15"/>
  <c r="U182" i="15"/>
  <c r="Z20" i="15"/>
  <c r="P64" i="15" s="1"/>
  <c r="O179" i="15"/>
  <c r="B179" i="15"/>
  <c r="T179" i="15"/>
  <c r="T233" i="15"/>
  <c r="W236" i="15"/>
  <c r="G236" i="15"/>
  <c r="AC105" i="15"/>
  <c r="I234" i="15"/>
  <c r="Q234" i="15"/>
  <c r="Y234" i="15"/>
  <c r="I231" i="15"/>
  <c r="Q231" i="15"/>
  <c r="Y231" i="15"/>
  <c r="S179" i="15"/>
  <c r="I184" i="15"/>
  <c r="W185" i="15"/>
  <c r="G184" i="15"/>
  <c r="O184" i="15"/>
  <c r="N180" i="15"/>
  <c r="V180" i="15"/>
  <c r="F178" i="15"/>
  <c r="V178" i="15"/>
  <c r="C189" i="15"/>
  <c r="P184" i="15"/>
  <c r="E189" i="15"/>
  <c r="F188" i="15"/>
  <c r="N188" i="15"/>
  <c r="AC50" i="15"/>
  <c r="B186" i="15"/>
  <c r="I185" i="15"/>
  <c r="Q185" i="15"/>
  <c r="B185" i="15"/>
  <c r="J184" i="15"/>
  <c r="V183" i="15"/>
  <c r="J182" i="15"/>
  <c r="Y180" i="15"/>
  <c r="AD20" i="15"/>
  <c r="Q178" i="15"/>
  <c r="I177" i="15"/>
  <c r="Q177" i="15"/>
  <c r="Y177" i="15"/>
  <c r="Z88" i="15"/>
  <c r="F115" i="15" s="1"/>
  <c r="J230" i="15"/>
  <c r="O230" i="15"/>
  <c r="U230" i="15"/>
  <c r="AF222" i="15"/>
  <c r="AG222" i="15" s="1"/>
  <c r="Z96" i="15"/>
  <c r="F117" i="15" s="1"/>
  <c r="I232" i="15"/>
  <c r="Y232" i="15"/>
  <c r="S180" i="15"/>
  <c r="D180" i="15"/>
  <c r="AE173" i="15"/>
  <c r="Q230" i="15"/>
  <c r="H184" i="15"/>
  <c r="X184" i="15"/>
  <c r="M184" i="15"/>
  <c r="W184" i="15"/>
  <c r="AF145" i="15"/>
  <c r="AG145" i="15" s="1"/>
  <c r="P182" i="15"/>
  <c r="K182" i="15"/>
  <c r="C182" i="15"/>
  <c r="AF160" i="15"/>
  <c r="AG160" i="15" s="1"/>
  <c r="AF108" i="15"/>
  <c r="AG108" i="15" s="1"/>
  <c r="F231" i="15"/>
  <c r="V231" i="15"/>
  <c r="O232" i="15"/>
  <c r="H233" i="15"/>
  <c r="N230" i="15"/>
  <c r="L232" i="15"/>
  <c r="F234" i="15"/>
  <c r="V234" i="15"/>
  <c r="P236" i="15"/>
  <c r="B230" i="15"/>
  <c r="H230" i="15"/>
  <c r="P230" i="15"/>
  <c r="X230" i="15"/>
  <c r="F230" i="15"/>
  <c r="J232" i="15"/>
  <c r="C233" i="15"/>
  <c r="S233" i="15"/>
  <c r="L234" i="15"/>
  <c r="N236" i="15"/>
  <c r="B232" i="15"/>
  <c r="Z105" i="15"/>
  <c r="L235" i="15"/>
  <c r="D235" i="15"/>
  <c r="P235" i="15"/>
  <c r="AA220" i="15"/>
  <c r="H235" i="15"/>
  <c r="X235" i="15"/>
  <c r="T235" i="15"/>
  <c r="X182" i="15"/>
  <c r="S185" i="15"/>
  <c r="W186" i="15"/>
  <c r="Z50" i="15"/>
  <c r="W72" i="15" s="1"/>
  <c r="M187" i="15"/>
  <c r="H187" i="15"/>
  <c r="V187" i="15"/>
  <c r="R187" i="15"/>
  <c r="H182" i="15"/>
  <c r="G180" i="15"/>
  <c r="G231" i="15"/>
  <c r="W231" i="15"/>
  <c r="T182" i="15"/>
  <c r="H186" i="15"/>
  <c r="Q187" i="15"/>
  <c r="F187" i="15"/>
  <c r="E186" i="15"/>
  <c r="M186" i="15"/>
  <c r="E182" i="15"/>
  <c r="D179" i="15"/>
  <c r="L179" i="15"/>
  <c r="K236" i="15"/>
  <c r="W235" i="15"/>
  <c r="O235" i="15"/>
  <c r="G235" i="15"/>
  <c r="E234" i="15"/>
  <c r="I233" i="15"/>
  <c r="Q233" i="15"/>
  <c r="Y233" i="15"/>
  <c r="E231" i="15"/>
  <c r="M230" i="15"/>
  <c r="Y230" i="15"/>
  <c r="L180" i="15"/>
  <c r="L182" i="15"/>
  <c r="Y184" i="15"/>
  <c r="K186" i="15"/>
  <c r="D189" i="15"/>
  <c r="P189" i="15"/>
  <c r="L189" i="15"/>
  <c r="X189" i="15"/>
  <c r="H189" i="15"/>
  <c r="T189" i="15"/>
  <c r="C188" i="15"/>
  <c r="O188" i="15"/>
  <c r="K188" i="15"/>
  <c r="W188" i="15"/>
  <c r="G188" i="15"/>
  <c r="S188" i="15"/>
  <c r="AD26" i="15"/>
  <c r="AF137" i="15"/>
  <c r="AG137" i="15" s="1"/>
  <c r="J179" i="15"/>
  <c r="R179" i="15"/>
  <c r="F177" i="15"/>
  <c r="N177" i="15"/>
  <c r="V177" i="15"/>
  <c r="B178" i="15"/>
  <c r="U187" i="15"/>
  <c r="T184" i="15"/>
  <c r="Q189" i="15"/>
  <c r="G187" i="15"/>
  <c r="O187" i="15"/>
  <c r="W187" i="15"/>
  <c r="F186" i="15"/>
  <c r="N186" i="15"/>
  <c r="V186" i="15"/>
  <c r="AC45" i="15"/>
  <c r="V184" i="15"/>
  <c r="J183" i="15"/>
  <c r="R183" i="15"/>
  <c r="B182" i="15"/>
  <c r="E180" i="15"/>
  <c r="M180" i="15"/>
  <c r="U180" i="15"/>
  <c r="I179" i="15"/>
  <c r="Q179" i="15"/>
  <c r="Y179" i="15"/>
  <c r="M178" i="15"/>
  <c r="U178" i="15"/>
  <c r="Q184" i="15"/>
  <c r="AC183" i="14"/>
  <c r="AC188" i="14"/>
  <c r="C235" i="14"/>
  <c r="G235" i="14"/>
  <c r="K235" i="14"/>
  <c r="O235" i="14"/>
  <c r="S235" i="14"/>
  <c r="W235" i="14"/>
  <c r="D235" i="14"/>
  <c r="H235" i="14"/>
  <c r="L235" i="14"/>
  <c r="P235" i="14"/>
  <c r="T235" i="14"/>
  <c r="X235" i="14"/>
  <c r="E235" i="14"/>
  <c r="I235" i="14"/>
  <c r="M235" i="14"/>
  <c r="Q235" i="14"/>
  <c r="U235" i="14"/>
  <c r="Y235" i="14"/>
  <c r="N235" i="14"/>
  <c r="R235" i="14"/>
  <c r="F235" i="14"/>
  <c r="V235" i="14"/>
  <c r="AF182" i="14"/>
  <c r="AG182" i="14" s="1"/>
  <c r="AF200" i="14"/>
  <c r="AG200" i="14" s="1"/>
  <c r="AF214" i="14"/>
  <c r="AG214" i="14" s="1"/>
  <c r="AE166" i="14"/>
  <c r="E13" i="14"/>
  <c r="AE175" i="14"/>
  <c r="AD175" i="14"/>
  <c r="M22" i="14"/>
  <c r="I22" i="14"/>
  <c r="E22" i="14"/>
  <c r="C26" i="14"/>
  <c r="AC179" i="14"/>
  <c r="Y30" i="14"/>
  <c r="AE183" i="14"/>
  <c r="Q30" i="14"/>
  <c r="I30" i="14"/>
  <c r="E30" i="14"/>
  <c r="AE188" i="14"/>
  <c r="Y41" i="14"/>
  <c r="AD194" i="14"/>
  <c r="I41" i="14"/>
  <c r="E41" i="14"/>
  <c r="AE204" i="14"/>
  <c r="I51" i="14"/>
  <c r="E51" i="14"/>
  <c r="Y54" i="14"/>
  <c r="AE54" i="14" s="1"/>
  <c r="AE207" i="14"/>
  <c r="Y220" i="14"/>
  <c r="U54" i="14"/>
  <c r="AD54" i="14" s="1"/>
  <c r="U220" i="14"/>
  <c r="AD207" i="14"/>
  <c r="Q54" i="14"/>
  <c r="Q220" i="14"/>
  <c r="M54" i="14"/>
  <c r="M220" i="14"/>
  <c r="I54" i="14"/>
  <c r="I220" i="14"/>
  <c r="E54" i="14"/>
  <c r="E220" i="14"/>
  <c r="O57" i="14"/>
  <c r="AC210" i="14"/>
  <c r="AF210" i="14" s="1"/>
  <c r="Z210" i="14"/>
  <c r="Z57" i="14" s="1"/>
  <c r="K220" i="14"/>
  <c r="Z207" i="14"/>
  <c r="AD166" i="14"/>
  <c r="AF178" i="14"/>
  <c r="AG178" i="14" s="1"/>
  <c r="AF187" i="14"/>
  <c r="AG187" i="14" s="1"/>
  <c r="AF199" i="14"/>
  <c r="AF205" i="14"/>
  <c r="AG205" i="14" s="1"/>
  <c r="AF218" i="14"/>
  <c r="AG218" i="14" s="1"/>
  <c r="L41" i="14"/>
  <c r="H41" i="14"/>
  <c r="D41" i="14"/>
  <c r="L51" i="14"/>
  <c r="H51" i="14"/>
  <c r="D51" i="14"/>
  <c r="B220" i="14"/>
  <c r="V220" i="14"/>
  <c r="R220" i="14"/>
  <c r="N220" i="14"/>
  <c r="J220" i="14"/>
  <c r="F220" i="14"/>
  <c r="Z166" i="14"/>
  <c r="X225" i="14" s="1"/>
  <c r="Z188" i="14"/>
  <c r="E229" i="14" s="1"/>
  <c r="C236" i="14"/>
  <c r="G236" i="14"/>
  <c r="K236" i="14"/>
  <c r="O236" i="14"/>
  <c r="S236" i="14"/>
  <c r="W236" i="14"/>
  <c r="D236" i="14"/>
  <c r="H236" i="14"/>
  <c r="L236" i="14"/>
  <c r="P236" i="14"/>
  <c r="T236" i="14"/>
  <c r="X236" i="14"/>
  <c r="E236" i="14"/>
  <c r="I236" i="14"/>
  <c r="M236" i="14"/>
  <c r="Q236" i="14"/>
  <c r="U236" i="14"/>
  <c r="Y236" i="14"/>
  <c r="AF169" i="14"/>
  <c r="AG169" i="14" s="1"/>
  <c r="AC175" i="14"/>
  <c r="AF185" i="14"/>
  <c r="AF190" i="14"/>
  <c r="AG190" i="14" s="1"/>
  <c r="AF196" i="14"/>
  <c r="AG196" i="14" s="1"/>
  <c r="AF202" i="14"/>
  <c r="AG202" i="14" s="1"/>
  <c r="AC207" i="14"/>
  <c r="AF208" i="14"/>
  <c r="V233" i="14"/>
  <c r="F233" i="14"/>
  <c r="N236" i="14"/>
  <c r="X104" i="14"/>
  <c r="P104" i="14"/>
  <c r="L104" i="14"/>
  <c r="D104" i="14"/>
  <c r="P108" i="14"/>
  <c r="L108" i="14"/>
  <c r="H108" i="14"/>
  <c r="D108" i="14"/>
  <c r="Z266" i="14"/>
  <c r="Y304" i="14" s="1"/>
  <c r="B131" i="14"/>
  <c r="V131" i="14"/>
  <c r="AD284" i="14"/>
  <c r="R131" i="14"/>
  <c r="N131" i="14"/>
  <c r="J131" i="14"/>
  <c r="F131" i="14"/>
  <c r="Y134" i="14"/>
  <c r="AE287" i="14"/>
  <c r="U134" i="14"/>
  <c r="Q134" i="14"/>
  <c r="M134" i="14"/>
  <c r="I134" i="14"/>
  <c r="E134" i="14"/>
  <c r="X136" i="14"/>
  <c r="T136" i="14"/>
  <c r="P136" i="14"/>
  <c r="L136" i="14"/>
  <c r="H136" i="14"/>
  <c r="D136" i="14"/>
  <c r="AD291" i="14"/>
  <c r="N138" i="14"/>
  <c r="J138" i="14"/>
  <c r="F138" i="14"/>
  <c r="V140" i="14"/>
  <c r="AD293" i="14"/>
  <c r="R140" i="14"/>
  <c r="N140" i="14"/>
  <c r="J140" i="14"/>
  <c r="F140" i="14"/>
  <c r="C41" i="14"/>
  <c r="G51" i="14"/>
  <c r="AC194" i="14"/>
  <c r="AF201" i="14"/>
  <c r="AF206" i="14"/>
  <c r="AG206" i="14" s="1"/>
  <c r="AF215" i="14"/>
  <c r="AG215" i="14" s="1"/>
  <c r="B236" i="14"/>
  <c r="J236" i="14"/>
  <c r="B91" i="14"/>
  <c r="V295" i="14"/>
  <c r="R295" i="14"/>
  <c r="N295" i="14"/>
  <c r="J91" i="14"/>
  <c r="J295" i="14"/>
  <c r="F91" i="14"/>
  <c r="F295" i="14"/>
  <c r="Z244" i="14"/>
  <c r="X300" i="14" s="1"/>
  <c r="Z109" i="14"/>
  <c r="Z126" i="14"/>
  <c r="G41" i="14"/>
  <c r="K51" i="14"/>
  <c r="C51" i="14"/>
  <c r="Z175" i="14"/>
  <c r="V226" i="14" s="1"/>
  <c r="Z194" i="14"/>
  <c r="R230" i="14" s="1"/>
  <c r="C233" i="14"/>
  <c r="G233" i="14"/>
  <c r="K233" i="14"/>
  <c r="O233" i="14"/>
  <c r="S233" i="14"/>
  <c r="W233" i="14"/>
  <c r="D233" i="14"/>
  <c r="H233" i="14"/>
  <c r="L233" i="14"/>
  <c r="P233" i="14"/>
  <c r="T233" i="14"/>
  <c r="X233" i="14"/>
  <c r="E233" i="14"/>
  <c r="I233" i="14"/>
  <c r="M233" i="14"/>
  <c r="Q233" i="14"/>
  <c r="U233" i="14"/>
  <c r="Y233" i="14"/>
  <c r="AF173" i="14"/>
  <c r="AG173" i="14" s="1"/>
  <c r="X220" i="14"/>
  <c r="T220" i="14"/>
  <c r="P220" i="14"/>
  <c r="L220" i="14"/>
  <c r="H220" i="14"/>
  <c r="D220" i="14"/>
  <c r="Z179" i="14"/>
  <c r="C227" i="14" s="1"/>
  <c r="Z204" i="14"/>
  <c r="P232" i="14" s="1"/>
  <c r="C234" i="14"/>
  <c r="G234" i="14"/>
  <c r="K234" i="14"/>
  <c r="O234" i="14"/>
  <c r="S234" i="14"/>
  <c r="W234" i="14"/>
  <c r="D234" i="14"/>
  <c r="H234" i="14"/>
  <c r="L234" i="14"/>
  <c r="P234" i="14"/>
  <c r="T234" i="14"/>
  <c r="X234" i="14"/>
  <c r="E234" i="14"/>
  <c r="I234" i="14"/>
  <c r="M234" i="14"/>
  <c r="Q234" i="14"/>
  <c r="U234" i="14"/>
  <c r="Y234" i="14"/>
  <c r="AC166" i="14"/>
  <c r="AF167" i="14"/>
  <c r="AG167" i="14" s="1"/>
  <c r="AF177" i="14"/>
  <c r="AG177" i="14" s="1"/>
  <c r="AF198" i="14"/>
  <c r="AG198" i="14" s="1"/>
  <c r="AC204" i="14"/>
  <c r="AF213" i="14"/>
  <c r="AG213" i="14" s="1"/>
  <c r="AF219" i="14"/>
  <c r="AG219" i="14" s="1"/>
  <c r="N233" i="14"/>
  <c r="V234" i="14"/>
  <c r="F234" i="14"/>
  <c r="V236" i="14"/>
  <c r="F236" i="14"/>
  <c r="Z261" i="14"/>
  <c r="P303" i="14" s="1"/>
  <c r="Z253" i="14"/>
  <c r="D301" i="14" s="1"/>
  <c r="C100" i="14"/>
  <c r="Z272" i="14"/>
  <c r="I305" i="14" s="1"/>
  <c r="AF141" i="14"/>
  <c r="AD253" i="14"/>
  <c r="Z257" i="14"/>
  <c r="X302" i="14" s="1"/>
  <c r="B104" i="14"/>
  <c r="AC261" i="14"/>
  <c r="F108" i="14"/>
  <c r="AC289" i="14"/>
  <c r="F136" i="14"/>
  <c r="Y295" i="14"/>
  <c r="U295" i="14"/>
  <c r="Q295" i="14"/>
  <c r="M295" i="14"/>
  <c r="I295" i="14"/>
  <c r="E295" i="14"/>
  <c r="E300" i="14"/>
  <c r="AF121" i="14"/>
  <c r="AG121" i="14" s="1"/>
  <c r="AF58" i="14"/>
  <c r="AF247" i="14"/>
  <c r="AG247" i="14" s="1"/>
  <c r="Z284" i="14"/>
  <c r="S307" i="14" s="1"/>
  <c r="C131" i="14"/>
  <c r="AD287" i="14"/>
  <c r="V134" i="14"/>
  <c r="X295" i="14"/>
  <c r="T295" i="14"/>
  <c r="P295" i="14"/>
  <c r="L295" i="14"/>
  <c r="H295" i="14"/>
  <c r="D295" i="14"/>
  <c r="AG92" i="13"/>
  <c r="AH92" i="13" s="1"/>
  <c r="AG98" i="13"/>
  <c r="AH98" i="13" s="1"/>
  <c r="AG122" i="13"/>
  <c r="AH122" i="13" s="1"/>
  <c r="AG138" i="13"/>
  <c r="AH138" i="13" s="1"/>
  <c r="AG134" i="13"/>
  <c r="AH134" i="13" s="1"/>
  <c r="AG132" i="13"/>
  <c r="AH132" i="13" s="1"/>
  <c r="AG111" i="13"/>
  <c r="AH111" i="13" s="1"/>
  <c r="AG109" i="13"/>
  <c r="AH109" i="13" s="1"/>
  <c r="AG106" i="13"/>
  <c r="AH106" i="13" s="1"/>
  <c r="AG103" i="13"/>
  <c r="AH103" i="13" s="1"/>
  <c r="AG124" i="13"/>
  <c r="AH124" i="13" s="1"/>
  <c r="AH62" i="13"/>
  <c r="AH27" i="13"/>
  <c r="AG135" i="13"/>
  <c r="AH135" i="13" s="1"/>
  <c r="AG94" i="13"/>
  <c r="AH94" i="13" s="1"/>
  <c r="AG126" i="13"/>
  <c r="AH126" i="13" s="1"/>
  <c r="AG137" i="13"/>
  <c r="AH137" i="13" s="1"/>
  <c r="AH23" i="13"/>
  <c r="AG102" i="13"/>
  <c r="AH102" i="13" s="1"/>
  <c r="AG121" i="13"/>
  <c r="AH121" i="13" s="1"/>
  <c r="AG117" i="13"/>
  <c r="AH117" i="13" s="1"/>
  <c r="AG139" i="13"/>
  <c r="AG140" i="13"/>
  <c r="AH140" i="13" s="1"/>
  <c r="AG136" i="13"/>
  <c r="AH136" i="13" s="1"/>
  <c r="AG129" i="13"/>
  <c r="AH129" i="13" s="1"/>
  <c r="AG131" i="13"/>
  <c r="AH131" i="13" s="1"/>
  <c r="AG110" i="13"/>
  <c r="AH110" i="13" s="1"/>
  <c r="AG107" i="13"/>
  <c r="AH107" i="13" s="1"/>
  <c r="AG105" i="13"/>
  <c r="AH105" i="13" s="1"/>
  <c r="AG101" i="13"/>
  <c r="AH101" i="13" s="1"/>
  <c r="AG120" i="13"/>
  <c r="AH120" i="13" s="1"/>
  <c r="AG116" i="13"/>
  <c r="AH116" i="13" s="1"/>
  <c r="AG114" i="13"/>
  <c r="AH114" i="13" s="1"/>
  <c r="AG133" i="13"/>
  <c r="AH133" i="13" s="1"/>
  <c r="AG93" i="13"/>
  <c r="AH93" i="13" s="1"/>
  <c r="AH16" i="13"/>
  <c r="AG115" i="13"/>
  <c r="AH115" i="13" s="1"/>
  <c r="AG99" i="13"/>
  <c r="AH99" i="13" s="1"/>
  <c r="AG96" i="13"/>
  <c r="AH96" i="13" s="1"/>
  <c r="AG95" i="13"/>
  <c r="AH95" i="13" s="1"/>
  <c r="L129" i="16"/>
  <c r="F129" i="16"/>
  <c r="M131" i="16"/>
  <c r="Z148" i="16"/>
  <c r="M167" i="16"/>
  <c r="R167" i="16"/>
  <c r="J167" i="16"/>
  <c r="T167" i="16"/>
  <c r="L167" i="16"/>
  <c r="D167" i="16"/>
  <c r="K130" i="16"/>
  <c r="K167" i="16"/>
  <c r="C167" i="16"/>
  <c r="S167" i="16"/>
  <c r="O167" i="16"/>
  <c r="Q167" i="16"/>
  <c r="F128" i="16"/>
  <c r="W129" i="16"/>
  <c r="B162" i="16"/>
  <c r="C163" i="16" s="1"/>
  <c r="D163" i="16" s="1"/>
  <c r="I167" i="16"/>
  <c r="Y167" i="16"/>
  <c r="G167" i="16"/>
  <c r="AF141" i="16"/>
  <c r="AG141" i="16" s="1"/>
  <c r="AD162" i="16"/>
  <c r="AE148" i="16"/>
  <c r="AF148" i="16" s="1"/>
  <c r="AG148" i="16" s="1"/>
  <c r="Y162" i="16"/>
  <c r="AC152" i="16"/>
  <c r="AF152" i="16" s="1"/>
  <c r="AG152" i="16" s="1"/>
  <c r="Z152" i="16"/>
  <c r="AF119" i="16"/>
  <c r="AG119" i="16" s="1"/>
  <c r="P131" i="16"/>
  <c r="R131" i="16"/>
  <c r="W131" i="16"/>
  <c r="E131" i="16"/>
  <c r="U131" i="16"/>
  <c r="J130" i="16"/>
  <c r="M130" i="16"/>
  <c r="N130" i="16"/>
  <c r="D130" i="16"/>
  <c r="U130" i="16"/>
  <c r="C130" i="16"/>
  <c r="R130" i="16"/>
  <c r="L130" i="16"/>
  <c r="G130" i="16"/>
  <c r="W130" i="16"/>
  <c r="S128" i="16"/>
  <c r="D128" i="16"/>
  <c r="X128" i="16"/>
  <c r="Q128" i="16"/>
  <c r="V129" i="16"/>
  <c r="Y130" i="16"/>
  <c r="U129" i="16"/>
  <c r="P129" i="16"/>
  <c r="Y129" i="16"/>
  <c r="C128" i="16"/>
  <c r="H128" i="16"/>
  <c r="R128" i="16"/>
  <c r="O129" i="16"/>
  <c r="V130" i="16"/>
  <c r="F130" i="16"/>
  <c r="U128" i="16"/>
  <c r="H130" i="16"/>
  <c r="X130" i="16"/>
  <c r="S130" i="16"/>
  <c r="Q130" i="16"/>
  <c r="B129" i="16"/>
  <c r="K128" i="16"/>
  <c r="L128" i="16"/>
  <c r="V128" i="16"/>
  <c r="E128" i="16"/>
  <c r="X129" i="16"/>
  <c r="H129" i="16"/>
  <c r="Q129" i="16"/>
  <c r="O128" i="16"/>
  <c r="N129" i="16"/>
  <c r="T128" i="16"/>
  <c r="B128" i="16"/>
  <c r="G129" i="16"/>
  <c r="B130" i="16"/>
  <c r="M128" i="16"/>
  <c r="P130" i="16"/>
  <c r="I130" i="16"/>
  <c r="O130" i="16"/>
  <c r="AA115" i="16"/>
  <c r="G128" i="16"/>
  <c r="W128" i="16"/>
  <c r="N128" i="16"/>
  <c r="P128" i="16"/>
  <c r="J128" i="16"/>
  <c r="I128" i="16"/>
  <c r="Y128" i="16"/>
  <c r="AF117" i="16"/>
  <c r="AG117" i="16" s="1"/>
  <c r="AC95" i="16"/>
  <c r="AF95" i="16" s="1"/>
  <c r="AG95" i="16" s="1"/>
  <c r="AD121" i="16"/>
  <c r="AF111" i="16"/>
  <c r="AG111" i="16" s="1"/>
  <c r="AE121" i="16"/>
  <c r="AG112" i="16"/>
  <c r="AF107" i="16"/>
  <c r="AG107" i="16" s="1"/>
  <c r="AC224" i="15"/>
  <c r="Z293" i="14"/>
  <c r="V311" i="14" s="1"/>
  <c r="Z291" i="14"/>
  <c r="N310" i="14" s="1"/>
  <c r="AD289" i="14"/>
  <c r="Z289" i="14"/>
  <c r="AC287" i="14"/>
  <c r="AC293" i="14"/>
  <c r="Z287" i="14"/>
  <c r="I308" i="14" s="1"/>
  <c r="AD257" i="14"/>
  <c r="AD244" i="14"/>
  <c r="AF256" i="14"/>
  <c r="AG256" i="14" s="1"/>
  <c r="AF280" i="14"/>
  <c r="AG280" i="14" s="1"/>
  <c r="AF260" i="14"/>
  <c r="AF271" i="14"/>
  <c r="AG271" i="14" s="1"/>
  <c r="AF277" i="14"/>
  <c r="AF292" i="14"/>
  <c r="AG292" i="14" s="1"/>
  <c r="AF251" i="14"/>
  <c r="AF275" i="14"/>
  <c r="AF254" i="14"/>
  <c r="AF268" i="14"/>
  <c r="AG268" i="14" s="1"/>
  <c r="AF246" i="14"/>
  <c r="AG246" i="14" s="1"/>
  <c r="AF286" i="14"/>
  <c r="AG286" i="14" s="1"/>
  <c r="AF263" i="14"/>
  <c r="AF265" i="14"/>
  <c r="AG265" i="14" s="1"/>
  <c r="AF276" i="14"/>
  <c r="AG276" i="14" s="1"/>
  <c r="AF281" i="14"/>
  <c r="AG281" i="14" s="1"/>
  <c r="AF262" i="14"/>
  <c r="AF285" i="14"/>
  <c r="AG285" i="14" s="1"/>
  <c r="AF245" i="14"/>
  <c r="AG245" i="14" s="1"/>
  <c r="AF248" i="14"/>
  <c r="AG248" i="14" s="1"/>
  <c r="AF269" i="14"/>
  <c r="AG269" i="14" s="1"/>
  <c r="AF273" i="14"/>
  <c r="AG273" i="14" s="1"/>
  <c r="AC272" i="14"/>
  <c r="AC244" i="14"/>
  <c r="AF250" i="14"/>
  <c r="AG250" i="14" s="1"/>
  <c r="AF255" i="14"/>
  <c r="AG255" i="14" s="1"/>
  <c r="AC257" i="14"/>
  <c r="AF259" i="14"/>
  <c r="AD261" i="14"/>
  <c r="AC267" i="14"/>
  <c r="AF267" i="14" s="1"/>
  <c r="AG267" i="14" s="1"/>
  <c r="AF274" i="14"/>
  <c r="AG274" i="14" s="1"/>
  <c r="AF279" i="14"/>
  <c r="AC284" i="14"/>
  <c r="AF290" i="14"/>
  <c r="AG290" i="14" s="1"/>
  <c r="AC291" i="14"/>
  <c r="AF252" i="14"/>
  <c r="AG252" i="14" s="1"/>
  <c r="AD264" i="14"/>
  <c r="AF264" i="14" s="1"/>
  <c r="AD266" i="14"/>
  <c r="AC266" i="14"/>
  <c r="AE266" i="14"/>
  <c r="AF270" i="14"/>
  <c r="AG270" i="14" s="1"/>
  <c r="AD272" i="14"/>
  <c r="AF278" i="14"/>
  <c r="AF282" i="14"/>
  <c r="AF283" i="14"/>
  <c r="AF288" i="14"/>
  <c r="AE291" i="14"/>
  <c r="AE272" i="14"/>
  <c r="AF168" i="14"/>
  <c r="AG168" i="14" s="1"/>
  <c r="AF184" i="14"/>
  <c r="AG184" i="14" s="1"/>
  <c r="AF189" i="14"/>
  <c r="AG189" i="14" s="1"/>
  <c r="AF193" i="14"/>
  <c r="AG193" i="14" s="1"/>
  <c r="AF197" i="14"/>
  <c r="AG197" i="14" s="1"/>
  <c r="AF203" i="14"/>
  <c r="AG203" i="14" s="1"/>
  <c r="AF212" i="14"/>
  <c r="AG212" i="14" s="1"/>
  <c r="AF216" i="14"/>
  <c r="AG216" i="14" s="1"/>
  <c r="AF172" i="14"/>
  <c r="AG172" i="14" s="1"/>
  <c r="AF176" i="14"/>
  <c r="AG176" i="14" s="1"/>
  <c r="AF180" i="14"/>
  <c r="AG180" i="14" s="1"/>
  <c r="I300" i="14" l="1"/>
  <c r="C296" i="14"/>
  <c r="B169" i="16"/>
  <c r="AF50" i="15"/>
  <c r="AG50" i="15" s="1"/>
  <c r="H228" i="14"/>
  <c r="M228" i="14"/>
  <c r="Y228" i="14"/>
  <c r="W302" i="14"/>
  <c r="AH139" i="13"/>
  <c r="Y300" i="14"/>
  <c r="M300" i="14"/>
  <c r="E122" i="16"/>
  <c r="E123" i="16" s="1"/>
  <c r="T132" i="16"/>
  <c r="E132" i="16"/>
  <c r="AA119" i="16"/>
  <c r="D164" i="16"/>
  <c r="E163" i="16"/>
  <c r="AA141" i="15"/>
  <c r="U190" i="15"/>
  <c r="AF96" i="15"/>
  <c r="AG96" i="15" s="1"/>
  <c r="AF35" i="15"/>
  <c r="AG35" i="15" s="1"/>
  <c r="AF84" i="15"/>
  <c r="AG84" i="15" s="1"/>
  <c r="AF99" i="15"/>
  <c r="AG99" i="15" s="1"/>
  <c r="AF107" i="15"/>
  <c r="AG107" i="15" s="1"/>
  <c r="X190" i="15"/>
  <c r="M190" i="15"/>
  <c r="J190" i="15"/>
  <c r="D64" i="15"/>
  <c r="Y190" i="15"/>
  <c r="I190" i="15"/>
  <c r="B68" i="15"/>
  <c r="T190" i="15"/>
  <c r="Y64" i="15"/>
  <c r="G121" i="15"/>
  <c r="N68" i="15"/>
  <c r="T64" i="15"/>
  <c r="J64" i="15"/>
  <c r="E174" i="15"/>
  <c r="G72" i="15"/>
  <c r="F72" i="15"/>
  <c r="X115" i="15"/>
  <c r="V64" i="15"/>
  <c r="J72" i="15"/>
  <c r="E225" i="15"/>
  <c r="E226" i="15" s="1"/>
  <c r="D115" i="15"/>
  <c r="H120" i="15"/>
  <c r="X120" i="15"/>
  <c r="Q120" i="15"/>
  <c r="J120" i="15"/>
  <c r="I120" i="15"/>
  <c r="Y120" i="15"/>
  <c r="U120" i="15"/>
  <c r="L120" i="15"/>
  <c r="N120" i="15"/>
  <c r="M120" i="15"/>
  <c r="P120" i="15"/>
  <c r="T120" i="15"/>
  <c r="F120" i="15"/>
  <c r="E120" i="15"/>
  <c r="D120" i="15"/>
  <c r="AA154" i="15"/>
  <c r="V120" i="15"/>
  <c r="AF45" i="15"/>
  <c r="AG45" i="15" s="1"/>
  <c r="AA152" i="15"/>
  <c r="AA131" i="15"/>
  <c r="W64" i="15"/>
  <c r="G64" i="15"/>
  <c r="O64" i="15"/>
  <c r="S64" i="15"/>
  <c r="C64" i="15"/>
  <c r="B64" i="15"/>
  <c r="K64" i="15"/>
  <c r="D190" i="15"/>
  <c r="I64" i="15"/>
  <c r="V68" i="15"/>
  <c r="F64" i="15"/>
  <c r="B121" i="15"/>
  <c r="F68" i="15"/>
  <c r="O121" i="15"/>
  <c r="V115" i="15"/>
  <c r="N72" i="15"/>
  <c r="R68" i="15"/>
  <c r="M115" i="15"/>
  <c r="G120" i="15"/>
  <c r="H115" i="15"/>
  <c r="I115" i="15"/>
  <c r="R120" i="15"/>
  <c r="K120" i="15"/>
  <c r="AA167" i="15"/>
  <c r="K190" i="15"/>
  <c r="AA145" i="15"/>
  <c r="C190" i="15"/>
  <c r="P117" i="15"/>
  <c r="G117" i="15"/>
  <c r="R117" i="15"/>
  <c r="K117" i="15"/>
  <c r="Q117" i="15"/>
  <c r="H117" i="15"/>
  <c r="J117" i="15"/>
  <c r="L117" i="15"/>
  <c r="N117" i="15"/>
  <c r="C117" i="15"/>
  <c r="M117" i="15"/>
  <c r="X117" i="15"/>
  <c r="W117" i="15"/>
  <c r="B117" i="15"/>
  <c r="E117" i="15"/>
  <c r="U117" i="15"/>
  <c r="S117" i="15"/>
  <c r="I117" i="15"/>
  <c r="T117" i="15"/>
  <c r="D117" i="15"/>
  <c r="O117" i="15"/>
  <c r="P121" i="15"/>
  <c r="Q121" i="15"/>
  <c r="N121" i="15"/>
  <c r="M121" i="15"/>
  <c r="H121" i="15"/>
  <c r="V121" i="15"/>
  <c r="D121" i="15"/>
  <c r="T121" i="15"/>
  <c r="R121" i="15"/>
  <c r="U121" i="15"/>
  <c r="X121" i="15"/>
  <c r="F121" i="15"/>
  <c r="L121" i="15"/>
  <c r="J121" i="15"/>
  <c r="I121" i="15"/>
  <c r="E121" i="15"/>
  <c r="AA157" i="15"/>
  <c r="N190" i="15"/>
  <c r="P190" i="15"/>
  <c r="Q190" i="15"/>
  <c r="S72" i="15"/>
  <c r="O120" i="15"/>
  <c r="U64" i="15"/>
  <c r="O72" i="15"/>
  <c r="C120" i="15"/>
  <c r="W121" i="15"/>
  <c r="Y72" i="15"/>
  <c r="L115" i="15"/>
  <c r="S121" i="15"/>
  <c r="Y121" i="15"/>
  <c r="Q64" i="15"/>
  <c r="B72" i="15"/>
  <c r="W120" i="15"/>
  <c r="L64" i="15"/>
  <c r="F225" i="15"/>
  <c r="M64" i="15"/>
  <c r="K121" i="15"/>
  <c r="AA169" i="15"/>
  <c r="M72" i="15"/>
  <c r="H72" i="15"/>
  <c r="R72" i="15"/>
  <c r="X72" i="15"/>
  <c r="I72" i="15"/>
  <c r="T72" i="15"/>
  <c r="L72" i="15"/>
  <c r="P72" i="15"/>
  <c r="V72" i="15"/>
  <c r="Q72" i="15"/>
  <c r="D72" i="15"/>
  <c r="K115" i="15"/>
  <c r="R115" i="15"/>
  <c r="W115" i="15"/>
  <c r="C115" i="15"/>
  <c r="N115" i="15"/>
  <c r="O115" i="15"/>
  <c r="U115" i="15"/>
  <c r="J115" i="15"/>
  <c r="G115" i="15"/>
  <c r="S115" i="15"/>
  <c r="E115" i="15"/>
  <c r="B115" i="15"/>
  <c r="G190" i="15"/>
  <c r="AA135" i="15"/>
  <c r="AA150" i="15"/>
  <c r="X68" i="15"/>
  <c r="H68" i="15"/>
  <c r="O68" i="15"/>
  <c r="Y68" i="15"/>
  <c r="I68" i="15"/>
  <c r="P68" i="15"/>
  <c r="G68" i="15"/>
  <c r="T68" i="15"/>
  <c r="D68" i="15"/>
  <c r="K68" i="15"/>
  <c r="U68" i="15"/>
  <c r="E68" i="15"/>
  <c r="W68" i="15"/>
  <c r="M68" i="15"/>
  <c r="L68" i="15"/>
  <c r="S68" i="15"/>
  <c r="C68" i="15"/>
  <c r="Q68" i="15"/>
  <c r="C72" i="15"/>
  <c r="H64" i="15"/>
  <c r="P115" i="15"/>
  <c r="E64" i="15"/>
  <c r="R64" i="15"/>
  <c r="Q115" i="15"/>
  <c r="S120" i="15"/>
  <c r="X64" i="15"/>
  <c r="E72" i="15"/>
  <c r="T115" i="15"/>
  <c r="K72" i="15"/>
  <c r="N64" i="15"/>
  <c r="Y117" i="15"/>
  <c r="V117" i="15"/>
  <c r="B120" i="15"/>
  <c r="Y115" i="15"/>
  <c r="U72" i="15"/>
  <c r="AE134" i="14"/>
  <c r="AD104" i="14"/>
  <c r="AD134" i="14"/>
  <c r="AD140" i="14"/>
  <c r="L225" i="14"/>
  <c r="C228" i="14"/>
  <c r="O303" i="14"/>
  <c r="G303" i="14"/>
  <c r="K303" i="14"/>
  <c r="X228" i="14"/>
  <c r="E228" i="14"/>
  <c r="Q228" i="14"/>
  <c r="AE30" i="14"/>
  <c r="W228" i="14"/>
  <c r="V78" i="14"/>
  <c r="E78" i="14"/>
  <c r="J78" i="14"/>
  <c r="Q78" i="14"/>
  <c r="P78" i="14"/>
  <c r="U78" i="14"/>
  <c r="N78" i="14"/>
  <c r="C78" i="14"/>
  <c r="R78" i="14"/>
  <c r="L78" i="14"/>
  <c r="K78" i="14"/>
  <c r="F78" i="14"/>
  <c r="I78" i="14"/>
  <c r="S78" i="14"/>
  <c r="D78" i="14"/>
  <c r="W78" i="14"/>
  <c r="M78" i="14"/>
  <c r="Y78" i="14"/>
  <c r="H78" i="14"/>
  <c r="X78" i="14"/>
  <c r="G78" i="14"/>
  <c r="T78" i="14"/>
  <c r="B78" i="14"/>
  <c r="R228" i="14"/>
  <c r="AC57" i="14"/>
  <c r="AF57" i="14" s="1"/>
  <c r="O78" i="14"/>
  <c r="T228" i="14"/>
  <c r="D228" i="14"/>
  <c r="V228" i="14"/>
  <c r="AE41" i="14"/>
  <c r="O228" i="14"/>
  <c r="F228" i="14"/>
  <c r="B228" i="14"/>
  <c r="I228" i="14"/>
  <c r="N228" i="14"/>
  <c r="S228" i="14"/>
  <c r="G228" i="14"/>
  <c r="L228" i="14"/>
  <c r="D300" i="14"/>
  <c r="D296" i="14"/>
  <c r="D297" i="14" s="1"/>
  <c r="P228" i="14"/>
  <c r="J228" i="14"/>
  <c r="U228" i="14"/>
  <c r="C221" i="14"/>
  <c r="D221" i="14" s="1"/>
  <c r="D222" i="14" s="1"/>
  <c r="AF293" i="14"/>
  <c r="Q132" i="16"/>
  <c r="AA111" i="16"/>
  <c r="AF52" i="15"/>
  <c r="AG52" i="15" s="1"/>
  <c r="AF30" i="15"/>
  <c r="AG30" i="15" s="1"/>
  <c r="AF26" i="15"/>
  <c r="AG26" i="15" s="1"/>
  <c r="AF173" i="15"/>
  <c r="AG173" i="15" s="1"/>
  <c r="AF224" i="15"/>
  <c r="AG224" i="15" s="1"/>
  <c r="AA137" i="15"/>
  <c r="S190" i="15"/>
  <c r="AF284" i="14"/>
  <c r="AG284" i="14" s="1"/>
  <c r="F301" i="14"/>
  <c r="D225" i="14"/>
  <c r="L190" i="15"/>
  <c r="AA159" i="15"/>
  <c r="Y301" i="14"/>
  <c r="Q301" i="14"/>
  <c r="V301" i="14"/>
  <c r="I303" i="14"/>
  <c r="F304" i="14"/>
  <c r="AA171" i="15"/>
  <c r="AA132" i="15"/>
  <c r="AF20" i="15"/>
  <c r="AG20" i="15" s="1"/>
  <c r="E237" i="15"/>
  <c r="AA148" i="15"/>
  <c r="U237" i="15"/>
  <c r="AF105" i="15"/>
  <c r="AG105" i="15" s="1"/>
  <c r="AA136" i="15"/>
  <c r="AA133" i="15"/>
  <c r="E301" i="14"/>
  <c r="N302" i="14"/>
  <c r="J301" i="14"/>
  <c r="V304" i="14"/>
  <c r="Q300" i="14"/>
  <c r="I301" i="14"/>
  <c r="R302" i="14"/>
  <c r="N301" i="14"/>
  <c r="U300" i="14"/>
  <c r="AF166" i="14"/>
  <c r="AG166" i="14" s="1"/>
  <c r="AC136" i="14"/>
  <c r="Y303" i="14"/>
  <c r="O302" i="14"/>
  <c r="E303" i="14"/>
  <c r="AC54" i="14"/>
  <c r="AF54" i="14" s="1"/>
  <c r="AA139" i="15"/>
  <c r="V190" i="15"/>
  <c r="AA163" i="15"/>
  <c r="AA138" i="15"/>
  <c r="AA164" i="15"/>
  <c r="AA146" i="15"/>
  <c r="AA158" i="15"/>
  <c r="AA155" i="15"/>
  <c r="AA151" i="15"/>
  <c r="AA134" i="15"/>
  <c r="AF289" i="14"/>
  <c r="AG289" i="14" s="1"/>
  <c r="AC140" i="14"/>
  <c r="AC134" i="14"/>
  <c r="AF179" i="14"/>
  <c r="AG179" i="14" s="1"/>
  <c r="AF287" i="14"/>
  <c r="C302" i="14"/>
  <c r="C305" i="14"/>
  <c r="F300" i="14"/>
  <c r="F302" i="14"/>
  <c r="V302" i="14"/>
  <c r="G302" i="14"/>
  <c r="M301" i="14"/>
  <c r="J302" i="14"/>
  <c r="C303" i="14"/>
  <c r="B302" i="14"/>
  <c r="R301" i="14"/>
  <c r="K302" i="14"/>
  <c r="Q303" i="14"/>
  <c r="N305" i="14"/>
  <c r="D226" i="14"/>
  <c r="AF204" i="14"/>
  <c r="AG204" i="14" s="1"/>
  <c r="AF194" i="14"/>
  <c r="AG194" i="14" s="1"/>
  <c r="K229" i="14"/>
  <c r="B225" i="14"/>
  <c r="AF175" i="14"/>
  <c r="AG175" i="14" s="1"/>
  <c r="F232" i="14"/>
  <c r="O311" i="14"/>
  <c r="W230" i="14"/>
  <c r="O305" i="14"/>
  <c r="G232" i="14"/>
  <c r="L232" i="14"/>
  <c r="P300" i="14"/>
  <c r="Q232" i="14"/>
  <c r="U225" i="14"/>
  <c r="Y305" i="14"/>
  <c r="V232" i="14"/>
  <c r="K308" i="14"/>
  <c r="C301" i="14"/>
  <c r="H307" i="14"/>
  <c r="P307" i="14"/>
  <c r="F230" i="14"/>
  <c r="S232" i="14"/>
  <c r="W303" i="14"/>
  <c r="B300" i="14"/>
  <c r="J230" i="14"/>
  <c r="Y308" i="14"/>
  <c r="V307" i="14"/>
  <c r="X303" i="14"/>
  <c r="D232" i="14"/>
  <c r="M230" i="14"/>
  <c r="U301" i="14"/>
  <c r="B230" i="14"/>
  <c r="R225" i="14"/>
  <c r="E310" i="14"/>
  <c r="G301" i="14"/>
  <c r="K310" i="14"/>
  <c r="C232" i="14"/>
  <c r="Y310" i="14"/>
  <c r="V310" i="14"/>
  <c r="Q308" i="14"/>
  <c r="T302" i="14"/>
  <c r="X232" i="14"/>
  <c r="T230" i="14"/>
  <c r="E230" i="14"/>
  <c r="W310" i="14"/>
  <c r="P308" i="14"/>
  <c r="O301" i="14"/>
  <c r="L311" i="14"/>
  <c r="O230" i="14"/>
  <c r="Q310" i="14"/>
  <c r="J300" i="14"/>
  <c r="R300" i="14"/>
  <c r="L302" i="14"/>
  <c r="P305" i="14"/>
  <c r="E190" i="15"/>
  <c r="AA165" i="15"/>
  <c r="H190" i="15"/>
  <c r="I237" i="15"/>
  <c r="B190" i="15"/>
  <c r="W237" i="15"/>
  <c r="AA211" i="15"/>
  <c r="D237" i="15"/>
  <c r="W190" i="15"/>
  <c r="AA222" i="15"/>
  <c r="AA128" i="15"/>
  <c r="O190" i="15"/>
  <c r="AA160" i="15"/>
  <c r="AA172" i="15"/>
  <c r="AA168" i="15"/>
  <c r="AA130" i="15"/>
  <c r="AA143" i="15"/>
  <c r="AA156" i="15"/>
  <c r="AA140" i="15"/>
  <c r="AA147" i="15"/>
  <c r="AA170" i="15"/>
  <c r="AA166" i="15"/>
  <c r="B237" i="15"/>
  <c r="L237" i="15"/>
  <c r="K237" i="15"/>
  <c r="AF88" i="15"/>
  <c r="AG88" i="15" s="1"/>
  <c r="O237" i="15"/>
  <c r="J237" i="15"/>
  <c r="AA203" i="15"/>
  <c r="M237" i="15"/>
  <c r="V237" i="15"/>
  <c r="S237" i="15"/>
  <c r="R190" i="15"/>
  <c r="AA129" i="15"/>
  <c r="F190" i="15"/>
  <c r="AA142" i="15"/>
  <c r="AA144" i="15"/>
  <c r="AA153" i="15"/>
  <c r="AA161" i="15"/>
  <c r="AA149" i="15"/>
  <c r="AF13" i="15"/>
  <c r="AG13" i="15" s="1"/>
  <c r="F237" i="15"/>
  <c r="AA218" i="15"/>
  <c r="H237" i="15"/>
  <c r="AA206" i="15"/>
  <c r="AF22" i="15"/>
  <c r="AG22" i="15" s="1"/>
  <c r="AF42" i="15"/>
  <c r="AG42" i="15" s="1"/>
  <c r="T237" i="15"/>
  <c r="R237" i="15"/>
  <c r="N237" i="15"/>
  <c r="P237" i="15"/>
  <c r="AA200" i="15"/>
  <c r="AA216" i="15"/>
  <c r="AA204" i="15"/>
  <c r="AA198" i="15"/>
  <c r="AA212" i="15"/>
  <c r="AA208" i="15"/>
  <c r="AA223" i="15"/>
  <c r="AA217" i="15"/>
  <c r="AA210" i="15"/>
  <c r="AA199" i="15"/>
  <c r="AA215" i="15"/>
  <c r="AA213" i="15"/>
  <c r="AA202" i="15"/>
  <c r="AA207" i="15"/>
  <c r="AA209" i="15"/>
  <c r="Q237" i="15"/>
  <c r="AA221" i="15"/>
  <c r="AA219" i="15"/>
  <c r="AA205" i="15"/>
  <c r="AA197" i="15"/>
  <c r="AA201" i="15"/>
  <c r="X237" i="15"/>
  <c r="G237" i="15"/>
  <c r="C237" i="15"/>
  <c r="Y237" i="15"/>
  <c r="K309" i="14"/>
  <c r="O309" i="14"/>
  <c r="C309" i="14"/>
  <c r="S309" i="14"/>
  <c r="G309" i="14"/>
  <c r="W309" i="14"/>
  <c r="I309" i="14"/>
  <c r="Y309" i="14"/>
  <c r="P309" i="14"/>
  <c r="L229" i="14"/>
  <c r="N226" i="14"/>
  <c r="D229" i="14"/>
  <c r="T226" i="14"/>
  <c r="Z134" i="14"/>
  <c r="V156" i="14" s="1"/>
  <c r="R308" i="14"/>
  <c r="F308" i="14"/>
  <c r="V308" i="14"/>
  <c r="J308" i="14"/>
  <c r="N308" i="14"/>
  <c r="O308" i="14"/>
  <c r="I310" i="14"/>
  <c r="I307" i="14"/>
  <c r="Y307" i="14"/>
  <c r="M307" i="14"/>
  <c r="Q307" i="14"/>
  <c r="E307" i="14"/>
  <c r="U307" i="14"/>
  <c r="G307" i="14"/>
  <c r="D308" i="14"/>
  <c r="T308" i="14"/>
  <c r="M309" i="14"/>
  <c r="C311" i="14"/>
  <c r="S311" i="14"/>
  <c r="L307" i="14"/>
  <c r="R309" i="14"/>
  <c r="O310" i="14"/>
  <c r="P311" i="14"/>
  <c r="D305" i="14"/>
  <c r="T305" i="14"/>
  <c r="L305" i="14"/>
  <c r="T307" i="14"/>
  <c r="R305" i="14"/>
  <c r="J304" i="14"/>
  <c r="B304" i="14"/>
  <c r="D227" i="14"/>
  <c r="H226" i="14"/>
  <c r="U310" i="14"/>
  <c r="S305" i="14"/>
  <c r="S301" i="14"/>
  <c r="E227" i="14"/>
  <c r="K230" i="14"/>
  <c r="F311" i="14"/>
  <c r="N311" i="14"/>
  <c r="F310" i="14"/>
  <c r="J307" i="14"/>
  <c r="R307" i="14"/>
  <c r="D304" i="14"/>
  <c r="T304" i="14"/>
  <c r="H303" i="14"/>
  <c r="D302" i="14"/>
  <c r="J227" i="14"/>
  <c r="R226" i="14"/>
  <c r="O225" i="14"/>
  <c r="C225" i="14"/>
  <c r="S225" i="14"/>
  <c r="G225" i="14"/>
  <c r="W225" i="14"/>
  <c r="K225" i="14"/>
  <c r="D230" i="14"/>
  <c r="L230" i="14"/>
  <c r="X305" i="14"/>
  <c r="T300" i="14"/>
  <c r="C231" i="14"/>
  <c r="G231" i="14"/>
  <c r="K231" i="14"/>
  <c r="S231" i="14"/>
  <c r="W231" i="14"/>
  <c r="D231" i="14"/>
  <c r="H231" i="14"/>
  <c r="L231" i="14"/>
  <c r="P231" i="14"/>
  <c r="T231" i="14"/>
  <c r="X231" i="14"/>
  <c r="E231" i="14"/>
  <c r="I231" i="14"/>
  <c r="M231" i="14"/>
  <c r="Q231" i="14"/>
  <c r="U231" i="14"/>
  <c r="Y231" i="14"/>
  <c r="N231" i="14"/>
  <c r="R231" i="14"/>
  <c r="F231" i="14"/>
  <c r="V231" i="14"/>
  <c r="B231" i="14"/>
  <c r="J231" i="14"/>
  <c r="AF207" i="14"/>
  <c r="I232" i="14"/>
  <c r="U232" i="14"/>
  <c r="U230" i="14"/>
  <c r="I229" i="14"/>
  <c r="Y226" i="14"/>
  <c r="I225" i="14"/>
  <c r="X226" i="14"/>
  <c r="C307" i="14"/>
  <c r="M305" i="14"/>
  <c r="E304" i="14"/>
  <c r="U304" i="14"/>
  <c r="Z220" i="14"/>
  <c r="AA179" i="14" s="1"/>
  <c r="N230" i="14"/>
  <c r="F229" i="14"/>
  <c r="AF188" i="14"/>
  <c r="AG188" i="14" s="1"/>
  <c r="R227" i="14"/>
  <c r="V225" i="14"/>
  <c r="Y227" i="14"/>
  <c r="H229" i="14"/>
  <c r="X227" i="14"/>
  <c r="T225" i="14"/>
  <c r="N309" i="14"/>
  <c r="B309" i="14"/>
  <c r="K227" i="14"/>
  <c r="G226" i="14"/>
  <c r="W226" i="14"/>
  <c r="C226" i="14"/>
  <c r="K226" i="14"/>
  <c r="S226" i="14"/>
  <c r="O226" i="14"/>
  <c r="H309" i="14"/>
  <c r="X309" i="14"/>
  <c r="P304" i="14"/>
  <c r="U229" i="14"/>
  <c r="M226" i="14"/>
  <c r="Q304" i="14"/>
  <c r="V229" i="14"/>
  <c r="S227" i="14"/>
  <c r="D310" i="14"/>
  <c r="T310" i="14"/>
  <c r="H310" i="14"/>
  <c r="X310" i="14"/>
  <c r="L310" i="14"/>
  <c r="P310" i="14"/>
  <c r="C308" i="14"/>
  <c r="S308" i="14"/>
  <c r="M310" i="14"/>
  <c r="K307" i="14"/>
  <c r="H308" i="14"/>
  <c r="X308" i="14"/>
  <c r="Q309" i="14"/>
  <c r="G311" i="14"/>
  <c r="W311" i="14"/>
  <c r="E302" i="14"/>
  <c r="U302" i="14"/>
  <c r="I302" i="14"/>
  <c r="Y302" i="14"/>
  <c r="M302" i="14"/>
  <c r="Q302" i="14"/>
  <c r="X307" i="14"/>
  <c r="C310" i="14"/>
  <c r="D311" i="14"/>
  <c r="T311" i="14"/>
  <c r="P301" i="14"/>
  <c r="H301" i="14"/>
  <c r="X301" i="14"/>
  <c r="F309" i="14"/>
  <c r="F305" i="14"/>
  <c r="V305" i="14"/>
  <c r="N304" i="14"/>
  <c r="N303" i="14"/>
  <c r="R303" i="14"/>
  <c r="F303" i="14"/>
  <c r="V303" i="14"/>
  <c r="J303" i="14"/>
  <c r="B303" i="14"/>
  <c r="H227" i="14"/>
  <c r="L226" i="14"/>
  <c r="W232" i="14"/>
  <c r="G305" i="14"/>
  <c r="W305" i="14"/>
  <c r="W301" i="14"/>
  <c r="M227" i="14"/>
  <c r="O232" i="14"/>
  <c r="S230" i="14"/>
  <c r="T301" i="14"/>
  <c r="D309" i="14"/>
  <c r="L309" i="14"/>
  <c r="T309" i="14"/>
  <c r="E308" i="14"/>
  <c r="M308" i="14"/>
  <c r="U308" i="14"/>
  <c r="B307" i="14"/>
  <c r="H304" i="14"/>
  <c r="X304" i="14"/>
  <c r="P302" i="14"/>
  <c r="B229" i="14"/>
  <c r="B227" i="14"/>
  <c r="F225" i="14"/>
  <c r="H232" i="14"/>
  <c r="H300" i="14"/>
  <c r="AD220" i="14"/>
  <c r="I230" i="14"/>
  <c r="M229" i="14"/>
  <c r="Y229" i="14"/>
  <c r="I226" i="14"/>
  <c r="Q226" i="14"/>
  <c r="M225" i="14"/>
  <c r="Y225" i="14"/>
  <c r="P225" i="14"/>
  <c r="W307" i="14"/>
  <c r="Q305" i="14"/>
  <c r="I304" i="14"/>
  <c r="N229" i="14"/>
  <c r="N227" i="14"/>
  <c r="B226" i="14"/>
  <c r="I227" i="14"/>
  <c r="P229" i="14"/>
  <c r="P227" i="14"/>
  <c r="T229" i="14"/>
  <c r="U227" i="14"/>
  <c r="G304" i="14"/>
  <c r="W304" i="14"/>
  <c r="K304" i="14"/>
  <c r="O304" i="14"/>
  <c r="C304" i="14"/>
  <c r="S304" i="14"/>
  <c r="F227" i="14"/>
  <c r="J226" i="14"/>
  <c r="O229" i="14"/>
  <c r="S229" i="14"/>
  <c r="W229" i="14"/>
  <c r="J229" i="14"/>
  <c r="AE220" i="14"/>
  <c r="E226" i="14"/>
  <c r="U226" i="14"/>
  <c r="V227" i="14"/>
  <c r="AF261" i="14"/>
  <c r="AG261" i="14" s="1"/>
  <c r="Z140" i="14"/>
  <c r="F159" i="14" s="1"/>
  <c r="M311" i="14"/>
  <c r="Q311" i="14"/>
  <c r="E311" i="14"/>
  <c r="U311" i="14"/>
  <c r="I311" i="14"/>
  <c r="Y311" i="14"/>
  <c r="G308" i="14"/>
  <c r="W308" i="14"/>
  <c r="B311" i="14"/>
  <c r="S302" i="14"/>
  <c r="O307" i="14"/>
  <c r="L308" i="14"/>
  <c r="E309" i="14"/>
  <c r="U309" i="14"/>
  <c r="K311" i="14"/>
  <c r="B310" i="14"/>
  <c r="K301" i="14"/>
  <c r="M303" i="14"/>
  <c r="D307" i="14"/>
  <c r="J309" i="14"/>
  <c r="G310" i="14"/>
  <c r="H311" i="14"/>
  <c r="X311" i="14"/>
  <c r="L301" i="14"/>
  <c r="V309" i="14"/>
  <c r="J305" i="14"/>
  <c r="B305" i="14"/>
  <c r="R304" i="14"/>
  <c r="B301" i="14"/>
  <c r="L227" i="14"/>
  <c r="P226" i="14"/>
  <c r="J232" i="14"/>
  <c r="B232" i="14"/>
  <c r="R232" i="14"/>
  <c r="X230" i="14"/>
  <c r="K232" i="14"/>
  <c r="G230" i="14"/>
  <c r="G229" i="14"/>
  <c r="K305" i="14"/>
  <c r="S303" i="14"/>
  <c r="Z295" i="14"/>
  <c r="AA289" i="14" s="1"/>
  <c r="C300" i="14"/>
  <c r="S300" i="14"/>
  <c r="G300" i="14"/>
  <c r="W300" i="14"/>
  <c r="K300" i="14"/>
  <c r="O300" i="14"/>
  <c r="N300" i="14"/>
  <c r="V300" i="14"/>
  <c r="Q227" i="14"/>
  <c r="C230" i="14"/>
  <c r="C229" i="14"/>
  <c r="B308" i="14"/>
  <c r="J311" i="14"/>
  <c r="R311" i="14"/>
  <c r="J310" i="14"/>
  <c r="R310" i="14"/>
  <c r="F307" i="14"/>
  <c r="N307" i="14"/>
  <c r="L304" i="14"/>
  <c r="D303" i="14"/>
  <c r="L303" i="14"/>
  <c r="T303" i="14"/>
  <c r="H302" i="14"/>
  <c r="F226" i="14"/>
  <c r="J225" i="14"/>
  <c r="AC220" i="14"/>
  <c r="AF220" i="14" s="1"/>
  <c r="AG220" i="14" s="1"/>
  <c r="T232" i="14"/>
  <c r="H230" i="14"/>
  <c r="P230" i="14"/>
  <c r="H305" i="14"/>
  <c r="L300" i="14"/>
  <c r="O227" i="14"/>
  <c r="Z54" i="14"/>
  <c r="O231" i="14"/>
  <c r="E232" i="14"/>
  <c r="M232" i="14"/>
  <c r="Y232" i="14"/>
  <c r="Y230" i="14"/>
  <c r="Q229" i="14"/>
  <c r="E225" i="14"/>
  <c r="Q225" i="14"/>
  <c r="S310" i="14"/>
  <c r="E305" i="14"/>
  <c r="U305" i="14"/>
  <c r="M304" i="14"/>
  <c r="U303" i="14"/>
  <c r="N232" i="14"/>
  <c r="V230" i="14"/>
  <c r="R229" i="14"/>
  <c r="AF183" i="14"/>
  <c r="AG183" i="14" s="1"/>
  <c r="N225" i="14"/>
  <c r="X229" i="14"/>
  <c r="H225" i="14"/>
  <c r="G227" i="14"/>
  <c r="T227" i="14"/>
  <c r="Q230" i="14"/>
  <c r="W227" i="14"/>
  <c r="E168" i="16"/>
  <c r="I168" i="16"/>
  <c r="M168" i="16"/>
  <c r="Q168" i="16"/>
  <c r="U168" i="16"/>
  <c r="H168" i="16"/>
  <c r="X168" i="16"/>
  <c r="P168" i="16"/>
  <c r="C168" i="16"/>
  <c r="K168" i="16"/>
  <c r="S168" i="16"/>
  <c r="L168" i="16"/>
  <c r="B168" i="16"/>
  <c r="J168" i="16"/>
  <c r="R168" i="16"/>
  <c r="G168" i="16"/>
  <c r="O168" i="16"/>
  <c r="W168" i="16"/>
  <c r="F168" i="16"/>
  <c r="N168" i="16"/>
  <c r="V168" i="16"/>
  <c r="D168" i="16"/>
  <c r="T168" i="16"/>
  <c r="I132" i="16"/>
  <c r="AA103" i="16"/>
  <c r="AA100" i="16"/>
  <c r="AA104" i="16"/>
  <c r="AA102" i="16"/>
  <c r="AA112" i="16"/>
  <c r="AA113" i="16"/>
  <c r="AA105" i="16"/>
  <c r="AA97" i="16"/>
  <c r="AA118" i="16"/>
  <c r="AA107" i="16"/>
  <c r="AA114" i="16"/>
  <c r="AA116" i="16"/>
  <c r="AA95" i="16"/>
  <c r="AA109" i="16"/>
  <c r="AA98" i="16"/>
  <c r="AA120" i="16"/>
  <c r="AA99" i="16"/>
  <c r="AA110" i="16"/>
  <c r="AA101" i="16"/>
  <c r="AA96" i="16"/>
  <c r="AA106" i="16"/>
  <c r="AA108" i="16"/>
  <c r="F169" i="16"/>
  <c r="J169" i="16"/>
  <c r="N169" i="16"/>
  <c r="R169" i="16"/>
  <c r="V169" i="16"/>
  <c r="Q169" i="16"/>
  <c r="D169" i="16"/>
  <c r="L169" i="16"/>
  <c r="T169" i="16"/>
  <c r="C169" i="16"/>
  <c r="K169" i="16"/>
  <c r="S169" i="16"/>
  <c r="M169" i="16"/>
  <c r="I169" i="16"/>
  <c r="Y169" i="16"/>
  <c r="H169" i="16"/>
  <c r="P169" i="16"/>
  <c r="X169" i="16"/>
  <c r="U169" i="16"/>
  <c r="G169" i="16"/>
  <c r="O169" i="16"/>
  <c r="W169" i="16"/>
  <c r="E169" i="16"/>
  <c r="Y168" i="16"/>
  <c r="AC162" i="16"/>
  <c r="Z162" i="16"/>
  <c r="B173" i="16" s="1"/>
  <c r="AE162" i="16"/>
  <c r="X132" i="16"/>
  <c r="L132" i="16"/>
  <c r="R132" i="16"/>
  <c r="H132" i="16"/>
  <c r="W132" i="16"/>
  <c r="G132" i="16"/>
  <c r="S132" i="16"/>
  <c r="C132" i="16"/>
  <c r="K132" i="16"/>
  <c r="O132" i="16"/>
  <c r="M132" i="16"/>
  <c r="J132" i="16"/>
  <c r="V132" i="16"/>
  <c r="D132" i="16"/>
  <c r="N132" i="16"/>
  <c r="B132" i="16"/>
  <c r="F132" i="16"/>
  <c r="Y132" i="16"/>
  <c r="U132" i="16"/>
  <c r="P132" i="16"/>
  <c r="AC121" i="16"/>
  <c r="AF121" i="16" s="1"/>
  <c r="AG121" i="16" s="1"/>
  <c r="AF257" i="14"/>
  <c r="AG257" i="14" s="1"/>
  <c r="AF244" i="14"/>
  <c r="AG244" i="14" s="1"/>
  <c r="AF266" i="14"/>
  <c r="AG266" i="14" s="1"/>
  <c r="AF291" i="14"/>
  <c r="AG291" i="14" s="1"/>
  <c r="AC253" i="14"/>
  <c r="AF253" i="14" s="1"/>
  <c r="AG253" i="14" s="1"/>
  <c r="AE295" i="14"/>
  <c r="AD295" i="14"/>
  <c r="AF272" i="14"/>
  <c r="AG272" i="14" s="1"/>
  <c r="AC295" i="14"/>
  <c r="AG264" i="14"/>
  <c r="AF134" i="14" l="1"/>
  <c r="V237" i="14"/>
  <c r="R159" i="14"/>
  <c r="E296" i="14"/>
  <c r="E297" i="14" s="1"/>
  <c r="F122" i="16"/>
  <c r="F123" i="16" s="1"/>
  <c r="E164" i="16"/>
  <c r="F163" i="16"/>
  <c r="E175" i="15"/>
  <c r="F174" i="15"/>
  <c r="F226" i="15"/>
  <c r="G225" i="15"/>
  <c r="U156" i="14"/>
  <c r="Y156" i="14"/>
  <c r="Q156" i="14"/>
  <c r="S159" i="14"/>
  <c r="C159" i="14"/>
  <c r="Y159" i="14"/>
  <c r="I159" i="14"/>
  <c r="B159" i="14"/>
  <c r="P159" i="14"/>
  <c r="M159" i="14"/>
  <c r="D159" i="14"/>
  <c r="O159" i="14"/>
  <c r="U159" i="14"/>
  <c r="E159" i="14"/>
  <c r="L159" i="14"/>
  <c r="W159" i="14"/>
  <c r="G159" i="14"/>
  <c r="T159" i="14"/>
  <c r="K159" i="14"/>
  <c r="Q159" i="14"/>
  <c r="X159" i="14"/>
  <c r="H159" i="14"/>
  <c r="AF140" i="14"/>
  <c r="E156" i="14"/>
  <c r="I156" i="14"/>
  <c r="J159" i="14"/>
  <c r="B156" i="14"/>
  <c r="L156" i="14"/>
  <c r="K156" i="14"/>
  <c r="R156" i="14"/>
  <c r="J156" i="14"/>
  <c r="X156" i="14"/>
  <c r="H156" i="14"/>
  <c r="N156" i="14"/>
  <c r="W156" i="14"/>
  <c r="G156" i="14"/>
  <c r="O156" i="14"/>
  <c r="F156" i="14"/>
  <c r="T156" i="14"/>
  <c r="D156" i="14"/>
  <c r="S156" i="14"/>
  <c r="C156" i="14"/>
  <c r="P156" i="14"/>
  <c r="V159" i="14"/>
  <c r="M156" i="14"/>
  <c r="N159" i="14"/>
  <c r="F296" i="14"/>
  <c r="E221" i="14"/>
  <c r="AA224" i="15"/>
  <c r="AA173" i="15"/>
  <c r="B237" i="14"/>
  <c r="Q237" i="14"/>
  <c r="I237" i="14"/>
  <c r="L237" i="14"/>
  <c r="AA204" i="14"/>
  <c r="J237" i="14"/>
  <c r="P237" i="14"/>
  <c r="H237" i="14"/>
  <c r="AA261" i="14"/>
  <c r="E237" i="14"/>
  <c r="D237" i="14"/>
  <c r="AA207" i="14"/>
  <c r="AA194" i="14"/>
  <c r="Y237" i="14"/>
  <c r="I312" i="14"/>
  <c r="T312" i="14"/>
  <c r="AA166" i="14"/>
  <c r="N237" i="14"/>
  <c r="R312" i="14"/>
  <c r="AA257" i="14"/>
  <c r="U312" i="14"/>
  <c r="AA293" i="14"/>
  <c r="V312" i="14"/>
  <c r="AA253" i="14"/>
  <c r="Q312" i="14"/>
  <c r="D312" i="14"/>
  <c r="P312" i="14"/>
  <c r="AA287" i="14"/>
  <c r="E312" i="14"/>
  <c r="X312" i="14"/>
  <c r="AA266" i="14"/>
  <c r="N312" i="14"/>
  <c r="AA211" i="14"/>
  <c r="AA203" i="14"/>
  <c r="AA186" i="14"/>
  <c r="AA176" i="14"/>
  <c r="AA167" i="14"/>
  <c r="AA219" i="14"/>
  <c r="AA205" i="14"/>
  <c r="AA199" i="14"/>
  <c r="AA171" i="14"/>
  <c r="AA214" i="14"/>
  <c r="AA196" i="14"/>
  <c r="AA201" i="14"/>
  <c r="AA197" i="14"/>
  <c r="AA215" i="14"/>
  <c r="AA190" i="14"/>
  <c r="AA169" i="14"/>
  <c r="AA184" i="14"/>
  <c r="AA208" i="14"/>
  <c r="AA189" i="14"/>
  <c r="AA173" i="14"/>
  <c r="AA218" i="14"/>
  <c r="AA177" i="14"/>
  <c r="AA187" i="14"/>
  <c r="AA181" i="14"/>
  <c r="AA170" i="14"/>
  <c r="AA216" i="14"/>
  <c r="W237" i="14"/>
  <c r="AA195" i="14"/>
  <c r="AA209" i="14"/>
  <c r="AA212" i="14"/>
  <c r="AA183" i="14"/>
  <c r="O237" i="14"/>
  <c r="S237" i="14"/>
  <c r="AA192" i="14"/>
  <c r="AA206" i="14"/>
  <c r="AA178" i="14"/>
  <c r="AA172" i="14"/>
  <c r="AA202" i="14"/>
  <c r="AA185" i="14"/>
  <c r="AA180" i="14"/>
  <c r="AA217" i="14"/>
  <c r="G237" i="14"/>
  <c r="AA174" i="14"/>
  <c r="AA200" i="14"/>
  <c r="AA193" i="14"/>
  <c r="AA168" i="14"/>
  <c r="AA198" i="14"/>
  <c r="AA191" i="14"/>
  <c r="AA182" i="14"/>
  <c r="AA213" i="14"/>
  <c r="C237" i="14"/>
  <c r="R237" i="14"/>
  <c r="AA272" i="14"/>
  <c r="AA284" i="14"/>
  <c r="F312" i="14"/>
  <c r="AA281" i="14"/>
  <c r="AA270" i="14"/>
  <c r="AA250" i="14"/>
  <c r="AA263" i="14"/>
  <c r="AA277" i="14"/>
  <c r="AA258" i="14"/>
  <c r="AA246" i="14"/>
  <c r="AA264" i="14"/>
  <c r="AA252" i="14"/>
  <c r="AA280" i="14"/>
  <c r="W312" i="14"/>
  <c r="AA279" i="14"/>
  <c r="AA268" i="14"/>
  <c r="AA259" i="14"/>
  <c r="AA282" i="14"/>
  <c r="AA265" i="14"/>
  <c r="AA256" i="14"/>
  <c r="AA254" i="14"/>
  <c r="B312" i="14"/>
  <c r="AA269" i="14"/>
  <c r="AA271" i="14"/>
  <c r="AA248" i="14"/>
  <c r="AA276" i="14"/>
  <c r="G312" i="14"/>
  <c r="AA262" i="14"/>
  <c r="AA275" i="14"/>
  <c r="AA273" i="14"/>
  <c r="AA283" i="14"/>
  <c r="AA251" i="14"/>
  <c r="K312" i="14"/>
  <c r="AA292" i="14"/>
  <c r="AA294" i="14"/>
  <c r="O312" i="14"/>
  <c r="AA290" i="14"/>
  <c r="AA286" i="14"/>
  <c r="AA255" i="14"/>
  <c r="AA285" i="14"/>
  <c r="AA247" i="14"/>
  <c r="AA267" i="14"/>
  <c r="S312" i="14"/>
  <c r="AA274" i="14"/>
  <c r="AA249" i="14"/>
  <c r="AA288" i="14"/>
  <c r="AA278" i="14"/>
  <c r="AA245" i="14"/>
  <c r="C312" i="14"/>
  <c r="AA260" i="14"/>
  <c r="J312" i="14"/>
  <c r="AA244" i="14"/>
  <c r="H312" i="14"/>
  <c r="AA188" i="14"/>
  <c r="Y312" i="14"/>
  <c r="U237" i="14"/>
  <c r="F237" i="14"/>
  <c r="X237" i="14"/>
  <c r="AA291" i="14"/>
  <c r="AA175" i="14"/>
  <c r="M237" i="14"/>
  <c r="AA210" i="14"/>
  <c r="T237" i="14"/>
  <c r="M312" i="14"/>
  <c r="K237" i="14"/>
  <c r="L312" i="14"/>
  <c r="AA121" i="16"/>
  <c r="AA152" i="16"/>
  <c r="Y173" i="16"/>
  <c r="AA148" i="16"/>
  <c r="AA158" i="16"/>
  <c r="AA150" i="16"/>
  <c r="AA155" i="16"/>
  <c r="AA160" i="16"/>
  <c r="AA147" i="16"/>
  <c r="AA143" i="16"/>
  <c r="AA154" i="16"/>
  <c r="AA159" i="16"/>
  <c r="AA145" i="16"/>
  <c r="AA151" i="16"/>
  <c r="AA161" i="16"/>
  <c r="AA157" i="16"/>
  <c r="AA146" i="16"/>
  <c r="AA156" i="16"/>
  <c r="AA142" i="16"/>
  <c r="AA153" i="16"/>
  <c r="AA149" i="16"/>
  <c r="AA144" i="16"/>
  <c r="V173" i="16"/>
  <c r="N173" i="16"/>
  <c r="W173" i="16"/>
  <c r="C173" i="16"/>
  <c r="O173" i="16"/>
  <c r="T173" i="16"/>
  <c r="I173" i="16"/>
  <c r="G173" i="16"/>
  <c r="X173" i="16"/>
  <c r="R173" i="16"/>
  <c r="S173" i="16"/>
  <c r="AA141" i="16"/>
  <c r="P173" i="16"/>
  <c r="F173" i="16"/>
  <c r="E173" i="16"/>
  <c r="J173" i="16"/>
  <c r="Q173" i="16"/>
  <c r="M173" i="16"/>
  <c r="D173" i="16"/>
  <c r="K173" i="16"/>
  <c r="U173" i="16"/>
  <c r="H173" i="16"/>
  <c r="L173" i="16"/>
  <c r="AF162" i="16"/>
  <c r="AG162" i="16" s="1"/>
  <c r="AF295" i="14"/>
  <c r="AG295" i="14" s="1"/>
  <c r="J123" i="20"/>
  <c r="I123" i="20"/>
  <c r="G123" i="20"/>
  <c r="F123" i="20"/>
  <c r="E123" i="20"/>
  <c r="D123" i="20"/>
  <c r="B123" i="20"/>
  <c r="J121" i="20"/>
  <c r="I121" i="20"/>
  <c r="H121" i="20"/>
  <c r="G121" i="20"/>
  <c r="F121" i="20"/>
  <c r="E121" i="20"/>
  <c r="D121" i="20"/>
  <c r="B121" i="20"/>
  <c r="J119" i="20"/>
  <c r="B119" i="20"/>
  <c r="J117" i="20"/>
  <c r="F115" i="20"/>
  <c r="D115" i="20"/>
  <c r="G114" i="20"/>
  <c r="G112" i="20" s="1"/>
  <c r="F114" i="20"/>
  <c r="D114" i="20"/>
  <c r="F113" i="20"/>
  <c r="H112" i="20"/>
  <c r="E112" i="20"/>
  <c r="B112" i="20"/>
  <c r="J102" i="20"/>
  <c r="H102" i="20"/>
  <c r="G102" i="20"/>
  <c r="B102" i="20"/>
  <c r="F101" i="20"/>
  <c r="E101" i="20"/>
  <c r="H99" i="20"/>
  <c r="H96" i="20" s="1"/>
  <c r="I98" i="20"/>
  <c r="I97" i="20"/>
  <c r="J96" i="20"/>
  <c r="G96" i="20"/>
  <c r="D96" i="20"/>
  <c r="B96" i="20"/>
  <c r="H94" i="20"/>
  <c r="B93" i="20"/>
  <c r="J91" i="20"/>
  <c r="I91" i="20"/>
  <c r="G91" i="20"/>
  <c r="F91" i="20"/>
  <c r="E91" i="20"/>
  <c r="D91" i="20"/>
  <c r="E89" i="20"/>
  <c r="E87" i="20" s="1"/>
  <c r="J87" i="20"/>
  <c r="I87" i="20"/>
  <c r="H87" i="20"/>
  <c r="G87" i="20"/>
  <c r="F87" i="20"/>
  <c r="D87" i="20"/>
  <c r="B87" i="20"/>
  <c r="D86" i="20"/>
  <c r="F85" i="20"/>
  <c r="I84" i="20"/>
  <c r="J83" i="20"/>
  <c r="H83" i="20"/>
  <c r="G83" i="20"/>
  <c r="E83" i="20"/>
  <c r="B83" i="20"/>
  <c r="G82" i="20"/>
  <c r="G74" i="20" s="1"/>
  <c r="I80" i="20"/>
  <c r="K127" i="20"/>
  <c r="U23" i="20" s="1"/>
  <c r="J74" i="20"/>
  <c r="H74" i="20"/>
  <c r="F74" i="20"/>
  <c r="E74" i="20"/>
  <c r="D74" i="20"/>
  <c r="B74" i="20"/>
  <c r="J63" i="20"/>
  <c r="I63" i="20"/>
  <c r="H63" i="20"/>
  <c r="G63" i="20"/>
  <c r="F63" i="20"/>
  <c r="E63" i="20"/>
  <c r="D63" i="20"/>
  <c r="B63" i="20"/>
  <c r="J61" i="20"/>
  <c r="I61" i="20"/>
  <c r="H61" i="20"/>
  <c r="G61" i="20"/>
  <c r="F61" i="20"/>
  <c r="E61" i="20"/>
  <c r="D61" i="20"/>
  <c r="B61" i="20"/>
  <c r="J60" i="20"/>
  <c r="I59" i="20"/>
  <c r="H59" i="20"/>
  <c r="G59" i="20"/>
  <c r="B59" i="20"/>
  <c r="J57" i="20"/>
  <c r="I57" i="20"/>
  <c r="H57" i="20"/>
  <c r="G57" i="20"/>
  <c r="F57" i="20"/>
  <c r="E57" i="20"/>
  <c r="D57" i="20"/>
  <c r="B57" i="20"/>
  <c r="F56" i="20"/>
  <c r="G55" i="20"/>
  <c r="D55" i="20"/>
  <c r="B55" i="20"/>
  <c r="J52" i="20"/>
  <c r="I52" i="20"/>
  <c r="H52" i="20"/>
  <c r="G52" i="20"/>
  <c r="F52" i="20"/>
  <c r="E52" i="20"/>
  <c r="D52" i="20"/>
  <c r="B52" i="20"/>
  <c r="D51" i="20"/>
  <c r="E50" i="20"/>
  <c r="D50" i="20"/>
  <c r="G49" i="20"/>
  <c r="B45" i="20"/>
  <c r="J42" i="20"/>
  <c r="H42" i="20"/>
  <c r="F42" i="20"/>
  <c r="J39" i="20"/>
  <c r="I36" i="20"/>
  <c r="H36" i="20"/>
  <c r="G36" i="20"/>
  <c r="F36" i="20"/>
  <c r="E36" i="20"/>
  <c r="D36" i="20"/>
  <c r="B36" i="20"/>
  <c r="I33" i="20"/>
  <c r="G33" i="20"/>
  <c r="G32" i="20"/>
  <c r="J31" i="20"/>
  <c r="H31" i="20"/>
  <c r="F31" i="20"/>
  <c r="E31" i="20"/>
  <c r="D31" i="20"/>
  <c r="B31" i="20"/>
  <c r="J27" i="20"/>
  <c r="I27" i="20"/>
  <c r="H27" i="20"/>
  <c r="G27" i="20"/>
  <c r="F27" i="20"/>
  <c r="E27" i="20"/>
  <c r="D27" i="20"/>
  <c r="B27" i="20"/>
  <c r="J23" i="20"/>
  <c r="I23" i="20"/>
  <c r="H23" i="20"/>
  <c r="G23" i="20"/>
  <c r="F23" i="20"/>
  <c r="E23" i="20"/>
  <c r="D23" i="20"/>
  <c r="B23" i="20"/>
  <c r="H16" i="20"/>
  <c r="F15" i="20"/>
  <c r="J14" i="20"/>
  <c r="I14" i="20"/>
  <c r="G14" i="20"/>
  <c r="E14" i="20"/>
  <c r="D14" i="20"/>
  <c r="B14" i="20"/>
  <c r="M126" i="19"/>
  <c r="M125" i="19"/>
  <c r="L123" i="19"/>
  <c r="J123" i="19"/>
  <c r="M122" i="19"/>
  <c r="L121" i="19"/>
  <c r="J121" i="19"/>
  <c r="L120" i="19"/>
  <c r="E120" i="19"/>
  <c r="D120" i="19"/>
  <c r="E119" i="19"/>
  <c r="D119" i="19"/>
  <c r="I118" i="19"/>
  <c r="G118" i="19"/>
  <c r="L117" i="19"/>
  <c r="I117" i="19"/>
  <c r="G117" i="19"/>
  <c r="M116" i="19"/>
  <c r="L115" i="19"/>
  <c r="J115" i="19"/>
  <c r="H114" i="19"/>
  <c r="C114" i="19"/>
  <c r="H113" i="19"/>
  <c r="G113" i="19"/>
  <c r="G112" i="19" s="1"/>
  <c r="L112" i="19"/>
  <c r="I112" i="19"/>
  <c r="E112" i="19"/>
  <c r="D112" i="19"/>
  <c r="B112" i="19"/>
  <c r="H111" i="19"/>
  <c r="M111" i="19" s="1"/>
  <c r="D110" i="19"/>
  <c r="L109" i="19"/>
  <c r="M108" i="19"/>
  <c r="M107" i="19"/>
  <c r="M106" i="19"/>
  <c r="M105" i="19"/>
  <c r="M104" i="19"/>
  <c r="M103" i="19"/>
  <c r="J102" i="19"/>
  <c r="I102" i="19"/>
  <c r="E102" i="19"/>
  <c r="C102" i="19"/>
  <c r="B102" i="19"/>
  <c r="M101" i="19"/>
  <c r="D100" i="19"/>
  <c r="M99" i="19"/>
  <c r="J98" i="19"/>
  <c r="M98" i="19" s="1"/>
  <c r="M97" i="19"/>
  <c r="L96" i="19"/>
  <c r="I96" i="19"/>
  <c r="H96" i="19"/>
  <c r="G96" i="19"/>
  <c r="E96" i="19"/>
  <c r="C96" i="19"/>
  <c r="B96" i="19"/>
  <c r="I95" i="19"/>
  <c r="I94" i="19"/>
  <c r="M94" i="19" s="1"/>
  <c r="L93" i="19"/>
  <c r="H92" i="19"/>
  <c r="M92" i="19" s="1"/>
  <c r="J91" i="19"/>
  <c r="G91" i="19"/>
  <c r="E91" i="19"/>
  <c r="D91" i="19"/>
  <c r="C91" i="19"/>
  <c r="B91" i="19"/>
  <c r="M90" i="19"/>
  <c r="M89" i="19"/>
  <c r="M88" i="19"/>
  <c r="L87" i="19"/>
  <c r="J87" i="19"/>
  <c r="I87" i="19"/>
  <c r="H87" i="19"/>
  <c r="G87" i="19"/>
  <c r="E87" i="19"/>
  <c r="D87" i="19"/>
  <c r="C87" i="19"/>
  <c r="B87" i="19"/>
  <c r="M86" i="19"/>
  <c r="J84" i="19"/>
  <c r="M84" i="19" s="1"/>
  <c r="L83" i="19"/>
  <c r="I83" i="19"/>
  <c r="H83" i="19"/>
  <c r="G83" i="19"/>
  <c r="E83" i="19"/>
  <c r="D83" i="19"/>
  <c r="C83" i="19"/>
  <c r="B83" i="19"/>
  <c r="M82" i="19"/>
  <c r="G81" i="19"/>
  <c r="D81" i="19"/>
  <c r="D74" i="19" s="1"/>
  <c r="H80" i="19"/>
  <c r="G80" i="19"/>
  <c r="M78" i="19"/>
  <c r="I77" i="19"/>
  <c r="G77" i="19"/>
  <c r="M76" i="19"/>
  <c r="M75" i="19"/>
  <c r="L74" i="19"/>
  <c r="J74" i="19"/>
  <c r="E74" i="19"/>
  <c r="C74" i="19"/>
  <c r="B74" i="19"/>
  <c r="M66" i="19"/>
  <c r="M65" i="19"/>
  <c r="I64" i="19"/>
  <c r="L63" i="19"/>
  <c r="J63" i="19"/>
  <c r="I63" i="19"/>
  <c r="M62" i="19"/>
  <c r="L61" i="19"/>
  <c r="J61" i="19"/>
  <c r="H60" i="19"/>
  <c r="L59" i="19"/>
  <c r="H59" i="19"/>
  <c r="M58" i="19"/>
  <c r="L57" i="19"/>
  <c r="J57" i="19"/>
  <c r="G57" i="19"/>
  <c r="E57" i="19"/>
  <c r="D57" i="19"/>
  <c r="C57" i="19"/>
  <c r="M56" i="19"/>
  <c r="L55" i="19"/>
  <c r="J55" i="19"/>
  <c r="I55" i="19"/>
  <c r="H55" i="19"/>
  <c r="G55" i="19"/>
  <c r="E55" i="19"/>
  <c r="D55" i="19"/>
  <c r="C55" i="19"/>
  <c r="G54" i="19"/>
  <c r="D54" i="19"/>
  <c r="M53" i="19"/>
  <c r="L52" i="19"/>
  <c r="J52" i="19"/>
  <c r="I52" i="19"/>
  <c r="H52" i="19"/>
  <c r="E52" i="19"/>
  <c r="C52" i="19"/>
  <c r="B52" i="19"/>
  <c r="J51" i="19"/>
  <c r="D51" i="19"/>
  <c r="J50" i="19"/>
  <c r="I50" i="19"/>
  <c r="M49" i="19"/>
  <c r="C48" i="19"/>
  <c r="M48" i="19" s="1"/>
  <c r="I47" i="19"/>
  <c r="B47" i="19"/>
  <c r="D46" i="19"/>
  <c r="D45" i="19"/>
  <c r="C45" i="19"/>
  <c r="J44" i="19"/>
  <c r="I44" i="19"/>
  <c r="G44" i="19"/>
  <c r="M43" i="19"/>
  <c r="L42" i="19"/>
  <c r="H42" i="19"/>
  <c r="E42" i="19"/>
  <c r="M41" i="19"/>
  <c r="M40" i="19"/>
  <c r="M39" i="19"/>
  <c r="M38" i="19"/>
  <c r="M37" i="19"/>
  <c r="L36" i="19"/>
  <c r="J36" i="19"/>
  <c r="I36" i="19"/>
  <c r="H36" i="19"/>
  <c r="G36" i="19"/>
  <c r="E36" i="19"/>
  <c r="D36" i="19"/>
  <c r="C36" i="19"/>
  <c r="B36" i="19"/>
  <c r="M35" i="19"/>
  <c r="M34" i="19"/>
  <c r="H33" i="19"/>
  <c r="M32" i="19"/>
  <c r="L31" i="19"/>
  <c r="J31" i="19"/>
  <c r="I31" i="19"/>
  <c r="G31" i="19"/>
  <c r="E31" i="19"/>
  <c r="D31" i="19"/>
  <c r="C31" i="19"/>
  <c r="B31" i="19"/>
  <c r="M30" i="19"/>
  <c r="M29" i="19"/>
  <c r="M28" i="19"/>
  <c r="L27" i="19"/>
  <c r="J27" i="19"/>
  <c r="I27" i="19"/>
  <c r="H27" i="19"/>
  <c r="G27" i="19"/>
  <c r="E27" i="19"/>
  <c r="D27" i="19"/>
  <c r="C27" i="19"/>
  <c r="B27" i="19"/>
  <c r="R25" i="19"/>
  <c r="M26" i="19"/>
  <c r="M25" i="19"/>
  <c r="M24" i="19"/>
  <c r="L23" i="19"/>
  <c r="K23" i="19"/>
  <c r="J23" i="19"/>
  <c r="I23" i="19"/>
  <c r="H23" i="19"/>
  <c r="G23" i="19"/>
  <c r="E23" i="19"/>
  <c r="D23" i="19"/>
  <c r="C23" i="19"/>
  <c r="B23" i="19"/>
  <c r="J22" i="19"/>
  <c r="M21" i="19"/>
  <c r="M20" i="19"/>
  <c r="M19" i="19"/>
  <c r="M18" i="19"/>
  <c r="H17" i="19"/>
  <c r="H16" i="19"/>
  <c r="M15" i="19"/>
  <c r="L14" i="19"/>
  <c r="I14" i="19"/>
  <c r="G14" i="19"/>
  <c r="E14" i="19"/>
  <c r="D14" i="19"/>
  <c r="C14" i="19"/>
  <c r="B14" i="19"/>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T58" i="18"/>
  <c r="S58" i="18"/>
  <c r="R58" i="18"/>
  <c r="Q58" i="18"/>
  <c r="P58" i="18"/>
  <c r="O58" i="18"/>
  <c r="N58" i="18"/>
  <c r="M58" i="18"/>
  <c r="L58" i="18"/>
  <c r="K58" i="18"/>
  <c r="J58" i="18"/>
  <c r="I58" i="18"/>
  <c r="H58" i="18"/>
  <c r="G58" i="18"/>
  <c r="F58" i="18"/>
  <c r="E58" i="18"/>
  <c r="D58" i="18"/>
  <c r="C58" i="18"/>
  <c r="B58" i="18"/>
  <c r="AE49" i="18"/>
  <c r="AD49" i="18"/>
  <c r="AC49" i="18"/>
  <c r="AF49" i="18" s="1"/>
  <c r="AG49" i="18" s="1"/>
  <c r="Z49" i="18"/>
  <c r="AE48" i="18"/>
  <c r="AD48" i="18"/>
  <c r="AC48" i="18"/>
  <c r="AF48" i="18" s="1"/>
  <c r="AE47" i="18"/>
  <c r="AD47" i="18"/>
  <c r="AC47" i="18"/>
  <c r="Z47" i="18"/>
  <c r="AE46" i="18"/>
  <c r="AD46" i="18"/>
  <c r="AC46" i="18"/>
  <c r="AE45" i="18"/>
  <c r="AF45" i="18" s="1"/>
  <c r="AD45" i="18"/>
  <c r="AC45" i="18"/>
  <c r="Z45" i="18"/>
  <c r="AE44" i="18"/>
  <c r="AD44" i="18"/>
  <c r="AC44" i="18"/>
  <c r="Z44" i="18"/>
  <c r="AF43" i="18"/>
  <c r="AE43" i="18"/>
  <c r="AD43" i="18"/>
  <c r="AC43" i="18"/>
  <c r="Z43" i="18"/>
  <c r="AE42" i="18"/>
  <c r="AD42" i="18"/>
  <c r="AC42" i="18"/>
  <c r="Z42" i="18"/>
  <c r="Y41" i="18"/>
  <c r="X41" i="18"/>
  <c r="W41" i="18"/>
  <c r="V41" i="18"/>
  <c r="U41" i="18"/>
  <c r="U50" i="18" s="1"/>
  <c r="T41" i="18"/>
  <c r="S41" i="18"/>
  <c r="R41" i="18"/>
  <c r="Q41" i="18"/>
  <c r="P41" i="18"/>
  <c r="O41" i="18"/>
  <c r="N41" i="18"/>
  <c r="M41" i="18"/>
  <c r="L41" i="18"/>
  <c r="K41" i="18"/>
  <c r="J41" i="18"/>
  <c r="I41" i="18"/>
  <c r="H41" i="18"/>
  <c r="G41" i="18"/>
  <c r="F41" i="18"/>
  <c r="E41" i="18"/>
  <c r="E50" i="18" s="1"/>
  <c r="D41" i="18"/>
  <c r="C41" i="18"/>
  <c r="B41" i="18"/>
  <c r="AE40" i="18"/>
  <c r="AD40" i="18"/>
  <c r="AC40" i="18"/>
  <c r="Z40" i="18"/>
  <c r="AE39" i="18"/>
  <c r="AD39" i="18"/>
  <c r="AC39" i="18"/>
  <c r="Z39" i="18"/>
  <c r="Y38" i="18"/>
  <c r="X38" i="18"/>
  <c r="W38" i="18"/>
  <c r="V38" i="18"/>
  <c r="U38" i="18"/>
  <c r="AD38" i="18" s="1"/>
  <c r="T38" i="18"/>
  <c r="S38" i="18"/>
  <c r="R38" i="18"/>
  <c r="Q38" i="18"/>
  <c r="P38" i="18"/>
  <c r="O38" i="18"/>
  <c r="N38" i="18"/>
  <c r="M38" i="18"/>
  <c r="L38" i="18"/>
  <c r="K38" i="18"/>
  <c r="J38" i="18"/>
  <c r="I38" i="18"/>
  <c r="H38" i="18"/>
  <c r="G38" i="18"/>
  <c r="F38" i="18"/>
  <c r="E38" i="18"/>
  <c r="D38" i="18"/>
  <c r="C38" i="18"/>
  <c r="B38" i="18"/>
  <c r="AE37" i="18"/>
  <c r="AD37" i="18"/>
  <c r="AC37" i="18"/>
  <c r="Z37" i="18"/>
  <c r="AE36" i="18"/>
  <c r="AD36" i="18"/>
  <c r="AC36" i="18"/>
  <c r="Z36" i="18"/>
  <c r="AE35" i="18"/>
  <c r="AD35" i="18"/>
  <c r="AC35" i="18"/>
  <c r="Z35" i="18"/>
  <c r="AE34" i="18"/>
  <c r="AD34" i="18"/>
  <c r="AC34" i="18"/>
  <c r="AF34" i="18" s="1"/>
  <c r="Z34" i="18"/>
  <c r="Z33" i="18" s="1"/>
  <c r="Y33" i="18"/>
  <c r="AE33" i="18" s="1"/>
  <c r="X33" i="18"/>
  <c r="W33" i="18"/>
  <c r="V33" i="18"/>
  <c r="U33" i="18"/>
  <c r="T33" i="18"/>
  <c r="S33" i="18"/>
  <c r="R33" i="18"/>
  <c r="Q33" i="18"/>
  <c r="P33" i="18"/>
  <c r="O33" i="18"/>
  <c r="N33" i="18"/>
  <c r="M33" i="18"/>
  <c r="L33" i="18"/>
  <c r="K33" i="18"/>
  <c r="J33" i="18"/>
  <c r="I33" i="18"/>
  <c r="H33" i="18"/>
  <c r="G33" i="18"/>
  <c r="F33" i="18"/>
  <c r="E33" i="18"/>
  <c r="D33" i="18"/>
  <c r="C33" i="18"/>
  <c r="B33" i="18"/>
  <c r="AE32" i="18"/>
  <c r="AD32" i="18"/>
  <c r="AC32" i="18"/>
  <c r="Z32" i="18"/>
  <c r="AE31" i="18"/>
  <c r="AD31" i="18"/>
  <c r="AC31" i="18"/>
  <c r="AE30" i="18"/>
  <c r="AD30" i="18"/>
  <c r="AC30" i="18"/>
  <c r="Z30" i="18"/>
  <c r="AE29" i="18"/>
  <c r="AD29" i="18"/>
  <c r="AC29" i="18"/>
  <c r="AE28" i="18"/>
  <c r="AF28" i="18" s="1"/>
  <c r="AD28" i="18"/>
  <c r="AC28" i="18"/>
  <c r="Z28" i="18"/>
  <c r="AE27" i="18"/>
  <c r="AD27" i="18"/>
  <c r="AC27" i="18"/>
  <c r="Z27" i="18"/>
  <c r="AE26" i="18"/>
  <c r="AD26" i="18"/>
  <c r="AC26" i="18"/>
  <c r="Z26" i="18"/>
  <c r="AE25" i="18"/>
  <c r="AD25" i="18"/>
  <c r="AC25" i="18"/>
  <c r="Z25" i="18"/>
  <c r="AE24" i="18"/>
  <c r="AD24" i="18"/>
  <c r="AC24" i="18"/>
  <c r="Z24" i="18"/>
  <c r="Y23" i="18"/>
  <c r="AE23" i="18" s="1"/>
  <c r="X23" i="18"/>
  <c r="W23" i="18"/>
  <c r="V23" i="18"/>
  <c r="U23" i="18"/>
  <c r="T23" i="18"/>
  <c r="S23" i="18"/>
  <c r="R23" i="18"/>
  <c r="Q23" i="18"/>
  <c r="P23" i="18"/>
  <c r="O23" i="18"/>
  <c r="N23" i="18"/>
  <c r="M23" i="18"/>
  <c r="L23" i="18"/>
  <c r="K23" i="18"/>
  <c r="J23" i="18"/>
  <c r="I23" i="18"/>
  <c r="H23" i="18"/>
  <c r="G23" i="18"/>
  <c r="F23" i="18"/>
  <c r="E23" i="18"/>
  <c r="D23" i="18"/>
  <c r="C23" i="18"/>
  <c r="B23" i="18"/>
  <c r="AE22" i="18"/>
  <c r="AD22" i="18"/>
  <c r="AC22" i="18"/>
  <c r="Z22" i="18"/>
  <c r="AE21" i="18"/>
  <c r="AD21" i="18"/>
  <c r="AC21" i="18"/>
  <c r="Z21" i="18"/>
  <c r="W56" i="18" s="1"/>
  <c r="AE20" i="18"/>
  <c r="AD20" i="18"/>
  <c r="AC20" i="18"/>
  <c r="AF20" i="18" s="1"/>
  <c r="Z20" i="18"/>
  <c r="Z19" i="18" s="1"/>
  <c r="AE19" i="18"/>
  <c r="AD19" i="18"/>
  <c r="AC19" i="18"/>
  <c r="AE18" i="18"/>
  <c r="AD18" i="18"/>
  <c r="AC18" i="18"/>
  <c r="Z18" i="18"/>
  <c r="AE17" i="18"/>
  <c r="AD17" i="18"/>
  <c r="AC17" i="18"/>
  <c r="Z17" i="18"/>
  <c r="AE16" i="18"/>
  <c r="AD16" i="18"/>
  <c r="AC16" i="18"/>
  <c r="Z16" i="18"/>
  <c r="AE15" i="18"/>
  <c r="AD15" i="18"/>
  <c r="AC15" i="18"/>
  <c r="AF15" i="18" s="1"/>
  <c r="AG15" i="18" s="1"/>
  <c r="Z15" i="18"/>
  <c r="AE14" i="18"/>
  <c r="AD14" i="18"/>
  <c r="AC14" i="18"/>
  <c r="Z14" i="18"/>
  <c r="AE13" i="18"/>
  <c r="AD13" i="18"/>
  <c r="AC13" i="18"/>
  <c r="AF13" i="18" s="1"/>
  <c r="Z13" i="18"/>
  <c r="AE12" i="18"/>
  <c r="AD12" i="18"/>
  <c r="AC12" i="18"/>
  <c r="AF12" i="18" s="1"/>
  <c r="Z12" i="18"/>
  <c r="Z11" i="18" s="1"/>
  <c r="Y11" i="18"/>
  <c r="AE11" i="18" s="1"/>
  <c r="X11" i="18"/>
  <c r="W11" i="18"/>
  <c r="V11" i="18"/>
  <c r="U11" i="18"/>
  <c r="T11" i="18"/>
  <c r="S11" i="18"/>
  <c r="R11" i="18"/>
  <c r="Q11" i="18"/>
  <c r="P11" i="18"/>
  <c r="P54" i="18" s="1"/>
  <c r="O11" i="18"/>
  <c r="N11" i="18"/>
  <c r="M11" i="18"/>
  <c r="L11" i="18"/>
  <c r="L54" i="18" s="1"/>
  <c r="K11" i="18"/>
  <c r="J11" i="18"/>
  <c r="I11" i="18"/>
  <c r="H11" i="18"/>
  <c r="H54" i="18" s="1"/>
  <c r="G11" i="18"/>
  <c r="F11" i="18"/>
  <c r="E11" i="18"/>
  <c r="D11" i="18"/>
  <c r="D54" i="18" s="1"/>
  <c r="C11" i="18"/>
  <c r="B11" i="18"/>
  <c r="Y99" i="17"/>
  <c r="X99" i="17"/>
  <c r="W99" i="17"/>
  <c r="V99" i="17"/>
  <c r="U99" i="17"/>
  <c r="T99" i="17"/>
  <c r="S99" i="17"/>
  <c r="R99" i="17"/>
  <c r="Q99" i="17"/>
  <c r="P99" i="17"/>
  <c r="O99" i="17"/>
  <c r="N99" i="17"/>
  <c r="M99" i="17"/>
  <c r="L99" i="17"/>
  <c r="K99" i="17"/>
  <c r="J99" i="17"/>
  <c r="I99" i="17"/>
  <c r="H99" i="17"/>
  <c r="G99" i="17"/>
  <c r="F99" i="17"/>
  <c r="E99" i="17"/>
  <c r="D99" i="17"/>
  <c r="C99" i="17"/>
  <c r="B99" i="17"/>
  <c r="Y90" i="17"/>
  <c r="X90" i="17"/>
  <c r="W90" i="17"/>
  <c r="V90" i="17"/>
  <c r="U90" i="17"/>
  <c r="T90" i="17"/>
  <c r="S90" i="17"/>
  <c r="R90" i="17"/>
  <c r="Q90" i="17"/>
  <c r="P90" i="17"/>
  <c r="O90" i="17"/>
  <c r="N90" i="17"/>
  <c r="M90" i="17"/>
  <c r="L90" i="17"/>
  <c r="K90" i="17"/>
  <c r="J90" i="17"/>
  <c r="I90" i="17"/>
  <c r="H90" i="17"/>
  <c r="G90" i="17"/>
  <c r="F90" i="17"/>
  <c r="E90" i="17"/>
  <c r="D90" i="17"/>
  <c r="C90" i="17"/>
  <c r="B90" i="17"/>
  <c r="Y86" i="17"/>
  <c r="X86" i="17"/>
  <c r="W86" i="17"/>
  <c r="V86" i="17"/>
  <c r="U86" i="17"/>
  <c r="T86" i="17"/>
  <c r="S86" i="17"/>
  <c r="R86" i="17"/>
  <c r="Q86" i="17"/>
  <c r="P86" i="17"/>
  <c r="O86" i="17"/>
  <c r="N86" i="17"/>
  <c r="M86" i="17"/>
  <c r="L86" i="17"/>
  <c r="K86" i="17"/>
  <c r="J86" i="17"/>
  <c r="I86" i="17"/>
  <c r="H86" i="17"/>
  <c r="G86" i="17"/>
  <c r="F86" i="17"/>
  <c r="E86" i="17"/>
  <c r="D86" i="17"/>
  <c r="C86" i="17"/>
  <c r="B86" i="17"/>
  <c r="AE77" i="17"/>
  <c r="AF77" i="17" s="1"/>
  <c r="AG77" i="17" s="1"/>
  <c r="Z77" i="17"/>
  <c r="AF76" i="17"/>
  <c r="AG76" i="17" s="1"/>
  <c r="AE76" i="17"/>
  <c r="Z76" i="17"/>
  <c r="AF75" i="17"/>
  <c r="AG75" i="17" s="1"/>
  <c r="AE75" i="17"/>
  <c r="Z75" i="17"/>
  <c r="Z74" i="17"/>
  <c r="Y74" i="17"/>
  <c r="Y100" i="17" s="1"/>
  <c r="X74" i="17"/>
  <c r="X100" i="17" s="1"/>
  <c r="W74" i="17"/>
  <c r="W100" i="17" s="1"/>
  <c r="V74" i="17"/>
  <c r="V100" i="17" s="1"/>
  <c r="U74" i="17"/>
  <c r="U100" i="17" s="1"/>
  <c r="T74" i="17"/>
  <c r="T100" i="17" s="1"/>
  <c r="S74" i="17"/>
  <c r="S100" i="17" s="1"/>
  <c r="R74" i="17"/>
  <c r="R100" i="17" s="1"/>
  <c r="Q74" i="17"/>
  <c r="Q100" i="17" s="1"/>
  <c r="P74" i="17"/>
  <c r="P100" i="17" s="1"/>
  <c r="O74" i="17"/>
  <c r="O100" i="17" s="1"/>
  <c r="N74" i="17"/>
  <c r="N100" i="17" s="1"/>
  <c r="M74" i="17"/>
  <c r="M100" i="17" s="1"/>
  <c r="L74" i="17"/>
  <c r="L100" i="17" s="1"/>
  <c r="K74" i="17"/>
  <c r="K100" i="17" s="1"/>
  <c r="J74" i="17"/>
  <c r="J100" i="17" s="1"/>
  <c r="I74" i="17"/>
  <c r="I100" i="17" s="1"/>
  <c r="H74" i="17"/>
  <c r="H100" i="17" s="1"/>
  <c r="G74" i="17"/>
  <c r="G100" i="17" s="1"/>
  <c r="F74" i="17"/>
  <c r="F100" i="17" s="1"/>
  <c r="E74" i="17"/>
  <c r="E100" i="17" s="1"/>
  <c r="D74" i="17"/>
  <c r="D100" i="17" s="1"/>
  <c r="C74" i="17"/>
  <c r="C100" i="17" s="1"/>
  <c r="B74" i="17"/>
  <c r="AC74" i="17" s="1"/>
  <c r="AF73" i="17"/>
  <c r="AG73" i="17" s="1"/>
  <c r="AE73" i="17"/>
  <c r="Z73" i="17"/>
  <c r="AE72" i="17"/>
  <c r="AF72" i="17"/>
  <c r="AF71" i="17"/>
  <c r="AG71" i="17" s="1"/>
  <c r="AE71" i="17"/>
  <c r="Z71" i="17"/>
  <c r="AE70" i="17"/>
  <c r="AF70" i="17" s="1"/>
  <c r="AG70" i="17" s="1"/>
  <c r="Z70" i="17"/>
  <c r="W98" i="17" s="1"/>
  <c r="AE69" i="17"/>
  <c r="AF69" i="17" s="1"/>
  <c r="AG69" i="17" s="1"/>
  <c r="Z69" i="17"/>
  <c r="AE68" i="17"/>
  <c r="AF68" i="17" s="1"/>
  <c r="Z68" i="17"/>
  <c r="W97" i="17" s="1"/>
  <c r="AF67" i="17"/>
  <c r="AG67" i="17" s="1"/>
  <c r="AE67" i="17"/>
  <c r="Z67" i="17"/>
  <c r="AE66" i="17"/>
  <c r="AF66" i="17"/>
  <c r="AG66" i="17" s="1"/>
  <c r="Z66" i="17"/>
  <c r="W96" i="17" s="1"/>
  <c r="AE65" i="17"/>
  <c r="AF65" i="17" s="1"/>
  <c r="AF64" i="17"/>
  <c r="AE64" i="17"/>
  <c r="AE63" i="17"/>
  <c r="AF63" i="17" s="1"/>
  <c r="AE62" i="17"/>
  <c r="AF62" i="17" s="1"/>
  <c r="AG62" i="17" s="1"/>
  <c r="Z62" i="17"/>
  <c r="AE61" i="17"/>
  <c r="AF61" i="17" s="1"/>
  <c r="AG61" i="17" s="1"/>
  <c r="Z61" i="17"/>
  <c r="AF60" i="17"/>
  <c r="AG60" i="17" s="1"/>
  <c r="AE60" i="17"/>
  <c r="Z60" i="17"/>
  <c r="AE59" i="17"/>
  <c r="AF59" i="17" s="1"/>
  <c r="AG59" i="17" s="1"/>
  <c r="Z59" i="17"/>
  <c r="AF58" i="17"/>
  <c r="AG58" i="17" s="1"/>
  <c r="AE58" i="17"/>
  <c r="Z58" i="17"/>
  <c r="AF57" i="17"/>
  <c r="AG57" i="17" s="1"/>
  <c r="AE57" i="17"/>
  <c r="Z57" i="17"/>
  <c r="Z56" i="17" s="1"/>
  <c r="AE56" i="17"/>
  <c r="Y56" i="17"/>
  <c r="X56" i="17"/>
  <c r="W56" i="17"/>
  <c r="V56" i="17"/>
  <c r="U56" i="17"/>
  <c r="U93" i="17" s="1"/>
  <c r="T56" i="17"/>
  <c r="S56" i="17"/>
  <c r="S93" i="17" s="1"/>
  <c r="R56" i="17"/>
  <c r="R93" i="17" s="1"/>
  <c r="Q56" i="17"/>
  <c r="P56" i="17"/>
  <c r="O56" i="17"/>
  <c r="N56" i="17"/>
  <c r="M56" i="17"/>
  <c r="M93" i="17" s="1"/>
  <c r="L56" i="17"/>
  <c r="K56" i="17"/>
  <c r="K93" i="17" s="1"/>
  <c r="J56" i="17"/>
  <c r="J93" i="17" s="1"/>
  <c r="I56" i="17"/>
  <c r="H56" i="17"/>
  <c r="G56" i="17"/>
  <c r="F56" i="17"/>
  <c r="E56" i="17"/>
  <c r="E93" i="17" s="1"/>
  <c r="D56" i="17"/>
  <c r="C56" i="17"/>
  <c r="C93" i="17" s="1"/>
  <c r="B56" i="17"/>
  <c r="AE55" i="17"/>
  <c r="AF55" i="17" s="1"/>
  <c r="AG55" i="17" s="1"/>
  <c r="Z55" i="17"/>
  <c r="AE54" i="17"/>
  <c r="AF54" i="17" s="1"/>
  <c r="AG54" i="17" s="1"/>
  <c r="Z54" i="17"/>
  <c r="Z53" i="17" s="1"/>
  <c r="AE53" i="17"/>
  <c r="Y53" i="17"/>
  <c r="X53" i="17"/>
  <c r="X92" i="17" s="1"/>
  <c r="W53" i="17"/>
  <c r="W92" i="17" s="1"/>
  <c r="V53" i="17"/>
  <c r="V92" i="17" s="1"/>
  <c r="U53" i="17"/>
  <c r="U92" i="17" s="1"/>
  <c r="T53" i="17"/>
  <c r="S53" i="17"/>
  <c r="S92" i="17" s="1"/>
  <c r="R53" i="17"/>
  <c r="R92" i="17" s="1"/>
  <c r="Q53" i="17"/>
  <c r="Q92" i="17" s="1"/>
  <c r="P53" i="17"/>
  <c r="P92" i="17" s="1"/>
  <c r="O53" i="17"/>
  <c r="O92" i="17" s="1"/>
  <c r="N53" i="17"/>
  <c r="N92" i="17" s="1"/>
  <c r="M53" i="17"/>
  <c r="M92" i="17" s="1"/>
  <c r="L53" i="17"/>
  <c r="L92" i="17" s="1"/>
  <c r="K53" i="17"/>
  <c r="K92" i="17" s="1"/>
  <c r="J53" i="17"/>
  <c r="J92" i="17" s="1"/>
  <c r="I53" i="17"/>
  <c r="I92" i="17" s="1"/>
  <c r="H53" i="17"/>
  <c r="H92" i="17" s="1"/>
  <c r="G53" i="17"/>
  <c r="G92" i="17" s="1"/>
  <c r="F53" i="17"/>
  <c r="F92" i="17" s="1"/>
  <c r="E53" i="17"/>
  <c r="E92" i="17" s="1"/>
  <c r="D53" i="17"/>
  <c r="D92" i="17" s="1"/>
  <c r="C53" i="17"/>
  <c r="C92" i="17" s="1"/>
  <c r="B53" i="17"/>
  <c r="AE52" i="17"/>
  <c r="AF52" i="17" s="1"/>
  <c r="AG52" i="17" s="1"/>
  <c r="Z52" i="17"/>
  <c r="AE51" i="17"/>
  <c r="AF51" i="17" s="1"/>
  <c r="AG51" i="17" s="1"/>
  <c r="Z51" i="17"/>
  <c r="AF50" i="17"/>
  <c r="AG50" i="17" s="1"/>
  <c r="AE50" i="17"/>
  <c r="Z50" i="17"/>
  <c r="AF49" i="17"/>
  <c r="AG49" i="17" s="1"/>
  <c r="AE49" i="17"/>
  <c r="Z49" i="17"/>
  <c r="AE48" i="17"/>
  <c r="Z48" i="17"/>
  <c r="Y48" i="17"/>
  <c r="Y91" i="17" s="1"/>
  <c r="X48" i="17"/>
  <c r="X91" i="17" s="1"/>
  <c r="W48" i="17"/>
  <c r="W91" i="17" s="1"/>
  <c r="V48" i="17"/>
  <c r="V91" i="17" s="1"/>
  <c r="U48" i="17"/>
  <c r="U91" i="17" s="1"/>
  <c r="T48" i="17"/>
  <c r="T91" i="17" s="1"/>
  <c r="S48" i="17"/>
  <c r="S91" i="17" s="1"/>
  <c r="R48" i="17"/>
  <c r="R91" i="17" s="1"/>
  <c r="Q48" i="17"/>
  <c r="Q91" i="17" s="1"/>
  <c r="P48" i="17"/>
  <c r="P91" i="17" s="1"/>
  <c r="O48" i="17"/>
  <c r="O91" i="17" s="1"/>
  <c r="N48" i="17"/>
  <c r="N91" i="17" s="1"/>
  <c r="M48" i="17"/>
  <c r="M91" i="17" s="1"/>
  <c r="L48" i="17"/>
  <c r="L91" i="17" s="1"/>
  <c r="K48" i="17"/>
  <c r="K91" i="17" s="1"/>
  <c r="J48" i="17"/>
  <c r="J91" i="17" s="1"/>
  <c r="I48" i="17"/>
  <c r="I91" i="17" s="1"/>
  <c r="H48" i="17"/>
  <c r="H91" i="17" s="1"/>
  <c r="G48" i="17"/>
  <c r="G91" i="17" s="1"/>
  <c r="F48" i="17"/>
  <c r="F91" i="17" s="1"/>
  <c r="E48" i="17"/>
  <c r="E91" i="17" s="1"/>
  <c r="D48" i="17"/>
  <c r="D91" i="17" s="1"/>
  <c r="C48" i="17"/>
  <c r="C91" i="17" s="1"/>
  <c r="B48" i="17"/>
  <c r="AE47" i="17"/>
  <c r="AF47" i="17" s="1"/>
  <c r="AG47" i="17" s="1"/>
  <c r="Z47" i="17"/>
  <c r="AE46" i="17"/>
  <c r="AF46" i="17" s="1"/>
  <c r="AG46" i="17" s="1"/>
  <c r="AF45" i="17"/>
  <c r="AG45" i="17" s="1"/>
  <c r="AE45" i="17"/>
  <c r="Z45" i="17"/>
  <c r="AE44" i="17"/>
  <c r="AF44" i="17" s="1"/>
  <c r="AG44" i="17" s="1"/>
  <c r="Z44" i="17"/>
  <c r="AF43" i="17"/>
  <c r="AG43" i="17" s="1"/>
  <c r="AE43" i="17"/>
  <c r="Z43" i="17"/>
  <c r="AE42" i="17"/>
  <c r="AF42" i="17" s="1"/>
  <c r="AG42" i="17" s="1"/>
  <c r="Z42" i="17"/>
  <c r="AF41" i="17"/>
  <c r="AG41" i="17" s="1"/>
  <c r="AE41" i="17"/>
  <c r="Z41" i="17"/>
  <c r="Z40" i="17" s="1"/>
  <c r="AE40" i="17"/>
  <c r="Y40" i="17"/>
  <c r="X40" i="17"/>
  <c r="W40" i="17"/>
  <c r="W89" i="17" s="1"/>
  <c r="V40" i="17"/>
  <c r="U40" i="17"/>
  <c r="U89" i="17" s="1"/>
  <c r="T40" i="17"/>
  <c r="S40" i="17"/>
  <c r="S89" i="17" s="1"/>
  <c r="R40" i="17"/>
  <c r="Q40" i="17"/>
  <c r="Q89" i="17" s="1"/>
  <c r="P40" i="17"/>
  <c r="O40" i="17"/>
  <c r="O89" i="17" s="1"/>
  <c r="N40" i="17"/>
  <c r="M40" i="17"/>
  <c r="M89" i="17" s="1"/>
  <c r="L40" i="17"/>
  <c r="L89" i="17" s="1"/>
  <c r="K40" i="17"/>
  <c r="K89" i="17" s="1"/>
  <c r="J40" i="17"/>
  <c r="I40" i="17"/>
  <c r="I89" i="17" s="1"/>
  <c r="H40" i="17"/>
  <c r="G40" i="17"/>
  <c r="G89" i="17" s="1"/>
  <c r="F40" i="17"/>
  <c r="E40" i="17"/>
  <c r="E89" i="17" s="1"/>
  <c r="D40" i="17"/>
  <c r="D89" i="17" s="1"/>
  <c r="C40" i="17"/>
  <c r="C89" i="17" s="1"/>
  <c r="B40" i="17"/>
  <c r="AE39" i="17"/>
  <c r="AF39" i="17" s="1"/>
  <c r="AG39" i="17" s="1"/>
  <c r="Z39" i="17"/>
  <c r="AF38" i="17"/>
  <c r="AG38" i="17" s="1"/>
  <c r="AE38" i="17"/>
  <c r="Z38" i="17"/>
  <c r="AE37" i="17"/>
  <c r="AF37" i="17" s="1"/>
  <c r="AG37" i="17" s="1"/>
  <c r="Z37" i="17"/>
  <c r="AE36" i="17"/>
  <c r="AF36" i="17" s="1"/>
  <c r="AG36" i="17" s="1"/>
  <c r="Z36" i="17"/>
  <c r="AF35" i="17"/>
  <c r="AG35" i="17" s="1"/>
  <c r="AE35" i="17"/>
  <c r="Z35" i="17"/>
  <c r="AF34" i="17"/>
  <c r="AG34" i="17" s="1"/>
  <c r="AE34" i="17"/>
  <c r="Z34" i="17"/>
  <c r="AF33" i="17"/>
  <c r="AG33" i="17" s="1"/>
  <c r="AE33" i="17"/>
  <c r="Z33" i="17"/>
  <c r="AE32" i="17"/>
  <c r="AF32" i="17" s="1"/>
  <c r="AG32" i="17" s="1"/>
  <c r="Z32" i="17"/>
  <c r="AF31" i="17"/>
  <c r="AG31" i="17" s="1"/>
  <c r="AE31" i="17"/>
  <c r="Z31" i="17"/>
  <c r="Z30" i="17" s="1"/>
  <c r="Y30" i="17"/>
  <c r="X30" i="17"/>
  <c r="X88" i="17" s="1"/>
  <c r="W30" i="17"/>
  <c r="V30" i="17"/>
  <c r="V88" i="17" s="1"/>
  <c r="U30" i="17"/>
  <c r="T30" i="17"/>
  <c r="S30" i="17"/>
  <c r="S88" i="17" s="1"/>
  <c r="R30" i="17"/>
  <c r="R88" i="17" s="1"/>
  <c r="Q30" i="17"/>
  <c r="P30" i="17"/>
  <c r="P88" i="17" s="1"/>
  <c r="O30" i="17"/>
  <c r="N30" i="17"/>
  <c r="N88" i="17" s="1"/>
  <c r="M30" i="17"/>
  <c r="L30" i="17"/>
  <c r="L88" i="17" s="1"/>
  <c r="K30" i="17"/>
  <c r="K88" i="17" s="1"/>
  <c r="J30" i="17"/>
  <c r="J88" i="17" s="1"/>
  <c r="I30" i="17"/>
  <c r="H30" i="17"/>
  <c r="H88" i="17" s="1"/>
  <c r="G30" i="17"/>
  <c r="F30" i="17"/>
  <c r="F88" i="17" s="1"/>
  <c r="E30" i="17"/>
  <c r="D30" i="17"/>
  <c r="D88" i="17" s="1"/>
  <c r="C30" i="17"/>
  <c r="C88" i="17" s="1"/>
  <c r="B30" i="17"/>
  <c r="AE29" i="17"/>
  <c r="AF29" i="17" s="1"/>
  <c r="AG29" i="17" s="1"/>
  <c r="Z29" i="17"/>
  <c r="AE28" i="17"/>
  <c r="AF28" i="17" s="1"/>
  <c r="AG28" i="17" s="1"/>
  <c r="Z28" i="17"/>
  <c r="AF27" i="17"/>
  <c r="AG27" i="17" s="1"/>
  <c r="AE27" i="17"/>
  <c r="Z27" i="17"/>
  <c r="Z26" i="17" s="1"/>
  <c r="Y26" i="17"/>
  <c r="X26" i="17"/>
  <c r="W26" i="17"/>
  <c r="V26" i="17"/>
  <c r="U26" i="17"/>
  <c r="U87" i="17" s="1"/>
  <c r="T26" i="17"/>
  <c r="AD26" i="17" s="1"/>
  <c r="S26" i="17"/>
  <c r="R26" i="17"/>
  <c r="R87" i="17" s="1"/>
  <c r="Q26" i="17"/>
  <c r="P26" i="17"/>
  <c r="O26" i="17"/>
  <c r="N26" i="17"/>
  <c r="M26" i="17"/>
  <c r="M87" i="17" s="1"/>
  <c r="L26" i="17"/>
  <c r="K26" i="17"/>
  <c r="J26" i="17"/>
  <c r="J87" i="17" s="1"/>
  <c r="I26" i="17"/>
  <c r="H26" i="17"/>
  <c r="G26" i="17"/>
  <c r="F26" i="17"/>
  <c r="E26" i="17"/>
  <c r="E87" i="17" s="1"/>
  <c r="D26" i="17"/>
  <c r="C26" i="17"/>
  <c r="B26" i="17"/>
  <c r="AF25" i="17"/>
  <c r="AG25" i="17" s="1"/>
  <c r="AE25" i="17"/>
  <c r="Z25" i="17"/>
  <c r="AE24" i="17"/>
  <c r="AF24" i="17"/>
  <c r="AG24" i="17" s="1"/>
  <c r="AF23" i="17"/>
  <c r="AG23" i="17" s="1"/>
  <c r="AE23" i="17"/>
  <c r="Z23" i="17"/>
  <c r="AF22" i="17"/>
  <c r="AG22" i="17" s="1"/>
  <c r="AE22" i="17"/>
  <c r="Z22" i="17"/>
  <c r="AE21" i="17"/>
  <c r="AF21" i="17" s="1"/>
  <c r="AG21" i="17" s="1"/>
  <c r="Z21" i="17"/>
  <c r="Z20" i="17" s="1"/>
  <c r="AE20" i="17"/>
  <c r="Y20" i="17"/>
  <c r="X20" i="17"/>
  <c r="W20" i="17"/>
  <c r="V20" i="17"/>
  <c r="U20" i="17"/>
  <c r="T20" i="17"/>
  <c r="S20" i="17"/>
  <c r="S85" i="17" s="1"/>
  <c r="R20" i="17"/>
  <c r="Q20" i="17"/>
  <c r="P20" i="17"/>
  <c r="O20" i="17"/>
  <c r="N20" i="17"/>
  <c r="M20" i="17"/>
  <c r="L20" i="17"/>
  <c r="K20" i="17"/>
  <c r="K85" i="17" s="1"/>
  <c r="J20" i="17"/>
  <c r="I20" i="17"/>
  <c r="H20" i="17"/>
  <c r="G20" i="17"/>
  <c r="F20" i="17"/>
  <c r="E20" i="17"/>
  <c r="D20" i="17"/>
  <c r="C20" i="17"/>
  <c r="C85" i="17" s="1"/>
  <c r="B20" i="17"/>
  <c r="AC20" i="17" s="1"/>
  <c r="AE19" i="17"/>
  <c r="AF19" i="17" s="1"/>
  <c r="AG19" i="17" s="1"/>
  <c r="Z19" i="17"/>
  <c r="AE18" i="17"/>
  <c r="AF18" i="17" s="1"/>
  <c r="AG18" i="17" s="1"/>
  <c r="Z18" i="17"/>
  <c r="AE17" i="17"/>
  <c r="AF17" i="17" s="1"/>
  <c r="AG17" i="17" s="1"/>
  <c r="Z17" i="17"/>
  <c r="AF16" i="17"/>
  <c r="AG16" i="17" s="1"/>
  <c r="AE16" i="17"/>
  <c r="Z16" i="17"/>
  <c r="AF15" i="17"/>
  <c r="AG15" i="17" s="1"/>
  <c r="AE15" i="17"/>
  <c r="Z15" i="17"/>
  <c r="AF14" i="17"/>
  <c r="AG14" i="17" s="1"/>
  <c r="AE14" i="17"/>
  <c r="Z14" i="17"/>
  <c r="AE13" i="17"/>
  <c r="AF13" i="17" s="1"/>
  <c r="AG13" i="17" s="1"/>
  <c r="Z13" i="17"/>
  <c r="AF12" i="17"/>
  <c r="AG12" i="17" s="1"/>
  <c r="AE12" i="17"/>
  <c r="Z12" i="17"/>
  <c r="Z11" i="17" s="1"/>
  <c r="AE11" i="17"/>
  <c r="Y11" i="17"/>
  <c r="Y84" i="17" s="1"/>
  <c r="X11" i="17"/>
  <c r="X84" i="17" s="1"/>
  <c r="W11" i="17"/>
  <c r="V11" i="17"/>
  <c r="V84" i="17" s="1"/>
  <c r="U11" i="17"/>
  <c r="U84" i="17" s="1"/>
  <c r="T11" i="17"/>
  <c r="S11" i="17"/>
  <c r="S84" i="17" s="1"/>
  <c r="R11" i="17"/>
  <c r="R84" i="17" s="1"/>
  <c r="Q11" i="17"/>
  <c r="Q84" i="17" s="1"/>
  <c r="P11" i="17"/>
  <c r="P84" i="17" s="1"/>
  <c r="O11" i="17"/>
  <c r="O84" i="17" s="1"/>
  <c r="N11" i="17"/>
  <c r="N84" i="17" s="1"/>
  <c r="M11" i="17"/>
  <c r="M84" i="17" s="1"/>
  <c r="L11" i="17"/>
  <c r="L84" i="17" s="1"/>
  <c r="K11" i="17"/>
  <c r="K84" i="17" s="1"/>
  <c r="J11" i="17"/>
  <c r="J84" i="17" s="1"/>
  <c r="I11" i="17"/>
  <c r="I84" i="17" s="1"/>
  <c r="H11" i="17"/>
  <c r="H84" i="17" s="1"/>
  <c r="G11" i="17"/>
  <c r="G84" i="17" s="1"/>
  <c r="F11" i="17"/>
  <c r="F84" i="17" s="1"/>
  <c r="E11" i="17"/>
  <c r="E84" i="17" s="1"/>
  <c r="D11" i="17"/>
  <c r="D84" i="17" s="1"/>
  <c r="C11" i="17"/>
  <c r="C84" i="17" s="1"/>
  <c r="B11" i="17"/>
  <c r="AE245" i="16"/>
  <c r="AD245" i="16"/>
  <c r="AC245" i="16"/>
  <c r="AE244" i="16"/>
  <c r="AD244" i="16"/>
  <c r="AC244" i="16"/>
  <c r="Z244" i="16"/>
  <c r="Z77" i="16" s="1"/>
  <c r="AE243" i="16"/>
  <c r="AD243" i="16"/>
  <c r="AC243" i="16"/>
  <c r="AE242" i="16"/>
  <c r="AD242" i="16"/>
  <c r="AC242" i="16"/>
  <c r="Z242" i="16"/>
  <c r="Z75" i="16" s="1"/>
  <c r="AE241" i="16"/>
  <c r="AD241" i="16"/>
  <c r="AC241" i="16"/>
  <c r="AE240" i="16"/>
  <c r="AD240" i="16"/>
  <c r="AC240" i="16"/>
  <c r="Z240" i="16"/>
  <c r="Z73" i="16" s="1"/>
  <c r="AE239" i="16"/>
  <c r="X239" i="16"/>
  <c r="X72" i="16" s="1"/>
  <c r="AD72" i="16" s="1"/>
  <c r="B239" i="16"/>
  <c r="B72" i="16" s="1"/>
  <c r="AC72" i="16" s="1"/>
  <c r="AF72" i="16" s="1"/>
  <c r="AE238" i="16"/>
  <c r="AD238" i="16"/>
  <c r="AC238" i="16"/>
  <c r="AE237" i="16"/>
  <c r="AD237" i="16"/>
  <c r="AC237" i="16"/>
  <c r="Y236" i="16"/>
  <c r="Y69" i="16" s="1"/>
  <c r="W236" i="16"/>
  <c r="W69" i="16" s="1"/>
  <c r="D236" i="16"/>
  <c r="D69" i="16" s="1"/>
  <c r="C236" i="16"/>
  <c r="C69" i="16" s="1"/>
  <c r="AD235" i="16"/>
  <c r="AC235" i="16"/>
  <c r="Y235" i="16"/>
  <c r="Y68" i="16" s="1"/>
  <c r="AE68" i="16" s="1"/>
  <c r="AF68" i="16" s="1"/>
  <c r="AG68" i="16" s="1"/>
  <c r="AE234" i="16"/>
  <c r="AD234" i="16"/>
  <c r="AC234" i="16"/>
  <c r="AD233" i="16"/>
  <c r="AC233" i="16"/>
  <c r="Y233" i="16"/>
  <c r="Y66" i="16" s="1"/>
  <c r="AE66" i="16" s="1"/>
  <c r="AF66" i="16" s="1"/>
  <c r="AG66" i="16" s="1"/>
  <c r="W232" i="16"/>
  <c r="W65" i="16" s="1"/>
  <c r="S232" i="16"/>
  <c r="S65" i="16" s="1"/>
  <c r="C232" i="16"/>
  <c r="C65" i="16" s="1"/>
  <c r="B232" i="16"/>
  <c r="B65" i="16" s="1"/>
  <c r="AE231" i="16"/>
  <c r="AD231" i="16"/>
  <c r="AC231" i="16"/>
  <c r="AE230" i="16"/>
  <c r="AD230" i="16"/>
  <c r="AC230" i="16"/>
  <c r="AE229" i="16"/>
  <c r="AD229" i="16"/>
  <c r="AC229" i="16"/>
  <c r="AE228" i="16"/>
  <c r="AD228" i="16"/>
  <c r="AC228" i="16"/>
  <c r="AE227" i="16"/>
  <c r="AD227" i="16"/>
  <c r="AC227" i="16"/>
  <c r="AE226" i="16"/>
  <c r="AD226" i="16"/>
  <c r="AC226" i="16"/>
  <c r="Y225" i="16"/>
  <c r="Y58" i="16" s="1"/>
  <c r="R225" i="16"/>
  <c r="R58" i="16" s="1"/>
  <c r="M225" i="16"/>
  <c r="M58" i="16" s="1"/>
  <c r="E225" i="16"/>
  <c r="E58" i="16" s="1"/>
  <c r="C225" i="16"/>
  <c r="C58" i="16" s="1"/>
  <c r="B225" i="16"/>
  <c r="B58" i="16" s="1"/>
  <c r="AE205" i="16"/>
  <c r="U205" i="16"/>
  <c r="U38" i="16" s="1"/>
  <c r="AD38" i="16" s="1"/>
  <c r="S205" i="16"/>
  <c r="S38" i="16" s="1"/>
  <c r="R205" i="16"/>
  <c r="R38" i="16" s="1"/>
  <c r="Q205" i="16"/>
  <c r="Q38" i="16" s="1"/>
  <c r="O205" i="16"/>
  <c r="O38" i="16" s="1"/>
  <c r="N205" i="16"/>
  <c r="N38" i="16" s="1"/>
  <c r="H205" i="16"/>
  <c r="H38" i="16" s="1"/>
  <c r="AE204" i="16"/>
  <c r="AD204" i="16"/>
  <c r="AC204" i="16"/>
  <c r="Z204" i="16"/>
  <c r="Z37" i="16" s="1"/>
  <c r="AE203" i="16"/>
  <c r="X203" i="16"/>
  <c r="X36" i="16" s="1"/>
  <c r="AD36" i="16" s="1"/>
  <c r="T203" i="16"/>
  <c r="T36" i="16" s="1"/>
  <c r="R203" i="16"/>
  <c r="R36" i="16" s="1"/>
  <c r="L203" i="16"/>
  <c r="L36" i="16" s="1"/>
  <c r="K203" i="16"/>
  <c r="K36" i="16" s="1"/>
  <c r="I203" i="16"/>
  <c r="I36" i="16" s="1"/>
  <c r="E203" i="16"/>
  <c r="E36" i="16" s="1"/>
  <c r="AE202" i="16"/>
  <c r="AD202" i="16"/>
  <c r="AC202" i="16"/>
  <c r="Z202" i="16"/>
  <c r="Z35" i="16" s="1"/>
  <c r="AE201" i="16"/>
  <c r="AD201" i="16"/>
  <c r="AC201" i="16"/>
  <c r="Z201" i="16"/>
  <c r="Z34" i="16" s="1"/>
  <c r="AE200" i="16"/>
  <c r="AD200" i="16"/>
  <c r="AC200" i="16"/>
  <c r="Z200" i="16"/>
  <c r="Z33" i="16" s="1"/>
  <c r="AE199" i="16"/>
  <c r="AD199" i="16"/>
  <c r="R199" i="16"/>
  <c r="R32" i="16" s="1"/>
  <c r="P199" i="16"/>
  <c r="P32" i="16" s="1"/>
  <c r="O199" i="16"/>
  <c r="O32" i="16" s="1"/>
  <c r="M199" i="16"/>
  <c r="M32" i="16" s="1"/>
  <c r="I199" i="16"/>
  <c r="I32" i="16" s="1"/>
  <c r="C199" i="16"/>
  <c r="C32" i="16" s="1"/>
  <c r="AE198" i="16"/>
  <c r="AD198" i="16"/>
  <c r="AC198" i="16"/>
  <c r="Z198" i="16"/>
  <c r="Z31" i="16" s="1"/>
  <c r="AE197" i="16"/>
  <c r="X197" i="16"/>
  <c r="X30" i="16" s="1"/>
  <c r="AD30" i="16" s="1"/>
  <c r="B197" i="16"/>
  <c r="B30" i="16" s="1"/>
  <c r="AC30" i="16" s="1"/>
  <c r="W196" i="16"/>
  <c r="W29" i="16" s="1"/>
  <c r="V196" i="16"/>
  <c r="V29" i="16" s="1"/>
  <c r="U196" i="16"/>
  <c r="U29" i="16" s="1"/>
  <c r="S196" i="16"/>
  <c r="S29" i="16" s="1"/>
  <c r="Q196" i="16"/>
  <c r="Q29" i="16" s="1"/>
  <c r="N196" i="16"/>
  <c r="N29" i="16" s="1"/>
  <c r="L196" i="16"/>
  <c r="L29" i="16" s="1"/>
  <c r="K196" i="16"/>
  <c r="K29" i="16" s="1"/>
  <c r="J196" i="16"/>
  <c r="J29" i="16" s="1"/>
  <c r="H196" i="16"/>
  <c r="H29" i="16" s="1"/>
  <c r="G196" i="16"/>
  <c r="G29" i="16" s="1"/>
  <c r="F196" i="16"/>
  <c r="F29" i="16" s="1"/>
  <c r="E196" i="16"/>
  <c r="E29" i="16" s="1"/>
  <c r="D196" i="16"/>
  <c r="D29" i="16" s="1"/>
  <c r="AE195" i="16"/>
  <c r="AD195" i="16"/>
  <c r="AC195" i="16"/>
  <c r="Z195" i="16"/>
  <c r="Z28" i="16" s="1"/>
  <c r="AD194" i="16"/>
  <c r="AC194" i="16"/>
  <c r="Y194" i="16"/>
  <c r="Y27" i="16" s="1"/>
  <c r="AE27" i="16" s="1"/>
  <c r="AF27" i="16" s="1"/>
  <c r="AG27" i="16" s="1"/>
  <c r="AD193" i="16"/>
  <c r="Y193" i="16"/>
  <c r="Y26" i="16" s="1"/>
  <c r="AE26" i="16" s="1"/>
  <c r="C193" i="16"/>
  <c r="C26" i="16" s="1"/>
  <c r="AC26" i="16" s="1"/>
  <c r="W192" i="16"/>
  <c r="W25" i="16" s="1"/>
  <c r="V192" i="16"/>
  <c r="V25" i="16" s="1"/>
  <c r="M192" i="16"/>
  <c r="M25" i="16" s="1"/>
  <c r="I192" i="16"/>
  <c r="I25" i="16" s="1"/>
  <c r="D192" i="16"/>
  <c r="D25" i="16" s="1"/>
  <c r="B192" i="16"/>
  <c r="B25" i="16" s="1"/>
  <c r="AE191" i="16"/>
  <c r="AD191" i="16"/>
  <c r="AC191" i="16"/>
  <c r="AE190" i="16"/>
  <c r="AD190" i="16"/>
  <c r="AC190" i="16"/>
  <c r="AE189" i="16"/>
  <c r="AD189" i="16"/>
  <c r="AC189" i="16"/>
  <c r="AE188" i="16"/>
  <c r="AD188" i="16"/>
  <c r="R188" i="16"/>
  <c r="R21" i="16" s="1"/>
  <c r="B188" i="16"/>
  <c r="B21" i="16" s="1"/>
  <c r="AE187" i="16"/>
  <c r="AD187" i="16"/>
  <c r="C187" i="16"/>
  <c r="AE186" i="16"/>
  <c r="AD186" i="16"/>
  <c r="AC186" i="16"/>
  <c r="Z186" i="16"/>
  <c r="Z19" i="16" s="1"/>
  <c r="AE185" i="16"/>
  <c r="AD185" i="16"/>
  <c r="AC185" i="16"/>
  <c r="Z185" i="16"/>
  <c r="Z18" i="16" s="1"/>
  <c r="AE184" i="16"/>
  <c r="AD184" i="16"/>
  <c r="AC184" i="16"/>
  <c r="Z184" i="16"/>
  <c r="Z17" i="16" s="1"/>
  <c r="AE183" i="16"/>
  <c r="AD183" i="16"/>
  <c r="AC183" i="16"/>
  <c r="Z183" i="16"/>
  <c r="Z16" i="16" s="1"/>
  <c r="AE182" i="16"/>
  <c r="AD182" i="16"/>
  <c r="AC182" i="16"/>
  <c r="Z182" i="16"/>
  <c r="Z15" i="16" s="1"/>
  <c r="AE181" i="16"/>
  <c r="AD181" i="16"/>
  <c r="AC181" i="16"/>
  <c r="Z181" i="16"/>
  <c r="Z14" i="16" s="1"/>
  <c r="Y180" i="16"/>
  <c r="Y13" i="16" s="1"/>
  <c r="X180" i="16"/>
  <c r="X13" i="16" s="1"/>
  <c r="U180" i="16"/>
  <c r="U13" i="16" s="1"/>
  <c r="T180" i="16"/>
  <c r="T13" i="16" s="1"/>
  <c r="E180" i="16"/>
  <c r="E13" i="16" s="1"/>
  <c r="Y348" i="15"/>
  <c r="X348" i="15"/>
  <c r="W348" i="15"/>
  <c r="V348" i="15"/>
  <c r="U348" i="15"/>
  <c r="T348" i="15"/>
  <c r="S348" i="15"/>
  <c r="R348" i="15"/>
  <c r="Q348" i="15"/>
  <c r="P348" i="15"/>
  <c r="O348" i="15"/>
  <c r="N348" i="15"/>
  <c r="M348" i="15"/>
  <c r="L348" i="15"/>
  <c r="K348" i="15"/>
  <c r="J348" i="15"/>
  <c r="I348" i="15"/>
  <c r="H348" i="15"/>
  <c r="G348" i="15"/>
  <c r="F348" i="15"/>
  <c r="E348" i="15"/>
  <c r="D348" i="15"/>
  <c r="C348" i="15"/>
  <c r="B348" i="15"/>
  <c r="Y340" i="15"/>
  <c r="Y109" i="15" s="1"/>
  <c r="I340" i="15"/>
  <c r="F340" i="15"/>
  <c r="E340" i="15"/>
  <c r="AE339" i="15"/>
  <c r="AD339" i="15"/>
  <c r="AC339" i="15"/>
  <c r="AE338" i="15"/>
  <c r="AD338" i="15"/>
  <c r="AC338" i="15"/>
  <c r="AE337" i="15"/>
  <c r="AD337" i="15"/>
  <c r="AC337" i="15"/>
  <c r="AE336" i="15"/>
  <c r="AD336" i="15"/>
  <c r="AC336" i="15"/>
  <c r="AE335" i="15"/>
  <c r="AD335" i="15"/>
  <c r="AC335" i="15"/>
  <c r="Z335" i="15"/>
  <c r="Z104" i="15" s="1"/>
  <c r="AE334" i="15"/>
  <c r="AD334" i="15"/>
  <c r="AC334" i="15"/>
  <c r="Z334" i="15"/>
  <c r="Z103" i="15" s="1"/>
  <c r="AE333" i="15"/>
  <c r="AD333" i="15"/>
  <c r="AC333" i="15"/>
  <c r="AE332" i="15"/>
  <c r="AD332" i="15"/>
  <c r="AC332" i="15"/>
  <c r="Z332" i="15"/>
  <c r="Z101" i="15" s="1"/>
  <c r="AE331" i="15"/>
  <c r="AD331" i="15"/>
  <c r="AC331" i="15"/>
  <c r="AE330" i="15"/>
  <c r="AD330" i="15"/>
  <c r="AC330" i="15"/>
  <c r="AE329" i="15"/>
  <c r="AD329" i="15"/>
  <c r="AC329" i="15"/>
  <c r="AE328" i="15"/>
  <c r="AD328" i="15"/>
  <c r="AC328" i="15"/>
  <c r="AE327" i="15"/>
  <c r="AD327" i="15"/>
  <c r="AC327" i="15"/>
  <c r="AE326" i="15"/>
  <c r="AD326" i="15"/>
  <c r="AC326" i="15"/>
  <c r="Z326" i="15"/>
  <c r="Z95" i="15" s="1"/>
  <c r="AE325" i="15"/>
  <c r="AD325" i="15"/>
  <c r="AC325" i="15"/>
  <c r="Z325" i="15"/>
  <c r="Z94" i="15" s="1"/>
  <c r="AE324" i="15"/>
  <c r="AD324" i="15"/>
  <c r="AC324" i="15"/>
  <c r="AE323" i="15"/>
  <c r="AD323" i="15"/>
  <c r="AC323" i="15"/>
  <c r="Z323" i="15"/>
  <c r="Z92" i="15" s="1"/>
  <c r="AE322" i="15"/>
  <c r="X322" i="15"/>
  <c r="X91" i="15" s="1"/>
  <c r="W322" i="15"/>
  <c r="W91" i="15" s="1"/>
  <c r="V322" i="15"/>
  <c r="V91" i="15" s="1"/>
  <c r="U322" i="15"/>
  <c r="U91" i="15" s="1"/>
  <c r="T322" i="15"/>
  <c r="T91" i="15" s="1"/>
  <c r="S322" i="15"/>
  <c r="S91" i="15" s="1"/>
  <c r="R322" i="15"/>
  <c r="R91" i="15" s="1"/>
  <c r="Q322" i="15"/>
  <c r="Q91" i="15" s="1"/>
  <c r="P322" i="15"/>
  <c r="P91" i="15" s="1"/>
  <c r="O322" i="15"/>
  <c r="O91" i="15" s="1"/>
  <c r="N322" i="15"/>
  <c r="N91" i="15" s="1"/>
  <c r="M322" i="15"/>
  <c r="M91" i="15" s="1"/>
  <c r="L322" i="15"/>
  <c r="L91" i="15" s="1"/>
  <c r="K322" i="15"/>
  <c r="K91" i="15" s="1"/>
  <c r="J322" i="15"/>
  <c r="J91" i="15" s="1"/>
  <c r="H322" i="15"/>
  <c r="H91" i="15" s="1"/>
  <c r="G322" i="15"/>
  <c r="G91" i="15" s="1"/>
  <c r="D322" i="15"/>
  <c r="D91" i="15" s="1"/>
  <c r="C322" i="15"/>
  <c r="C91" i="15" s="1"/>
  <c r="B322" i="15"/>
  <c r="B91" i="15" s="1"/>
  <c r="AE321" i="15"/>
  <c r="AD321" i="15"/>
  <c r="AC321" i="15"/>
  <c r="AE320" i="15"/>
  <c r="AD320" i="15"/>
  <c r="AC320" i="15"/>
  <c r="AE319" i="15"/>
  <c r="AD319" i="15"/>
  <c r="AC319" i="15"/>
  <c r="AE318" i="15"/>
  <c r="AD318" i="15"/>
  <c r="AC318" i="15"/>
  <c r="AE317" i="15"/>
  <c r="AD317" i="15"/>
  <c r="AC317" i="15"/>
  <c r="Z317" i="15"/>
  <c r="Z86" i="15" s="1"/>
  <c r="AE316" i="15"/>
  <c r="AD316" i="15"/>
  <c r="AC316" i="15"/>
  <c r="AE315" i="15"/>
  <c r="AD315" i="15"/>
  <c r="AC315" i="15"/>
  <c r="AE314" i="15"/>
  <c r="AD314" i="15"/>
  <c r="AC314" i="15"/>
  <c r="AE313" i="15"/>
  <c r="AD313" i="15"/>
  <c r="AC313" i="15"/>
  <c r="Y299" i="15"/>
  <c r="X299" i="15"/>
  <c r="W299" i="15"/>
  <c r="V299" i="15"/>
  <c r="U299" i="15"/>
  <c r="T299" i="15"/>
  <c r="S299" i="15"/>
  <c r="R299" i="15"/>
  <c r="Q299" i="15"/>
  <c r="P299" i="15"/>
  <c r="O299" i="15"/>
  <c r="N299" i="15"/>
  <c r="M299" i="15"/>
  <c r="L299" i="15"/>
  <c r="K299" i="15"/>
  <c r="J299" i="15"/>
  <c r="I299" i="15"/>
  <c r="H299" i="15"/>
  <c r="G299" i="15"/>
  <c r="F299" i="15"/>
  <c r="E299" i="15"/>
  <c r="D299" i="15"/>
  <c r="C299" i="15"/>
  <c r="B299" i="15"/>
  <c r="Y289" i="15"/>
  <c r="Y58" i="15" s="1"/>
  <c r="W289" i="15"/>
  <c r="O289" i="15"/>
  <c r="N289" i="15"/>
  <c r="K289" i="15"/>
  <c r="J289" i="15"/>
  <c r="I289" i="15"/>
  <c r="G289" i="15"/>
  <c r="F289" i="15"/>
  <c r="E289" i="15"/>
  <c r="D289" i="15"/>
  <c r="D58" i="15" s="1"/>
  <c r="AE288" i="15"/>
  <c r="AD288" i="15"/>
  <c r="AC288" i="15"/>
  <c r="Z288" i="15"/>
  <c r="AE287" i="15"/>
  <c r="AD287" i="15"/>
  <c r="AC287" i="15"/>
  <c r="AE286" i="15"/>
  <c r="AD286" i="15"/>
  <c r="AC286" i="15"/>
  <c r="Z286" i="15"/>
  <c r="AE285" i="15"/>
  <c r="AD285" i="15"/>
  <c r="B285" i="15"/>
  <c r="AE284" i="15"/>
  <c r="AD284" i="15"/>
  <c r="AC284" i="15"/>
  <c r="Z284" i="15"/>
  <c r="Z53" i="15" s="1"/>
  <c r="AE283" i="15"/>
  <c r="AD283" i="15"/>
  <c r="AC283" i="15"/>
  <c r="Z283" i="15"/>
  <c r="Z52" i="15" s="1"/>
  <c r="AE282" i="15"/>
  <c r="AD282" i="15"/>
  <c r="AC282" i="15"/>
  <c r="AE281" i="15"/>
  <c r="AD281" i="15"/>
  <c r="AC281" i="15"/>
  <c r="AE280" i="15"/>
  <c r="AD280" i="15"/>
  <c r="AC280" i="15"/>
  <c r="Z280" i="15"/>
  <c r="Z49" i="15" s="1"/>
  <c r="AE279" i="15"/>
  <c r="AD279" i="15"/>
  <c r="AC279" i="15"/>
  <c r="AE278" i="15"/>
  <c r="AD278" i="15"/>
  <c r="AC278" i="15"/>
  <c r="AE277" i="15"/>
  <c r="AD277" i="15"/>
  <c r="AC277" i="15"/>
  <c r="AE276" i="15"/>
  <c r="AD276" i="15"/>
  <c r="AC276" i="15"/>
  <c r="AE275" i="15"/>
  <c r="AD275" i="15"/>
  <c r="AC275" i="15"/>
  <c r="Z275" i="15"/>
  <c r="Z273" i="15" s="1"/>
  <c r="P301" i="15" s="1"/>
  <c r="AE274" i="15"/>
  <c r="AD274" i="15"/>
  <c r="AC274" i="15"/>
  <c r="AE273" i="15"/>
  <c r="AD273" i="15"/>
  <c r="AC273" i="15"/>
  <c r="AE272" i="15"/>
  <c r="AD272" i="15"/>
  <c r="AC272" i="15"/>
  <c r="Z272" i="15"/>
  <c r="Z41" i="15" s="1"/>
  <c r="AE271" i="15"/>
  <c r="AD271" i="15"/>
  <c r="AC271" i="15"/>
  <c r="Z271" i="15"/>
  <c r="Z40" i="15" s="1"/>
  <c r="AE270" i="15"/>
  <c r="AD270" i="15"/>
  <c r="AC270" i="15"/>
  <c r="AE269" i="15"/>
  <c r="AD269" i="15"/>
  <c r="AC269" i="15"/>
  <c r="Z269" i="15"/>
  <c r="Z38" i="15" s="1"/>
  <c r="AE268" i="15"/>
  <c r="X268" i="15"/>
  <c r="X37" i="15" s="1"/>
  <c r="V268" i="15"/>
  <c r="V37" i="15" s="1"/>
  <c r="U268" i="15"/>
  <c r="T268" i="15"/>
  <c r="T37" i="15" s="1"/>
  <c r="S268" i="15"/>
  <c r="S37" i="15" s="1"/>
  <c r="R268" i="15"/>
  <c r="R37" i="15" s="1"/>
  <c r="Q268" i="15"/>
  <c r="P268" i="15"/>
  <c r="P37" i="15" s="1"/>
  <c r="M268" i="15"/>
  <c r="M37" i="15" s="1"/>
  <c r="L268" i="15"/>
  <c r="L37" i="15" s="1"/>
  <c r="H268" i="15"/>
  <c r="C268" i="15"/>
  <c r="C37" i="15" s="1"/>
  <c r="B268" i="15"/>
  <c r="B37" i="15" s="1"/>
  <c r="AE267" i="15"/>
  <c r="AD267" i="15"/>
  <c r="AC267" i="15"/>
  <c r="AE266" i="15"/>
  <c r="AD266" i="15"/>
  <c r="AC266" i="15"/>
  <c r="AE265" i="15"/>
  <c r="AD265" i="15"/>
  <c r="AC265" i="15"/>
  <c r="AE264" i="15"/>
  <c r="AD264" i="15"/>
  <c r="AC264" i="15"/>
  <c r="Z264" i="15"/>
  <c r="Z33" i="15" s="1"/>
  <c r="AE263" i="15"/>
  <c r="AD263" i="15"/>
  <c r="AC263" i="15"/>
  <c r="Z263" i="15"/>
  <c r="Z32" i="15" s="1"/>
  <c r="AE262" i="15"/>
  <c r="AD262" i="15"/>
  <c r="AC262" i="15"/>
  <c r="AE261" i="15"/>
  <c r="AD261" i="15"/>
  <c r="AE260" i="15"/>
  <c r="AD260" i="15"/>
  <c r="AC260" i="15"/>
  <c r="Z260" i="15"/>
  <c r="AE259" i="15"/>
  <c r="AD259" i="15"/>
  <c r="AC259" i="15"/>
  <c r="AE258" i="15"/>
  <c r="AD258" i="15"/>
  <c r="AC258" i="15"/>
  <c r="AE257" i="15"/>
  <c r="AD257" i="15"/>
  <c r="AC257" i="15"/>
  <c r="AE256" i="15"/>
  <c r="AD256" i="15"/>
  <c r="AC256" i="15"/>
  <c r="AE255" i="15"/>
  <c r="AD255" i="15"/>
  <c r="AC255" i="15"/>
  <c r="Z255" i="15"/>
  <c r="Z24" i="15" s="1"/>
  <c r="AE254" i="15"/>
  <c r="AD254" i="15"/>
  <c r="AC254" i="15"/>
  <c r="Z254" i="15"/>
  <c r="AE253" i="15"/>
  <c r="AD253" i="15"/>
  <c r="AC253" i="15"/>
  <c r="AE252" i="15"/>
  <c r="AD252" i="15"/>
  <c r="AC252" i="15"/>
  <c r="AE251" i="15"/>
  <c r="AD251" i="15"/>
  <c r="AC251" i="15"/>
  <c r="AE250" i="15"/>
  <c r="AD250" i="15"/>
  <c r="AC250" i="15"/>
  <c r="AE249" i="15"/>
  <c r="AD249" i="15"/>
  <c r="AC249" i="15"/>
  <c r="Z249" i="15"/>
  <c r="Z18" i="15" s="1"/>
  <c r="AE248" i="15"/>
  <c r="AD248" i="15"/>
  <c r="AC248" i="15"/>
  <c r="Z248" i="15"/>
  <c r="AE247" i="15"/>
  <c r="U247" i="15"/>
  <c r="AD247" i="15" s="1"/>
  <c r="T247" i="15"/>
  <c r="T16" i="15" s="1"/>
  <c r="B247" i="15"/>
  <c r="B16" i="15" s="1"/>
  <c r="AE246" i="15"/>
  <c r="AD246" i="15"/>
  <c r="AC246" i="15"/>
  <c r="AE245" i="15"/>
  <c r="AD245" i="15"/>
  <c r="AC245" i="15"/>
  <c r="AE244" i="15"/>
  <c r="AD244" i="15"/>
  <c r="AC244" i="15"/>
  <c r="Z244" i="15"/>
  <c r="Z13" i="15" s="1"/>
  <c r="AE445" i="14"/>
  <c r="AD445" i="14"/>
  <c r="AC445" i="14"/>
  <c r="AE444" i="14"/>
  <c r="AD444" i="14"/>
  <c r="AC444" i="14"/>
  <c r="AE443" i="14"/>
  <c r="AD443" i="14"/>
  <c r="AC443" i="14"/>
  <c r="Z443" i="14"/>
  <c r="Z139" i="14" s="1"/>
  <c r="Y442" i="14"/>
  <c r="Y138" i="14" s="1"/>
  <c r="X442" i="14"/>
  <c r="X138" i="14" s="1"/>
  <c r="W442" i="14"/>
  <c r="W138" i="14" s="1"/>
  <c r="V442" i="14"/>
  <c r="U442" i="14"/>
  <c r="U138" i="14" s="1"/>
  <c r="S442" i="14"/>
  <c r="S138" i="14" s="1"/>
  <c r="R442" i="14"/>
  <c r="R138" i="14" s="1"/>
  <c r="Q442" i="14"/>
  <c r="P442" i="14"/>
  <c r="P138" i="14" s="1"/>
  <c r="AE441" i="14"/>
  <c r="AD441" i="14"/>
  <c r="AC441" i="14"/>
  <c r="Z441" i="14"/>
  <c r="AE440" i="14"/>
  <c r="AC440" i="14"/>
  <c r="W440" i="14"/>
  <c r="W136" i="14" s="1"/>
  <c r="V440" i="14"/>
  <c r="V136" i="14" s="1"/>
  <c r="AE439" i="14"/>
  <c r="AD439" i="14"/>
  <c r="AC439" i="14"/>
  <c r="AE438" i="14"/>
  <c r="AD438" i="14"/>
  <c r="AC438" i="14"/>
  <c r="AE437" i="14"/>
  <c r="AD437" i="14"/>
  <c r="AC437" i="14"/>
  <c r="Z437" i="14"/>
  <c r="Z133" i="14" s="1"/>
  <c r="AE436" i="14"/>
  <c r="AD436" i="14"/>
  <c r="AC436" i="14"/>
  <c r="Z436" i="14"/>
  <c r="Z132" i="14" s="1"/>
  <c r="Y435" i="14"/>
  <c r="Y131" i="14" s="1"/>
  <c r="W435" i="14"/>
  <c r="W131" i="14" s="1"/>
  <c r="U435" i="14"/>
  <c r="U131" i="14" s="1"/>
  <c r="T435" i="14"/>
  <c r="P435" i="14"/>
  <c r="P131" i="14" s="1"/>
  <c r="AE434" i="14"/>
  <c r="AD434" i="14"/>
  <c r="AC434" i="14"/>
  <c r="AE433" i="14"/>
  <c r="AD433" i="14"/>
  <c r="AC433" i="14"/>
  <c r="AE432" i="14"/>
  <c r="AD432" i="14"/>
  <c r="AC432" i="14"/>
  <c r="Z432" i="14"/>
  <c r="Z128" i="14" s="1"/>
  <c r="AE431" i="14"/>
  <c r="AD431" i="14"/>
  <c r="AC431" i="14"/>
  <c r="Z431" i="14"/>
  <c r="Z127" i="14" s="1"/>
  <c r="AE430" i="14"/>
  <c r="AD430" i="14"/>
  <c r="AC430" i="14"/>
  <c r="AE429" i="14"/>
  <c r="AD429" i="14"/>
  <c r="AC429" i="14"/>
  <c r="AE428" i="14"/>
  <c r="AD428" i="14"/>
  <c r="AC428" i="14"/>
  <c r="AE427" i="14"/>
  <c r="AD427" i="14"/>
  <c r="AC427" i="14"/>
  <c r="Z427" i="14"/>
  <c r="Z123" i="14" s="1"/>
  <c r="AE426" i="14"/>
  <c r="AD426" i="14"/>
  <c r="AC426" i="14"/>
  <c r="Z426" i="14"/>
  <c r="Z122" i="14" s="1"/>
  <c r="AE425" i="14"/>
  <c r="AD425" i="14"/>
  <c r="AC425" i="14"/>
  <c r="Z425" i="14"/>
  <c r="AE424" i="14"/>
  <c r="AD424" i="14"/>
  <c r="AC424" i="14"/>
  <c r="Z424" i="14"/>
  <c r="Z120" i="14" s="1"/>
  <c r="Y423" i="14"/>
  <c r="Y119" i="14" s="1"/>
  <c r="X423" i="14"/>
  <c r="W423" i="14"/>
  <c r="W119" i="14" s="1"/>
  <c r="V423" i="14"/>
  <c r="V119" i="14" s="1"/>
  <c r="U423" i="14"/>
  <c r="U119" i="14" s="1"/>
  <c r="T423" i="14"/>
  <c r="S423" i="14"/>
  <c r="S119" i="14" s="1"/>
  <c r="R423" i="14"/>
  <c r="R119" i="14" s="1"/>
  <c r="Q423" i="14"/>
  <c r="Q119" i="14" s="1"/>
  <c r="P423" i="14"/>
  <c r="O423" i="14"/>
  <c r="O119" i="14" s="1"/>
  <c r="N423" i="14"/>
  <c r="N119" i="14" s="1"/>
  <c r="M423" i="14"/>
  <c r="M119" i="14" s="1"/>
  <c r="L423" i="14"/>
  <c r="K423" i="14"/>
  <c r="K119" i="14" s="1"/>
  <c r="J423" i="14"/>
  <c r="J119" i="14" s="1"/>
  <c r="I423" i="14"/>
  <c r="I119" i="14" s="1"/>
  <c r="H423" i="14"/>
  <c r="G423" i="14"/>
  <c r="G119" i="14" s="1"/>
  <c r="F423" i="14"/>
  <c r="F119" i="14" s="1"/>
  <c r="E423" i="14"/>
  <c r="E119" i="14" s="1"/>
  <c r="D423" i="14"/>
  <c r="C423" i="14"/>
  <c r="C119" i="14" s="1"/>
  <c r="B423" i="14"/>
  <c r="B119" i="14" s="1"/>
  <c r="AE422" i="14"/>
  <c r="AD422" i="14"/>
  <c r="AC422" i="14"/>
  <c r="Z422" i="14"/>
  <c r="Z118" i="14" s="1"/>
  <c r="AE421" i="14"/>
  <c r="AD421" i="14"/>
  <c r="AC421" i="14"/>
  <c r="Z421" i="14"/>
  <c r="AE420" i="14"/>
  <c r="AD420" i="14"/>
  <c r="AC420" i="14"/>
  <c r="Z420" i="14"/>
  <c r="Z116" i="14" s="1"/>
  <c r="AE419" i="14"/>
  <c r="AD419" i="14"/>
  <c r="AC419" i="14"/>
  <c r="Z419" i="14"/>
  <c r="Z115" i="14" s="1"/>
  <c r="AD418" i="14"/>
  <c r="Y418" i="14"/>
  <c r="Y114" i="14" s="1"/>
  <c r="AE114" i="14" s="1"/>
  <c r="Q418" i="14"/>
  <c r="Q114" i="14" s="1"/>
  <c r="P418" i="14"/>
  <c r="P114" i="14" s="1"/>
  <c r="L418" i="14"/>
  <c r="L114" i="14" s="1"/>
  <c r="J418" i="14"/>
  <c r="J114" i="14" s="1"/>
  <c r="B418" i="14"/>
  <c r="B114" i="14" s="1"/>
  <c r="X417" i="14"/>
  <c r="W417" i="14"/>
  <c r="W113" i="14" s="1"/>
  <c r="V417" i="14"/>
  <c r="V113" i="14" s="1"/>
  <c r="U417" i="14"/>
  <c r="U113" i="14" s="1"/>
  <c r="T417" i="14"/>
  <c r="S417" i="14"/>
  <c r="S113" i="14" s="1"/>
  <c r="R417" i="14"/>
  <c r="R113" i="14" s="1"/>
  <c r="O417" i="14"/>
  <c r="O113" i="14" s="1"/>
  <c r="N417" i="14"/>
  <c r="N113" i="14" s="1"/>
  <c r="M417" i="14"/>
  <c r="M113" i="14" s="1"/>
  <c r="K417" i="14"/>
  <c r="K113" i="14" s="1"/>
  <c r="I417" i="14"/>
  <c r="I113" i="14" s="1"/>
  <c r="H417" i="14"/>
  <c r="G417" i="14"/>
  <c r="G113" i="14" s="1"/>
  <c r="F417" i="14"/>
  <c r="F113" i="14" s="1"/>
  <c r="E417" i="14"/>
  <c r="E113" i="14" s="1"/>
  <c r="D417" i="14"/>
  <c r="C417" i="14"/>
  <c r="C113" i="14" s="1"/>
  <c r="AE416" i="14"/>
  <c r="AD416" i="14"/>
  <c r="AC416" i="14"/>
  <c r="Z416" i="14"/>
  <c r="Z112" i="14" s="1"/>
  <c r="AE415" i="14"/>
  <c r="AC415" i="14"/>
  <c r="X415" i="14"/>
  <c r="X111" i="14" s="1"/>
  <c r="AD111" i="14" s="1"/>
  <c r="AF111" i="14" s="1"/>
  <c r="AG111" i="14" s="1"/>
  <c r="AE414" i="14"/>
  <c r="AD414" i="14"/>
  <c r="AC414" i="14"/>
  <c r="AE413" i="14"/>
  <c r="AD413" i="14"/>
  <c r="AC413" i="14"/>
  <c r="AE412" i="14"/>
  <c r="W412" i="14"/>
  <c r="U412" i="14"/>
  <c r="U108" i="14" s="1"/>
  <c r="T412" i="14"/>
  <c r="T108" i="14" s="1"/>
  <c r="S412" i="14"/>
  <c r="S108" i="14" s="1"/>
  <c r="B412" i="14"/>
  <c r="AE411" i="14"/>
  <c r="AD411" i="14"/>
  <c r="AC411" i="14"/>
  <c r="AE410" i="14"/>
  <c r="AD410" i="14"/>
  <c r="AC410" i="14"/>
  <c r="AE409" i="14"/>
  <c r="AD409" i="14"/>
  <c r="AC409" i="14"/>
  <c r="Z409" i="14"/>
  <c r="Z105" i="14" s="1"/>
  <c r="AE408" i="14"/>
  <c r="AD408" i="14"/>
  <c r="U408" i="14"/>
  <c r="U104" i="14" s="1"/>
  <c r="T408" i="14"/>
  <c r="T104" i="14" s="1"/>
  <c r="H408" i="14"/>
  <c r="H104" i="14" s="1"/>
  <c r="AE407" i="14"/>
  <c r="X407" i="14"/>
  <c r="X103" i="14" s="1"/>
  <c r="AD103" i="14" s="1"/>
  <c r="U407" i="14"/>
  <c r="AC407" i="14" s="1"/>
  <c r="AE406" i="14"/>
  <c r="AD406" i="14"/>
  <c r="AC406" i="14"/>
  <c r="Z406" i="14"/>
  <c r="Z102" i="14" s="1"/>
  <c r="AE405" i="14"/>
  <c r="AD405" i="14"/>
  <c r="AC405" i="14"/>
  <c r="AE404" i="14"/>
  <c r="W404" i="14"/>
  <c r="W100" i="14" s="1"/>
  <c r="V404" i="14"/>
  <c r="V100" i="14" s="1"/>
  <c r="S404" i="14"/>
  <c r="S100" i="14" s="1"/>
  <c r="B404" i="14"/>
  <c r="B100" i="14" s="1"/>
  <c r="AE403" i="14"/>
  <c r="AD403" i="14"/>
  <c r="AC403" i="14"/>
  <c r="Z403" i="14"/>
  <c r="AE402" i="14"/>
  <c r="AD402" i="14"/>
  <c r="AC402" i="14"/>
  <c r="AE401" i="14"/>
  <c r="AD401" i="14"/>
  <c r="AC401" i="14"/>
  <c r="Z401" i="14"/>
  <c r="AE400" i="14"/>
  <c r="AD400" i="14"/>
  <c r="AC400" i="14"/>
  <c r="AE399" i="14"/>
  <c r="AD399" i="14"/>
  <c r="AC399" i="14"/>
  <c r="Z399" i="14"/>
  <c r="AE398" i="14"/>
  <c r="AD398" i="14"/>
  <c r="AC398" i="14"/>
  <c r="Z398" i="14"/>
  <c r="Z94" i="14" s="1"/>
  <c r="AE397" i="14"/>
  <c r="AD397" i="14"/>
  <c r="AC397" i="14"/>
  <c r="Z397" i="14"/>
  <c r="Z93" i="14" s="1"/>
  <c r="AE396" i="14"/>
  <c r="AD396" i="14"/>
  <c r="AC396" i="14"/>
  <c r="Z396" i="14"/>
  <c r="Z92" i="14" s="1"/>
  <c r="Y395" i="14"/>
  <c r="Y91" i="14" s="1"/>
  <c r="X395" i="14"/>
  <c r="X91" i="14" s="1"/>
  <c r="W395" i="14"/>
  <c r="W91" i="14" s="1"/>
  <c r="V395" i="14"/>
  <c r="U395" i="14"/>
  <c r="U91" i="14" s="1"/>
  <c r="T395" i="14"/>
  <c r="T91" i="14" s="1"/>
  <c r="S395" i="14"/>
  <c r="S91" i="14" s="1"/>
  <c r="R395" i="14"/>
  <c r="Q395" i="14"/>
  <c r="Q91" i="14" s="1"/>
  <c r="P395" i="14"/>
  <c r="P91" i="14" s="1"/>
  <c r="O395" i="14"/>
  <c r="O91" i="14" s="1"/>
  <c r="N395" i="14"/>
  <c r="M395" i="14"/>
  <c r="M91" i="14" s="1"/>
  <c r="L395" i="14"/>
  <c r="L91" i="14" s="1"/>
  <c r="I395" i="14"/>
  <c r="I91" i="14" s="1"/>
  <c r="H395" i="14"/>
  <c r="AE372" i="14"/>
  <c r="AD372" i="14"/>
  <c r="AC372" i="14"/>
  <c r="Z372" i="14"/>
  <c r="Z66" i="14" s="1"/>
  <c r="AE371" i="14"/>
  <c r="AC371" i="14"/>
  <c r="X371" i="14"/>
  <c r="AE370" i="14"/>
  <c r="AD370" i="14"/>
  <c r="AC370" i="14"/>
  <c r="Z370" i="14"/>
  <c r="Z64" i="14" s="1"/>
  <c r="Y369" i="14"/>
  <c r="AE369" i="14" s="1"/>
  <c r="X369" i="14"/>
  <c r="W369" i="14"/>
  <c r="V369" i="14"/>
  <c r="V63" i="14" s="1"/>
  <c r="U369" i="14"/>
  <c r="T369" i="14"/>
  <c r="S369" i="14"/>
  <c r="R369" i="14"/>
  <c r="R63" i="14" s="1"/>
  <c r="Q369" i="14"/>
  <c r="P369" i="14"/>
  <c r="M369" i="14"/>
  <c r="AE368" i="14"/>
  <c r="AD368" i="14"/>
  <c r="AC368" i="14"/>
  <c r="Z368" i="14"/>
  <c r="Z62" i="14" s="1"/>
  <c r="Y367" i="14"/>
  <c r="AE367" i="14" s="1"/>
  <c r="W367" i="14"/>
  <c r="U367" i="14"/>
  <c r="T367" i="14"/>
  <c r="R367" i="14"/>
  <c r="R61" i="14" s="1"/>
  <c r="Q367" i="14"/>
  <c r="P367" i="14"/>
  <c r="AE366" i="14"/>
  <c r="AD366" i="14"/>
  <c r="AC366" i="14"/>
  <c r="Z366" i="14"/>
  <c r="Z60" i="14" s="1"/>
  <c r="AE365" i="14"/>
  <c r="AD365" i="14"/>
  <c r="T365" i="14"/>
  <c r="S365" i="14"/>
  <c r="AE364" i="14"/>
  <c r="AD364" i="14"/>
  <c r="AC364" i="14"/>
  <c r="AE363" i="14"/>
  <c r="AD363" i="14"/>
  <c r="AC363" i="14"/>
  <c r="AE362" i="14"/>
  <c r="AD362" i="14"/>
  <c r="AC362" i="14"/>
  <c r="AE361" i="14"/>
  <c r="AD361" i="14"/>
  <c r="AC361" i="14"/>
  <c r="AE360" i="14"/>
  <c r="AD360" i="14"/>
  <c r="AC360" i="14"/>
  <c r="AE359" i="14"/>
  <c r="AD359" i="14"/>
  <c r="AC359" i="14"/>
  <c r="Z359" i="14"/>
  <c r="Z53" i="14" s="1"/>
  <c r="AE358" i="14"/>
  <c r="AD358" i="14"/>
  <c r="AC358" i="14"/>
  <c r="Z358" i="14"/>
  <c r="Z52" i="14" s="1"/>
  <c r="Y357" i="14"/>
  <c r="X357" i="14"/>
  <c r="W357" i="14"/>
  <c r="V357" i="14"/>
  <c r="V51" i="14" s="1"/>
  <c r="U357" i="14"/>
  <c r="T357" i="14"/>
  <c r="S357" i="14"/>
  <c r="R357" i="14"/>
  <c r="R51" i="14" s="1"/>
  <c r="Q357" i="14"/>
  <c r="P357" i="14"/>
  <c r="O357" i="14"/>
  <c r="N357" i="14"/>
  <c r="N51" i="14" s="1"/>
  <c r="M357" i="14"/>
  <c r="J357" i="14"/>
  <c r="J51" i="14" s="1"/>
  <c r="AE356" i="14"/>
  <c r="AD356" i="14"/>
  <c r="AC356" i="14"/>
  <c r="Z356" i="14"/>
  <c r="Z50" i="14" s="1"/>
  <c r="AE355" i="14"/>
  <c r="AD355" i="14"/>
  <c r="AC355" i="14"/>
  <c r="Z355" i="14"/>
  <c r="Z49" i="14" s="1"/>
  <c r="AE354" i="14"/>
  <c r="AD354" i="14"/>
  <c r="AC354" i="14"/>
  <c r="AE353" i="14"/>
  <c r="AD353" i="14"/>
  <c r="AC353" i="14"/>
  <c r="Z353" i="14"/>
  <c r="Z47" i="14" s="1"/>
  <c r="AE352" i="14"/>
  <c r="AD352" i="14"/>
  <c r="AC352" i="14"/>
  <c r="Z352" i="14"/>
  <c r="Z46" i="14" s="1"/>
  <c r="AE351" i="14"/>
  <c r="AD351" i="14"/>
  <c r="AC351" i="14"/>
  <c r="Z351" i="14"/>
  <c r="Z45" i="14" s="1"/>
  <c r="AE350" i="14"/>
  <c r="AD350" i="14"/>
  <c r="AC350" i="14"/>
  <c r="Z350" i="14"/>
  <c r="Z44" i="14" s="1"/>
  <c r="AE349" i="14"/>
  <c r="AD349" i="14"/>
  <c r="AC349" i="14"/>
  <c r="Z349" i="14"/>
  <c r="Z43" i="14" s="1"/>
  <c r="AE348" i="14"/>
  <c r="AD348" i="14"/>
  <c r="AC348" i="14"/>
  <c r="Z348" i="14"/>
  <c r="Z42" i="14" s="1"/>
  <c r="AE347" i="14"/>
  <c r="X347" i="14"/>
  <c r="W347" i="14"/>
  <c r="V347" i="14"/>
  <c r="V41" i="14" s="1"/>
  <c r="U347" i="14"/>
  <c r="T347" i="14"/>
  <c r="S347" i="14"/>
  <c r="R347" i="14"/>
  <c r="R41" i="14" s="1"/>
  <c r="Q347" i="14"/>
  <c r="P347" i="14"/>
  <c r="O347" i="14"/>
  <c r="N347" i="14"/>
  <c r="N41" i="14" s="1"/>
  <c r="M347" i="14"/>
  <c r="K347" i="14"/>
  <c r="B347" i="14"/>
  <c r="B41" i="14" s="1"/>
  <c r="AE346" i="14"/>
  <c r="AD346" i="14"/>
  <c r="AC346" i="14"/>
  <c r="Z346" i="14"/>
  <c r="Z40" i="14" s="1"/>
  <c r="AE345" i="14"/>
  <c r="AD345" i="14"/>
  <c r="AC345" i="14"/>
  <c r="Z345" i="14"/>
  <c r="Z39" i="14" s="1"/>
  <c r="AE344" i="14"/>
  <c r="AD344" i="14"/>
  <c r="AC344" i="14"/>
  <c r="Z344" i="14"/>
  <c r="Z38" i="14" s="1"/>
  <c r="AE343" i="14"/>
  <c r="AD343" i="14"/>
  <c r="F343" i="14"/>
  <c r="F37" i="14" s="1"/>
  <c r="E343" i="14"/>
  <c r="E37" i="14" s="1"/>
  <c r="AE342" i="14"/>
  <c r="AD342" i="14"/>
  <c r="K342" i="14"/>
  <c r="K36" i="14" s="1"/>
  <c r="J342" i="14"/>
  <c r="J36" i="14" s="1"/>
  <c r="G342" i="14"/>
  <c r="G36" i="14" s="1"/>
  <c r="E342" i="14"/>
  <c r="E36" i="14" s="1"/>
  <c r="Y341" i="14"/>
  <c r="AE341" i="14" s="1"/>
  <c r="X341" i="14"/>
  <c r="W341" i="14"/>
  <c r="V341" i="14"/>
  <c r="V35" i="14" s="1"/>
  <c r="U341" i="14"/>
  <c r="T341" i="14"/>
  <c r="S341" i="14"/>
  <c r="R341" i="14"/>
  <c r="R35" i="14" s="1"/>
  <c r="Q341" i="14"/>
  <c r="P341" i="14"/>
  <c r="O341" i="14"/>
  <c r="N341" i="14"/>
  <c r="N35" i="14" s="1"/>
  <c r="M341" i="14"/>
  <c r="L341" i="14"/>
  <c r="I341" i="14"/>
  <c r="I35" i="14" s="1"/>
  <c r="H341" i="14"/>
  <c r="F341" i="14"/>
  <c r="F35" i="14" s="1"/>
  <c r="D341" i="14"/>
  <c r="C341" i="14"/>
  <c r="C35" i="14" s="1"/>
  <c r="B341" i="14"/>
  <c r="B35" i="14" s="1"/>
  <c r="AE340" i="14"/>
  <c r="AD340" i="14"/>
  <c r="AC340" i="14"/>
  <c r="Z340" i="14"/>
  <c r="Z34" i="14" s="1"/>
  <c r="AE339" i="14"/>
  <c r="AD339" i="14"/>
  <c r="AC339" i="14"/>
  <c r="Z339" i="14"/>
  <c r="Z33" i="14" s="1"/>
  <c r="AE338" i="14"/>
  <c r="AD338" i="14"/>
  <c r="AC338" i="14"/>
  <c r="AE337" i="14"/>
  <c r="AD337" i="14"/>
  <c r="AC337" i="14"/>
  <c r="Z337" i="14"/>
  <c r="Z31" i="14" s="1"/>
  <c r="AE336" i="14"/>
  <c r="W336" i="14"/>
  <c r="W30" i="14" s="1"/>
  <c r="U336" i="14"/>
  <c r="U30" i="14" s="1"/>
  <c r="T336" i="14"/>
  <c r="T30" i="14" s="1"/>
  <c r="S336" i="14"/>
  <c r="S30" i="14" s="1"/>
  <c r="N336" i="14"/>
  <c r="N30" i="14" s="1"/>
  <c r="M336" i="14"/>
  <c r="M30" i="14" s="1"/>
  <c r="B336" i="14"/>
  <c r="B30" i="14" s="1"/>
  <c r="AE335" i="14"/>
  <c r="W335" i="14"/>
  <c r="W29" i="14" s="1"/>
  <c r="AD29" i="14" s="1"/>
  <c r="T335" i="14"/>
  <c r="T29" i="14" s="1"/>
  <c r="S335" i="14"/>
  <c r="S29" i="14" s="1"/>
  <c r="R335" i="14"/>
  <c r="R29" i="14" s="1"/>
  <c r="AE334" i="14"/>
  <c r="AD334" i="14"/>
  <c r="AC334" i="14"/>
  <c r="Z334" i="14"/>
  <c r="Z28" i="14" s="1"/>
  <c r="AE333" i="14"/>
  <c r="AD333" i="14"/>
  <c r="AC333" i="14"/>
  <c r="Z333" i="14"/>
  <c r="Z27" i="14" s="1"/>
  <c r="Y332" i="14"/>
  <c r="Y26" i="14" s="1"/>
  <c r="X332" i="14"/>
  <c r="X26" i="14" s="1"/>
  <c r="V332" i="14"/>
  <c r="V26" i="14" s="1"/>
  <c r="U332" i="14"/>
  <c r="U26" i="14" s="1"/>
  <c r="P332" i="14"/>
  <c r="P26" i="14" s="1"/>
  <c r="N332" i="14"/>
  <c r="N26" i="14" s="1"/>
  <c r="I332" i="14"/>
  <c r="I26" i="14" s="1"/>
  <c r="AE331" i="14"/>
  <c r="AC331" i="14"/>
  <c r="U331" i="14"/>
  <c r="U25" i="14" s="1"/>
  <c r="AD25" i="14" s="1"/>
  <c r="AF25" i="14" s="1"/>
  <c r="AG25" i="14" s="1"/>
  <c r="AE330" i="14"/>
  <c r="AD330" i="14"/>
  <c r="S330" i="14"/>
  <c r="S24" i="14" s="1"/>
  <c r="B330" i="14"/>
  <c r="B24" i="14" s="1"/>
  <c r="AE329" i="14"/>
  <c r="AD329" i="14"/>
  <c r="AC329" i="14"/>
  <c r="Z329" i="14"/>
  <c r="Z23" i="14" s="1"/>
  <c r="Y328" i="14"/>
  <c r="Y22" i="14" s="1"/>
  <c r="X328" i="14"/>
  <c r="X22" i="14" s="1"/>
  <c r="W328" i="14"/>
  <c r="W22" i="14" s="1"/>
  <c r="V328" i="14"/>
  <c r="V22" i="14" s="1"/>
  <c r="T328" i="14"/>
  <c r="T22" i="14" s="1"/>
  <c r="Q328" i="14"/>
  <c r="Q22" i="14" s="1"/>
  <c r="O328" i="14"/>
  <c r="O22" i="14" s="1"/>
  <c r="N328" i="14"/>
  <c r="N22" i="14" s="1"/>
  <c r="AE327" i="14"/>
  <c r="AD327" i="14"/>
  <c r="AC327" i="14"/>
  <c r="Z327" i="14"/>
  <c r="Z21" i="14" s="1"/>
  <c r="AE326" i="14"/>
  <c r="AD326" i="14"/>
  <c r="AC326" i="14"/>
  <c r="Z326" i="14"/>
  <c r="Z20" i="14" s="1"/>
  <c r="AE325" i="14"/>
  <c r="AD325" i="14"/>
  <c r="AC325" i="14"/>
  <c r="Z325" i="14"/>
  <c r="Z19" i="14" s="1"/>
  <c r="AE324" i="14"/>
  <c r="AD324" i="14"/>
  <c r="AC324" i="14"/>
  <c r="Z324" i="14"/>
  <c r="Z18" i="14" s="1"/>
  <c r="AE323" i="14"/>
  <c r="AD323" i="14"/>
  <c r="AC323" i="14"/>
  <c r="Z323" i="14"/>
  <c r="Z17" i="14" s="1"/>
  <c r="AE322" i="14"/>
  <c r="AD322" i="14"/>
  <c r="AC322" i="14"/>
  <c r="Z322" i="14"/>
  <c r="Z16" i="14" s="1"/>
  <c r="AE321" i="14"/>
  <c r="AD321" i="14"/>
  <c r="AC321" i="14"/>
  <c r="Z321" i="14"/>
  <c r="Z15" i="14" s="1"/>
  <c r="AE320" i="14"/>
  <c r="AD320" i="14"/>
  <c r="AC320" i="14"/>
  <c r="Z320" i="14"/>
  <c r="Z14" i="14" s="1"/>
  <c r="Y319" i="14"/>
  <c r="Y13" i="14" s="1"/>
  <c r="X319" i="14"/>
  <c r="X13" i="14" s="1"/>
  <c r="W319" i="14"/>
  <c r="W13" i="14" s="1"/>
  <c r="V319" i="14"/>
  <c r="V13" i="14" s="1"/>
  <c r="U319" i="14"/>
  <c r="U13" i="14" s="1"/>
  <c r="T319" i="14"/>
  <c r="T13" i="14" s="1"/>
  <c r="S319" i="14"/>
  <c r="S13" i="14" s="1"/>
  <c r="R319" i="14"/>
  <c r="R13" i="14" s="1"/>
  <c r="Q319" i="14"/>
  <c r="Q13" i="14" s="1"/>
  <c r="P319" i="14"/>
  <c r="P13" i="14" s="1"/>
  <c r="O319" i="14"/>
  <c r="O13" i="14" s="1"/>
  <c r="N319" i="14"/>
  <c r="N13" i="14" s="1"/>
  <c r="M319" i="14"/>
  <c r="M13" i="14" s="1"/>
  <c r="I319" i="14"/>
  <c r="I13" i="14" s="1"/>
  <c r="H319" i="14"/>
  <c r="H13" i="14" s="1"/>
  <c r="Z293" i="13"/>
  <c r="Z292" i="13"/>
  <c r="Z291" i="13"/>
  <c r="Z138" i="13" s="1"/>
  <c r="Z290" i="13"/>
  <c r="Z289" i="13"/>
  <c r="Z288" i="13"/>
  <c r="Z287" i="13"/>
  <c r="Z134" i="13" s="1"/>
  <c r="Z286" i="13"/>
  <c r="Z285" i="13"/>
  <c r="Z284" i="13"/>
  <c r="Y283" i="13"/>
  <c r="X283" i="13"/>
  <c r="W283" i="13"/>
  <c r="V283" i="13"/>
  <c r="U283" i="13"/>
  <c r="T283" i="13"/>
  <c r="S283" i="13"/>
  <c r="R283" i="13"/>
  <c r="Q283" i="13"/>
  <c r="P283" i="13"/>
  <c r="O283" i="13"/>
  <c r="N283" i="13"/>
  <c r="M283" i="13"/>
  <c r="L283" i="13"/>
  <c r="K283" i="13"/>
  <c r="J283" i="13"/>
  <c r="I283" i="13"/>
  <c r="H283" i="13"/>
  <c r="G283" i="13"/>
  <c r="F283" i="13"/>
  <c r="E283" i="13"/>
  <c r="D283" i="13"/>
  <c r="C283" i="13"/>
  <c r="B283" i="13"/>
  <c r="Z282" i="13"/>
  <c r="Y281" i="13"/>
  <c r="X281" i="13"/>
  <c r="W281" i="13"/>
  <c r="V281" i="13"/>
  <c r="U281" i="13"/>
  <c r="T281" i="13"/>
  <c r="S281" i="13"/>
  <c r="R281" i="13"/>
  <c r="Q281" i="13"/>
  <c r="P281" i="13"/>
  <c r="O281" i="13"/>
  <c r="N281" i="13"/>
  <c r="M281" i="13"/>
  <c r="L281" i="13"/>
  <c r="K281" i="13"/>
  <c r="J281" i="13"/>
  <c r="I281" i="13"/>
  <c r="H281" i="13"/>
  <c r="G281" i="13"/>
  <c r="F281" i="13"/>
  <c r="E281" i="13"/>
  <c r="D281" i="13"/>
  <c r="C281" i="13"/>
  <c r="B281" i="13"/>
  <c r="Z280" i="13"/>
  <c r="Z279" i="13"/>
  <c r="Z278" i="13"/>
  <c r="Z125" i="13" s="1"/>
  <c r="Z277" i="13"/>
  <c r="Z124" i="13" s="1"/>
  <c r="Z276" i="13"/>
  <c r="Z123" i="13" s="1"/>
  <c r="Z275" i="13"/>
  <c r="Z122" i="13" s="1"/>
  <c r="Z274" i="13"/>
  <c r="Z273" i="13"/>
  <c r="Z120" i="13" s="1"/>
  <c r="Y272" i="13"/>
  <c r="X272" i="13"/>
  <c r="W272" i="13"/>
  <c r="V272" i="13"/>
  <c r="U272" i="13"/>
  <c r="T272" i="13"/>
  <c r="S272" i="13"/>
  <c r="R272" i="13"/>
  <c r="Q272" i="13"/>
  <c r="P272" i="13"/>
  <c r="O272" i="13"/>
  <c r="N272" i="13"/>
  <c r="M272" i="13"/>
  <c r="L272" i="13"/>
  <c r="K272" i="13"/>
  <c r="J272" i="13"/>
  <c r="I272" i="13"/>
  <c r="H272" i="13"/>
  <c r="G272" i="13"/>
  <c r="F272" i="13"/>
  <c r="E272" i="13"/>
  <c r="D272" i="13"/>
  <c r="C272" i="13"/>
  <c r="B272" i="13"/>
  <c r="Z271" i="13"/>
  <c r="Z270" i="13"/>
  <c r="Z117" i="13" s="1"/>
  <c r="Z269" i="13"/>
  <c r="Z268" i="13"/>
  <c r="Z267" i="13"/>
  <c r="Y266" i="13"/>
  <c r="X266" i="13"/>
  <c r="W266" i="13"/>
  <c r="V266" i="13"/>
  <c r="U266" i="13"/>
  <c r="T266" i="13"/>
  <c r="S266" i="13"/>
  <c r="R266" i="13"/>
  <c r="Q266" i="13"/>
  <c r="P266" i="13"/>
  <c r="O266" i="13"/>
  <c r="N266" i="13"/>
  <c r="M266" i="13"/>
  <c r="L266" i="13"/>
  <c r="K266" i="13"/>
  <c r="J266" i="13"/>
  <c r="I266" i="13"/>
  <c r="H266" i="13"/>
  <c r="G266" i="13"/>
  <c r="F266" i="13"/>
  <c r="E266" i="13"/>
  <c r="D266" i="13"/>
  <c r="C266" i="13"/>
  <c r="B266" i="13"/>
  <c r="Z265" i="13"/>
  <c r="Z264" i="13"/>
  <c r="Z263" i="13"/>
  <c r="Z262" i="13"/>
  <c r="Y261" i="13"/>
  <c r="X261" i="13"/>
  <c r="W261" i="13"/>
  <c r="V261" i="13"/>
  <c r="U261" i="13"/>
  <c r="T261" i="13"/>
  <c r="S261" i="13"/>
  <c r="R261" i="13"/>
  <c r="Q261" i="13"/>
  <c r="P261" i="13"/>
  <c r="O261" i="13"/>
  <c r="N261" i="13"/>
  <c r="M261" i="13"/>
  <c r="L261" i="13"/>
  <c r="K261" i="13"/>
  <c r="J261" i="13"/>
  <c r="I261" i="13"/>
  <c r="H261" i="13"/>
  <c r="G261" i="13"/>
  <c r="F261" i="13"/>
  <c r="E261" i="13"/>
  <c r="D261" i="13"/>
  <c r="C261" i="13"/>
  <c r="B261" i="13"/>
  <c r="Z260" i="13"/>
  <c r="Z259" i="13"/>
  <c r="Z258" i="13"/>
  <c r="Y257" i="13"/>
  <c r="X257" i="13"/>
  <c r="W257" i="13"/>
  <c r="V257" i="13"/>
  <c r="U257" i="13"/>
  <c r="T257" i="13"/>
  <c r="S257" i="13"/>
  <c r="R257" i="13"/>
  <c r="Q257" i="13"/>
  <c r="P257" i="13"/>
  <c r="O257" i="13"/>
  <c r="N257" i="13"/>
  <c r="M257" i="13"/>
  <c r="L257" i="13"/>
  <c r="K257" i="13"/>
  <c r="J257" i="13"/>
  <c r="I257" i="13"/>
  <c r="H257" i="13"/>
  <c r="G257" i="13"/>
  <c r="F257" i="13"/>
  <c r="E257" i="13"/>
  <c r="D257" i="13"/>
  <c r="C257" i="13"/>
  <c r="B257" i="13"/>
  <c r="Z256" i="13"/>
  <c r="Z255" i="13"/>
  <c r="Z254" i="13"/>
  <c r="Y253" i="13"/>
  <c r="X253" i="13"/>
  <c r="W253" i="13"/>
  <c r="V253" i="13"/>
  <c r="U253" i="13"/>
  <c r="T253" i="13"/>
  <c r="S253" i="13"/>
  <c r="R253" i="13"/>
  <c r="Q253" i="13"/>
  <c r="P253" i="13"/>
  <c r="O253" i="13"/>
  <c r="N253" i="13"/>
  <c r="M253" i="13"/>
  <c r="L253" i="13"/>
  <c r="K253" i="13"/>
  <c r="J253" i="13"/>
  <c r="I253" i="13"/>
  <c r="H253" i="13"/>
  <c r="G253" i="13"/>
  <c r="F253" i="13"/>
  <c r="E253" i="13"/>
  <c r="D253" i="13"/>
  <c r="C253" i="13"/>
  <c r="B253" i="13"/>
  <c r="Z252" i="13"/>
  <c r="Z251" i="13"/>
  <c r="Z250" i="13"/>
  <c r="Z249" i="13"/>
  <c r="Z248" i="13"/>
  <c r="Z247" i="13"/>
  <c r="Z246" i="13"/>
  <c r="Z245" i="13"/>
  <c r="Y244" i="13"/>
  <c r="X244" i="13"/>
  <c r="W244" i="13"/>
  <c r="V244" i="13"/>
  <c r="U244" i="13"/>
  <c r="T244" i="13"/>
  <c r="S244" i="13"/>
  <c r="R244" i="13"/>
  <c r="Q244" i="13"/>
  <c r="P244" i="13"/>
  <c r="O244" i="13"/>
  <c r="N244" i="13"/>
  <c r="M244" i="13"/>
  <c r="L244" i="13"/>
  <c r="K244" i="13"/>
  <c r="J244" i="13"/>
  <c r="I244" i="13"/>
  <c r="H244" i="13"/>
  <c r="G244" i="13"/>
  <c r="F244" i="13"/>
  <c r="E244" i="13"/>
  <c r="D244" i="13"/>
  <c r="C244" i="13"/>
  <c r="B244" i="13"/>
  <c r="Z218" i="13"/>
  <c r="Z217" i="13"/>
  <c r="Z216" i="13"/>
  <c r="Z215" i="13"/>
  <c r="W236" i="13" s="1"/>
  <c r="Z214" i="13"/>
  <c r="Z213" i="13"/>
  <c r="W235" i="13" s="1"/>
  <c r="Z212" i="13"/>
  <c r="Z211" i="13"/>
  <c r="Z58" i="13" s="1"/>
  <c r="Z210" i="13"/>
  <c r="Z209" i="13"/>
  <c r="W233" i="13" s="1"/>
  <c r="Z208" i="13"/>
  <c r="Z207" i="13"/>
  <c r="Y206" i="13"/>
  <c r="X206" i="13"/>
  <c r="W206" i="13"/>
  <c r="V206" i="13"/>
  <c r="U206" i="13"/>
  <c r="T206" i="13"/>
  <c r="S206" i="13"/>
  <c r="R206" i="13"/>
  <c r="Q206" i="13"/>
  <c r="P206" i="13"/>
  <c r="O206" i="13"/>
  <c r="N206" i="13"/>
  <c r="M206" i="13"/>
  <c r="L206" i="13"/>
  <c r="K206" i="13"/>
  <c r="J206" i="13"/>
  <c r="I206" i="13"/>
  <c r="H206" i="13"/>
  <c r="G206" i="13"/>
  <c r="F206" i="13"/>
  <c r="E206" i="13"/>
  <c r="D206" i="13"/>
  <c r="C206" i="13"/>
  <c r="B206" i="13"/>
  <c r="Z205" i="13"/>
  <c r="Y204" i="13"/>
  <c r="Y51" i="13" s="1"/>
  <c r="X204" i="13"/>
  <c r="X51" i="13" s="1"/>
  <c r="W204" i="13"/>
  <c r="W51" i="13" s="1"/>
  <c r="V204" i="13"/>
  <c r="U204" i="13"/>
  <c r="U51" i="13" s="1"/>
  <c r="T204" i="13"/>
  <c r="T51" i="13" s="1"/>
  <c r="S204" i="13"/>
  <c r="S51" i="13" s="1"/>
  <c r="R204" i="13"/>
  <c r="Q204" i="13"/>
  <c r="Q51" i="13" s="1"/>
  <c r="P204" i="13"/>
  <c r="P51" i="13" s="1"/>
  <c r="O204" i="13"/>
  <c r="O51" i="13" s="1"/>
  <c r="N204" i="13"/>
  <c r="M204" i="13"/>
  <c r="M51" i="13" s="1"/>
  <c r="L204" i="13"/>
  <c r="L51" i="13" s="1"/>
  <c r="K204" i="13"/>
  <c r="K51" i="13" s="1"/>
  <c r="J204" i="13"/>
  <c r="I204" i="13"/>
  <c r="I51" i="13" s="1"/>
  <c r="H204" i="13"/>
  <c r="H51" i="13" s="1"/>
  <c r="G204" i="13"/>
  <c r="G51" i="13" s="1"/>
  <c r="F204" i="13"/>
  <c r="E204" i="13"/>
  <c r="E51" i="13" s="1"/>
  <c r="D204" i="13"/>
  <c r="D51" i="13" s="1"/>
  <c r="C204" i="13"/>
  <c r="C51" i="13" s="1"/>
  <c r="B204" i="13"/>
  <c r="Z203" i="13"/>
  <c r="Z202" i="13"/>
  <c r="Z201" i="13"/>
  <c r="Z48" i="13" s="1"/>
  <c r="Z200" i="13"/>
  <c r="Z199" i="13"/>
  <c r="Z46" i="13" s="1"/>
  <c r="Z198" i="13"/>
  <c r="Z197" i="13"/>
  <c r="Z44" i="13" s="1"/>
  <c r="Z196" i="13"/>
  <c r="Z195" i="13"/>
  <c r="Y194" i="13"/>
  <c r="X194" i="13"/>
  <c r="W194" i="13"/>
  <c r="V194" i="13"/>
  <c r="U194" i="13"/>
  <c r="T194" i="13"/>
  <c r="S194" i="13"/>
  <c r="R194" i="13"/>
  <c r="Q194" i="13"/>
  <c r="P194" i="13"/>
  <c r="O194" i="13"/>
  <c r="N194" i="13"/>
  <c r="M194" i="13"/>
  <c r="L194" i="13"/>
  <c r="K194" i="13"/>
  <c r="J194" i="13"/>
  <c r="I194" i="13"/>
  <c r="H194" i="13"/>
  <c r="G194" i="13"/>
  <c r="F194" i="13"/>
  <c r="E194" i="13"/>
  <c r="D194" i="13"/>
  <c r="C194" i="13"/>
  <c r="B194" i="13"/>
  <c r="Z193" i="13"/>
  <c r="Z192" i="13"/>
  <c r="Z191" i="13"/>
  <c r="Z190" i="13"/>
  <c r="Z189" i="13"/>
  <c r="Y188" i="13"/>
  <c r="X188" i="13"/>
  <c r="W188" i="13"/>
  <c r="V188" i="13"/>
  <c r="U188" i="13"/>
  <c r="T188" i="13"/>
  <c r="S188" i="13"/>
  <c r="R188" i="13"/>
  <c r="Q188" i="13"/>
  <c r="P188" i="13"/>
  <c r="O188" i="13"/>
  <c r="N188" i="13"/>
  <c r="M188" i="13"/>
  <c r="L188" i="13"/>
  <c r="K188" i="13"/>
  <c r="J188" i="13"/>
  <c r="I188" i="13"/>
  <c r="H188" i="13"/>
  <c r="G188" i="13"/>
  <c r="F188" i="13"/>
  <c r="E188" i="13"/>
  <c r="D188" i="13"/>
  <c r="C188" i="13"/>
  <c r="B188" i="13"/>
  <c r="Z187" i="13"/>
  <c r="Z186" i="13"/>
  <c r="Z185" i="13"/>
  <c r="Z184" i="13"/>
  <c r="Y183" i="13"/>
  <c r="X183" i="13"/>
  <c r="W183" i="13"/>
  <c r="V183" i="13"/>
  <c r="U183" i="13"/>
  <c r="T183" i="13"/>
  <c r="S183" i="13"/>
  <c r="R183" i="13"/>
  <c r="Q183" i="13"/>
  <c r="P183" i="13"/>
  <c r="O183" i="13"/>
  <c r="N183" i="13"/>
  <c r="M183" i="13"/>
  <c r="L183" i="13"/>
  <c r="K183" i="13"/>
  <c r="J183" i="13"/>
  <c r="I183" i="13"/>
  <c r="H183" i="13"/>
  <c r="G183" i="13"/>
  <c r="F183" i="13"/>
  <c r="E183" i="13"/>
  <c r="D183" i="13"/>
  <c r="C183" i="13"/>
  <c r="B183" i="13"/>
  <c r="Z182" i="13"/>
  <c r="Z181" i="13"/>
  <c r="Z180" i="13"/>
  <c r="Y179" i="13"/>
  <c r="X179" i="13"/>
  <c r="W179" i="13"/>
  <c r="V179" i="13"/>
  <c r="U179" i="13"/>
  <c r="T179" i="13"/>
  <c r="S179" i="13"/>
  <c r="R179" i="13"/>
  <c r="Q179" i="13"/>
  <c r="P179" i="13"/>
  <c r="O179" i="13"/>
  <c r="N179" i="13"/>
  <c r="M179" i="13"/>
  <c r="L179" i="13"/>
  <c r="K179" i="13"/>
  <c r="J179" i="13"/>
  <c r="I179" i="13"/>
  <c r="H179" i="13"/>
  <c r="G179" i="13"/>
  <c r="F179" i="13"/>
  <c r="E179" i="13"/>
  <c r="D179" i="13"/>
  <c r="C179" i="13"/>
  <c r="B179" i="13"/>
  <c r="Z178" i="13"/>
  <c r="Z177" i="13"/>
  <c r="Z176" i="13"/>
  <c r="Y175" i="13"/>
  <c r="X175" i="13"/>
  <c r="W175" i="13"/>
  <c r="V175" i="13"/>
  <c r="U175" i="13"/>
  <c r="T175" i="13"/>
  <c r="S175" i="13"/>
  <c r="R175" i="13"/>
  <c r="Q175" i="13"/>
  <c r="P175" i="13"/>
  <c r="O175" i="13"/>
  <c r="N175" i="13"/>
  <c r="M175" i="13"/>
  <c r="L175" i="13"/>
  <c r="K175" i="13"/>
  <c r="J175" i="13"/>
  <c r="I175" i="13"/>
  <c r="H175" i="13"/>
  <c r="G175" i="13"/>
  <c r="F175" i="13"/>
  <c r="E175" i="13"/>
  <c r="D175" i="13"/>
  <c r="C175" i="13"/>
  <c r="B175" i="13"/>
  <c r="Z174" i="13"/>
  <c r="Z173" i="13"/>
  <c r="Z172" i="13"/>
  <c r="Z171" i="13"/>
  <c r="Z170" i="13"/>
  <c r="Z169" i="13"/>
  <c r="Z168" i="13"/>
  <c r="Z167" i="13"/>
  <c r="Y166" i="13"/>
  <c r="X166" i="13"/>
  <c r="W166" i="13"/>
  <c r="V166" i="13"/>
  <c r="U166" i="13"/>
  <c r="T166" i="13"/>
  <c r="S166" i="13"/>
  <c r="R166" i="13"/>
  <c r="Q166" i="13"/>
  <c r="P166" i="13"/>
  <c r="O166" i="13"/>
  <c r="N166" i="13"/>
  <c r="M166" i="13"/>
  <c r="L166" i="13"/>
  <c r="K166" i="13"/>
  <c r="J166" i="13"/>
  <c r="I166" i="13"/>
  <c r="H166" i="13"/>
  <c r="G166" i="13"/>
  <c r="F166" i="13"/>
  <c r="E166" i="13"/>
  <c r="D166" i="13"/>
  <c r="C166" i="13"/>
  <c r="B166" i="13"/>
  <c r="Y463" i="13"/>
  <c r="X463" i="13"/>
  <c r="W463" i="13"/>
  <c r="V463" i="13"/>
  <c r="U463" i="13"/>
  <c r="T463" i="13"/>
  <c r="S463" i="13"/>
  <c r="R463" i="13"/>
  <c r="Q463" i="13"/>
  <c r="P463" i="13"/>
  <c r="O463" i="13"/>
  <c r="N463" i="13"/>
  <c r="M463" i="13"/>
  <c r="L463" i="13"/>
  <c r="K463" i="13"/>
  <c r="J463" i="13"/>
  <c r="I463" i="13"/>
  <c r="H463" i="13"/>
  <c r="G463" i="13"/>
  <c r="F463" i="13"/>
  <c r="E463" i="13"/>
  <c r="D463" i="13"/>
  <c r="C463" i="13"/>
  <c r="B463" i="13"/>
  <c r="Z444" i="13"/>
  <c r="Z443" i="13"/>
  <c r="Z440" i="13"/>
  <c r="Z439" i="13"/>
  <c r="W462" i="13" s="1"/>
  <c r="Z437" i="13"/>
  <c r="S461" i="13" s="1"/>
  <c r="Z436" i="13"/>
  <c r="Z435" i="13"/>
  <c r="Y434" i="13"/>
  <c r="W434" i="13"/>
  <c r="V434" i="13"/>
  <c r="U434" i="13"/>
  <c r="T434" i="13"/>
  <c r="S434" i="13"/>
  <c r="R434" i="13"/>
  <c r="Q434" i="13"/>
  <c r="P434" i="13"/>
  <c r="O434" i="13"/>
  <c r="N434" i="13"/>
  <c r="M434" i="13"/>
  <c r="L434" i="13"/>
  <c r="K434" i="13"/>
  <c r="J434" i="13"/>
  <c r="I434" i="13"/>
  <c r="H434" i="13"/>
  <c r="G434" i="13"/>
  <c r="F434" i="13"/>
  <c r="E434" i="13"/>
  <c r="D434" i="13"/>
  <c r="C434" i="13"/>
  <c r="B434" i="13"/>
  <c r="Z433" i="13"/>
  <c r="Z432" i="13"/>
  <c r="R459" i="13" s="1"/>
  <c r="Z431" i="13"/>
  <c r="Z127" i="13" s="1"/>
  <c r="Z430" i="13"/>
  <c r="Z425" i="13"/>
  <c r="Y423" i="13"/>
  <c r="X423" i="13"/>
  <c r="W423" i="13"/>
  <c r="V423" i="13"/>
  <c r="U423" i="13"/>
  <c r="T423" i="13"/>
  <c r="S423" i="13"/>
  <c r="R423" i="13"/>
  <c r="Q423" i="13"/>
  <c r="P423" i="13"/>
  <c r="O423" i="13"/>
  <c r="N423" i="13"/>
  <c r="M423" i="13"/>
  <c r="L423" i="13"/>
  <c r="K423" i="13"/>
  <c r="J423" i="13"/>
  <c r="I423" i="13"/>
  <c r="H423" i="13"/>
  <c r="G423" i="13"/>
  <c r="F423" i="13"/>
  <c r="E423" i="13"/>
  <c r="D423" i="13"/>
  <c r="C423" i="13"/>
  <c r="B423" i="13"/>
  <c r="Z422" i="13"/>
  <c r="Z420" i="13"/>
  <c r="Z419" i="13"/>
  <c r="Z418" i="13"/>
  <c r="Y417" i="13"/>
  <c r="X417" i="13"/>
  <c r="W417" i="13"/>
  <c r="V417" i="13"/>
  <c r="U417" i="13"/>
  <c r="T417" i="13"/>
  <c r="S417" i="13"/>
  <c r="R417" i="13"/>
  <c r="Q417" i="13"/>
  <c r="P417" i="13"/>
  <c r="O417" i="13"/>
  <c r="N417" i="13"/>
  <c r="M417" i="13"/>
  <c r="L417" i="13"/>
  <c r="K417" i="13"/>
  <c r="J417" i="13"/>
  <c r="I417" i="13"/>
  <c r="H417" i="13"/>
  <c r="G417" i="13"/>
  <c r="F417" i="13"/>
  <c r="E417" i="13"/>
  <c r="D417" i="13"/>
  <c r="C417" i="13"/>
  <c r="B417" i="13"/>
  <c r="Z416" i="13"/>
  <c r="Z415" i="13"/>
  <c r="Z414" i="13"/>
  <c r="Z413" i="13"/>
  <c r="Y412" i="13"/>
  <c r="X412" i="13"/>
  <c r="W412" i="13"/>
  <c r="V412" i="13"/>
  <c r="U412" i="13"/>
  <c r="T412" i="13"/>
  <c r="S412" i="13"/>
  <c r="R412" i="13"/>
  <c r="Q412" i="13"/>
  <c r="P412" i="13"/>
  <c r="O412" i="13"/>
  <c r="N412" i="13"/>
  <c r="M412" i="13"/>
  <c r="L412" i="13"/>
  <c r="K412" i="13"/>
  <c r="J412" i="13"/>
  <c r="I412" i="13"/>
  <c r="H412" i="13"/>
  <c r="G412" i="13"/>
  <c r="F412" i="13"/>
  <c r="E412" i="13"/>
  <c r="D412" i="13"/>
  <c r="C412" i="13"/>
  <c r="B412" i="13"/>
  <c r="Z411" i="13"/>
  <c r="Z410" i="13"/>
  <c r="Z409" i="13"/>
  <c r="Y408" i="13"/>
  <c r="X408" i="13"/>
  <c r="W408" i="13"/>
  <c r="V408" i="13"/>
  <c r="U408" i="13"/>
  <c r="T408" i="13"/>
  <c r="S408" i="13"/>
  <c r="R408" i="13"/>
  <c r="Q408" i="13"/>
  <c r="P408" i="13"/>
  <c r="O408" i="13"/>
  <c r="N408" i="13"/>
  <c r="M408" i="13"/>
  <c r="L408" i="13"/>
  <c r="K408" i="13"/>
  <c r="J408" i="13"/>
  <c r="I408" i="13"/>
  <c r="H408" i="13"/>
  <c r="G408" i="13"/>
  <c r="F408" i="13"/>
  <c r="E408" i="13"/>
  <c r="D408" i="13"/>
  <c r="C408" i="13"/>
  <c r="B408" i="13"/>
  <c r="Z407" i="13"/>
  <c r="Z406" i="13"/>
  <c r="Z405" i="13"/>
  <c r="Y404" i="13"/>
  <c r="X404" i="13"/>
  <c r="W404" i="13"/>
  <c r="V404" i="13"/>
  <c r="U404" i="13"/>
  <c r="T404" i="13"/>
  <c r="S404" i="13"/>
  <c r="R404" i="13"/>
  <c r="Q404" i="13"/>
  <c r="P404" i="13"/>
  <c r="O404" i="13"/>
  <c r="N404" i="13"/>
  <c r="M404" i="13"/>
  <c r="L404" i="13"/>
  <c r="K404" i="13"/>
  <c r="J404" i="13"/>
  <c r="I404" i="13"/>
  <c r="H404" i="13"/>
  <c r="G404" i="13"/>
  <c r="F404" i="13"/>
  <c r="E404" i="13"/>
  <c r="D404" i="13"/>
  <c r="C404" i="13"/>
  <c r="B404" i="13"/>
  <c r="Z403" i="13"/>
  <c r="Z402" i="13"/>
  <c r="Z401" i="13"/>
  <c r="Z400" i="13"/>
  <c r="Z399" i="13"/>
  <c r="Z398" i="13"/>
  <c r="Z397" i="13"/>
  <c r="Z396" i="13"/>
  <c r="Y395" i="13"/>
  <c r="X395" i="13"/>
  <c r="W395" i="13"/>
  <c r="V395" i="13"/>
  <c r="U395" i="13"/>
  <c r="T395" i="13"/>
  <c r="S395" i="13"/>
  <c r="R395" i="13"/>
  <c r="Q395" i="13"/>
  <c r="P395" i="13"/>
  <c r="O395" i="13"/>
  <c r="N395" i="13"/>
  <c r="M395" i="13"/>
  <c r="L395" i="13"/>
  <c r="K395" i="13"/>
  <c r="J395" i="13"/>
  <c r="I395" i="13"/>
  <c r="H395" i="13"/>
  <c r="G395" i="13"/>
  <c r="F395" i="13"/>
  <c r="E395" i="13"/>
  <c r="D395" i="13"/>
  <c r="C395" i="13"/>
  <c r="B395" i="13"/>
  <c r="Y385" i="13"/>
  <c r="X385" i="13"/>
  <c r="W385" i="13"/>
  <c r="V385" i="13"/>
  <c r="U385" i="13"/>
  <c r="T385" i="13"/>
  <c r="S385" i="13"/>
  <c r="R385" i="13"/>
  <c r="Q385" i="13"/>
  <c r="P385" i="13"/>
  <c r="O385" i="13"/>
  <c r="N385" i="13"/>
  <c r="M385" i="13"/>
  <c r="L385" i="13"/>
  <c r="K385" i="13"/>
  <c r="J385" i="13"/>
  <c r="I385" i="13"/>
  <c r="H385" i="13"/>
  <c r="G385" i="13"/>
  <c r="F385" i="13"/>
  <c r="E385" i="13"/>
  <c r="D385" i="13"/>
  <c r="C385" i="13"/>
  <c r="B385" i="13"/>
  <c r="Y382" i="13"/>
  <c r="X382" i="13"/>
  <c r="W382" i="13"/>
  <c r="V382" i="13"/>
  <c r="U382" i="13"/>
  <c r="T382" i="13"/>
  <c r="S382" i="13"/>
  <c r="R382" i="13"/>
  <c r="Q382" i="13"/>
  <c r="P382" i="13"/>
  <c r="O382" i="13"/>
  <c r="N382" i="13"/>
  <c r="M382" i="13"/>
  <c r="L382" i="13"/>
  <c r="K382" i="13"/>
  <c r="J382" i="13"/>
  <c r="I382" i="13"/>
  <c r="H382" i="13"/>
  <c r="G382" i="13"/>
  <c r="F382" i="13"/>
  <c r="E382" i="13"/>
  <c r="D382" i="13"/>
  <c r="C382" i="13"/>
  <c r="B382" i="13"/>
  <c r="Z369" i="13"/>
  <c r="Z368" i="13"/>
  <c r="Z367" i="13"/>
  <c r="Z366" i="13"/>
  <c r="K386" i="13" s="1"/>
  <c r="Z365" i="13"/>
  <c r="Z362" i="13"/>
  <c r="Z361" i="13"/>
  <c r="Z360" i="13"/>
  <c r="Y359" i="13"/>
  <c r="X359" i="13"/>
  <c r="W359" i="13"/>
  <c r="V359" i="13"/>
  <c r="U359" i="13"/>
  <c r="T359" i="13"/>
  <c r="S359" i="13"/>
  <c r="R359" i="13"/>
  <c r="Q359" i="13"/>
  <c r="P359" i="13"/>
  <c r="O359" i="13"/>
  <c r="N359" i="13"/>
  <c r="M359" i="13"/>
  <c r="L359" i="13"/>
  <c r="K359" i="13"/>
  <c r="J359" i="13"/>
  <c r="I359" i="13"/>
  <c r="H359" i="13"/>
  <c r="G359" i="13"/>
  <c r="F359" i="13"/>
  <c r="E359" i="13"/>
  <c r="D359" i="13"/>
  <c r="C359" i="13"/>
  <c r="B359" i="13"/>
  <c r="Z358" i="13"/>
  <c r="Z356" i="13"/>
  <c r="Z355" i="13"/>
  <c r="Z349" i="13"/>
  <c r="Z348" i="13"/>
  <c r="Y347" i="13"/>
  <c r="X347" i="13"/>
  <c r="W347" i="13"/>
  <c r="V347" i="13"/>
  <c r="U347" i="13"/>
  <c r="T347" i="13"/>
  <c r="S347" i="13"/>
  <c r="R347" i="13"/>
  <c r="Q347" i="13"/>
  <c r="P347" i="13"/>
  <c r="O347" i="13"/>
  <c r="N347" i="13"/>
  <c r="M347" i="13"/>
  <c r="L347" i="13"/>
  <c r="K347" i="13"/>
  <c r="J347" i="13"/>
  <c r="I347" i="13"/>
  <c r="H347" i="13"/>
  <c r="G347" i="13"/>
  <c r="F347" i="13"/>
  <c r="E347" i="13"/>
  <c r="D347" i="13"/>
  <c r="C347" i="13"/>
  <c r="B347" i="13"/>
  <c r="Z346" i="13"/>
  <c r="Z345" i="13"/>
  <c r="Z344" i="13"/>
  <c r="Z343" i="13"/>
  <c r="Z342" i="13"/>
  <c r="Y341" i="13"/>
  <c r="X341" i="13"/>
  <c r="W341" i="13"/>
  <c r="V341" i="13"/>
  <c r="U341" i="13"/>
  <c r="T341" i="13"/>
  <c r="S341" i="13"/>
  <c r="R341" i="13"/>
  <c r="Q341" i="13"/>
  <c r="P341" i="13"/>
  <c r="O341" i="13"/>
  <c r="N341" i="13"/>
  <c r="M341" i="13"/>
  <c r="L341" i="13"/>
  <c r="K341" i="13"/>
  <c r="J341" i="13"/>
  <c r="I341" i="13"/>
  <c r="H341" i="13"/>
  <c r="G341" i="13"/>
  <c r="F341" i="13"/>
  <c r="E341" i="13"/>
  <c r="D341" i="13"/>
  <c r="C341" i="13"/>
  <c r="B341" i="13"/>
  <c r="Z340" i="13"/>
  <c r="Z339" i="13"/>
  <c r="Z338" i="13"/>
  <c r="Z337" i="13"/>
  <c r="Y336" i="13"/>
  <c r="X336" i="13"/>
  <c r="W336" i="13"/>
  <c r="V336" i="13"/>
  <c r="U336" i="13"/>
  <c r="T336" i="13"/>
  <c r="S336" i="13"/>
  <c r="R336" i="13"/>
  <c r="Q336" i="13"/>
  <c r="P336" i="13"/>
  <c r="O336" i="13"/>
  <c r="N336" i="13"/>
  <c r="M336" i="13"/>
  <c r="L336" i="13"/>
  <c r="K336" i="13"/>
  <c r="J336" i="13"/>
  <c r="I336" i="13"/>
  <c r="H336" i="13"/>
  <c r="G336" i="13"/>
  <c r="F336" i="13"/>
  <c r="E336" i="13"/>
  <c r="D336" i="13"/>
  <c r="C336" i="13"/>
  <c r="B336" i="13"/>
  <c r="Z335" i="13"/>
  <c r="Z334" i="13"/>
  <c r="Z333" i="13"/>
  <c r="Y332" i="13"/>
  <c r="X332" i="13"/>
  <c r="W332" i="13"/>
  <c r="V332" i="13"/>
  <c r="U332" i="13"/>
  <c r="T332" i="13"/>
  <c r="S332" i="13"/>
  <c r="R332" i="13"/>
  <c r="Q332" i="13"/>
  <c r="P332" i="13"/>
  <c r="O332" i="13"/>
  <c r="N332" i="13"/>
  <c r="M332" i="13"/>
  <c r="L332" i="13"/>
  <c r="K332" i="13"/>
  <c r="J332" i="13"/>
  <c r="I332" i="13"/>
  <c r="H332" i="13"/>
  <c r="G332" i="13"/>
  <c r="F332" i="13"/>
  <c r="E332" i="13"/>
  <c r="D332" i="13"/>
  <c r="C332" i="13"/>
  <c r="B332" i="13"/>
  <c r="Z331" i="13"/>
  <c r="Z330" i="13"/>
  <c r="Z329" i="13"/>
  <c r="Y328" i="13"/>
  <c r="X328" i="13"/>
  <c r="W328" i="13"/>
  <c r="V328" i="13"/>
  <c r="U328" i="13"/>
  <c r="T328" i="13"/>
  <c r="S328" i="13"/>
  <c r="R328" i="13"/>
  <c r="Q328" i="13"/>
  <c r="P328" i="13"/>
  <c r="O328" i="13"/>
  <c r="N328" i="13"/>
  <c r="M328" i="13"/>
  <c r="L328" i="13"/>
  <c r="K328" i="13"/>
  <c r="J328" i="13"/>
  <c r="I328" i="13"/>
  <c r="H328" i="13"/>
  <c r="G328" i="13"/>
  <c r="F328" i="13"/>
  <c r="E328" i="13"/>
  <c r="D328" i="13"/>
  <c r="C328" i="13"/>
  <c r="B328" i="13"/>
  <c r="Z327" i="13"/>
  <c r="Z326" i="13"/>
  <c r="Z325" i="13"/>
  <c r="Z324" i="13"/>
  <c r="Z323" i="13"/>
  <c r="Z322" i="13"/>
  <c r="Z321" i="13"/>
  <c r="Z320" i="13"/>
  <c r="Y319" i="13"/>
  <c r="X319" i="13"/>
  <c r="W319" i="13"/>
  <c r="V319" i="13"/>
  <c r="U319" i="13"/>
  <c r="T319" i="13"/>
  <c r="S319" i="13"/>
  <c r="R319" i="13"/>
  <c r="Q319" i="13"/>
  <c r="P319" i="13"/>
  <c r="O319" i="13"/>
  <c r="N319" i="13"/>
  <c r="M319" i="13"/>
  <c r="L319" i="13"/>
  <c r="K319" i="13"/>
  <c r="J319" i="13"/>
  <c r="I319" i="13"/>
  <c r="H319" i="13"/>
  <c r="G319" i="13"/>
  <c r="F319" i="13"/>
  <c r="E319" i="13"/>
  <c r="D319" i="13"/>
  <c r="C319" i="13"/>
  <c r="B319" i="13"/>
  <c r="D62" i="10"/>
  <c r="D61" i="10"/>
  <c r="D60" i="10"/>
  <c r="D59" i="10"/>
  <c r="D58" i="10"/>
  <c r="D57" i="10"/>
  <c r="D56" i="10"/>
  <c r="D55" i="10"/>
  <c r="D54" i="10"/>
  <c r="D53" i="10"/>
  <c r="D52" i="10"/>
  <c r="D51" i="10"/>
  <c r="D50" i="10"/>
  <c r="C49" i="10"/>
  <c r="D48" i="10"/>
  <c r="D47" i="10"/>
  <c r="D46" i="10"/>
  <c r="D44" i="10"/>
  <c r="D43" i="10"/>
  <c r="C42" i="10"/>
  <c r="D33" i="10"/>
  <c r="D32" i="10"/>
  <c r="D31" i="10"/>
  <c r="D30" i="10"/>
  <c r="D29" i="10"/>
  <c r="D28" i="10"/>
  <c r="D27" i="10"/>
  <c r="D26" i="10"/>
  <c r="D25" i="10"/>
  <c r="C24" i="10"/>
  <c r="D23" i="10"/>
  <c r="D22" i="10"/>
  <c r="D21" i="10"/>
  <c r="C20" i="10"/>
  <c r="G15" i="10" s="1"/>
  <c r="I15" i="10" s="1"/>
  <c r="D19" i="10"/>
  <c r="D18" i="10"/>
  <c r="D17" i="10"/>
  <c r="D16" i="10"/>
  <c r="D15" i="10"/>
  <c r="D14" i="10"/>
  <c r="D13" i="10"/>
  <c r="D12" i="10"/>
  <c r="C11" i="10"/>
  <c r="D96" i="9"/>
  <c r="D95" i="9"/>
  <c r="D94" i="9"/>
  <c r="D93" i="9"/>
  <c r="D92" i="9"/>
  <c r="D91" i="9"/>
  <c r="D90" i="9"/>
  <c r="D89" i="9"/>
  <c r="D88" i="9"/>
  <c r="D87" i="9"/>
  <c r="D86" i="9"/>
  <c r="D85" i="9"/>
  <c r="C84" i="9"/>
  <c r="D83" i="9"/>
  <c r="D82" i="9"/>
  <c r="C81" i="9"/>
  <c r="D81" i="9" s="1"/>
  <c r="D80" i="9"/>
  <c r="D79" i="9"/>
  <c r="C77" i="9"/>
  <c r="D77" i="9" s="1"/>
  <c r="D76" i="9"/>
  <c r="D75" i="9"/>
  <c r="D73" i="9"/>
  <c r="D72" i="9"/>
  <c r="D71" i="9"/>
  <c r="D70" i="9"/>
  <c r="D69" i="9"/>
  <c r="D67" i="9"/>
  <c r="D66" i="9"/>
  <c r="D57" i="9"/>
  <c r="D56" i="9"/>
  <c r="D55" i="9"/>
  <c r="C54" i="9"/>
  <c r="D54" i="9" s="1"/>
  <c r="D53" i="9"/>
  <c r="D52" i="9"/>
  <c r="D51" i="9"/>
  <c r="D50" i="9"/>
  <c r="D49" i="9"/>
  <c r="D48" i="9"/>
  <c r="D47" i="9"/>
  <c r="D46" i="9"/>
  <c r="C45" i="9"/>
  <c r="D45" i="9" s="1"/>
  <c r="D44" i="9"/>
  <c r="D43" i="9"/>
  <c r="C42" i="9"/>
  <c r="D42" i="9" s="1"/>
  <c r="D41" i="9"/>
  <c r="D40" i="9"/>
  <c r="D39" i="9"/>
  <c r="D38" i="9"/>
  <c r="C37" i="9"/>
  <c r="G11" i="9" s="1"/>
  <c r="I11" i="9" s="1"/>
  <c r="D36" i="9"/>
  <c r="D35" i="9"/>
  <c r="D34" i="9"/>
  <c r="D33" i="9"/>
  <c r="D32" i="9"/>
  <c r="D31" i="9"/>
  <c r="C30" i="9"/>
  <c r="D30" i="9" s="1"/>
  <c r="D29" i="9"/>
  <c r="D28" i="9"/>
  <c r="D26" i="9"/>
  <c r="D25" i="9"/>
  <c r="C24" i="9"/>
  <c r="D24" i="9" s="1"/>
  <c r="D23" i="9"/>
  <c r="D22" i="9"/>
  <c r="D21" i="9"/>
  <c r="C20" i="9"/>
  <c r="D17" i="9"/>
  <c r="D16" i="9"/>
  <c r="D15" i="9"/>
  <c r="D14" i="9"/>
  <c r="C14" i="9"/>
  <c r="D13" i="9"/>
  <c r="D12" i="9"/>
  <c r="D11" i="9"/>
  <c r="C11" i="9"/>
  <c r="D123" i="8"/>
  <c r="D122" i="8"/>
  <c r="D121" i="8"/>
  <c r="D120" i="8"/>
  <c r="D119" i="8"/>
  <c r="D118" i="8"/>
  <c r="D117" i="8"/>
  <c r="D116" i="8"/>
  <c r="D115" i="8"/>
  <c r="D114" i="8"/>
  <c r="C113" i="8"/>
  <c r="D113" i="8" s="1"/>
  <c r="B113" i="8"/>
  <c r="D110" i="8"/>
  <c r="D109" i="8"/>
  <c r="D108" i="8"/>
  <c r="D107" i="8"/>
  <c r="D106" i="8"/>
  <c r="D105" i="8"/>
  <c r="D104" i="8"/>
  <c r="D103" i="8"/>
  <c r="D102" i="8"/>
  <c r="C101" i="8"/>
  <c r="G75" i="8" s="1"/>
  <c r="B101" i="8"/>
  <c r="D100" i="8"/>
  <c r="D99" i="8"/>
  <c r="D98" i="8"/>
  <c r="D97" i="8"/>
  <c r="D96" i="8"/>
  <c r="C95" i="8"/>
  <c r="B95" i="8"/>
  <c r="D94" i="8"/>
  <c r="D93" i="8"/>
  <c r="D92" i="8"/>
  <c r="D91" i="8"/>
  <c r="C90" i="8"/>
  <c r="B90" i="8"/>
  <c r="D89" i="8"/>
  <c r="D88" i="8"/>
  <c r="D87" i="8"/>
  <c r="C86" i="8"/>
  <c r="B86" i="8"/>
  <c r="D85" i="8"/>
  <c r="D84" i="8"/>
  <c r="D83" i="8"/>
  <c r="C82" i="8"/>
  <c r="B82" i="8"/>
  <c r="D81" i="8"/>
  <c r="D80" i="8"/>
  <c r="D79" i="8"/>
  <c r="D78" i="8"/>
  <c r="D77" i="8"/>
  <c r="D76" i="8"/>
  <c r="D75" i="8"/>
  <c r="D74" i="8"/>
  <c r="C73" i="8"/>
  <c r="B73" i="8"/>
  <c r="D64" i="8"/>
  <c r="D63" i="8"/>
  <c r="D62" i="8"/>
  <c r="D61" i="8"/>
  <c r="D60" i="8"/>
  <c r="D59" i="8"/>
  <c r="D58" i="8"/>
  <c r="D57" i="8"/>
  <c r="D56" i="8"/>
  <c r="D55" i="8"/>
  <c r="D54" i="8"/>
  <c r="D53" i="8"/>
  <c r="B52" i="8"/>
  <c r="D51" i="8"/>
  <c r="D50" i="8"/>
  <c r="C49" i="8"/>
  <c r="B49" i="8"/>
  <c r="D48" i="8"/>
  <c r="D47" i="8"/>
  <c r="D46" i="8"/>
  <c r="D45" i="8"/>
  <c r="D44" i="8"/>
  <c r="D43" i="8"/>
  <c r="D42" i="8"/>
  <c r="D41" i="8"/>
  <c r="D40" i="8"/>
  <c r="C39" i="8"/>
  <c r="B39" i="8"/>
  <c r="D38" i="8"/>
  <c r="D37" i="8"/>
  <c r="D36" i="8"/>
  <c r="D35" i="8"/>
  <c r="D34" i="8"/>
  <c r="C33" i="8"/>
  <c r="B33" i="8"/>
  <c r="D32" i="8"/>
  <c r="D31" i="8"/>
  <c r="D30" i="8"/>
  <c r="D29" i="8"/>
  <c r="C28" i="8"/>
  <c r="B28" i="8"/>
  <c r="D27" i="8"/>
  <c r="D26" i="8"/>
  <c r="D25" i="8"/>
  <c r="C24" i="8"/>
  <c r="B24" i="8"/>
  <c r="D23" i="8"/>
  <c r="D22" i="8"/>
  <c r="D21" i="8"/>
  <c r="C20" i="8"/>
  <c r="B20" i="8"/>
  <c r="D19" i="8"/>
  <c r="D18" i="8"/>
  <c r="D17" i="8"/>
  <c r="D16" i="8"/>
  <c r="D15" i="8"/>
  <c r="D14" i="8"/>
  <c r="D13" i="8"/>
  <c r="D12" i="8"/>
  <c r="C11" i="8"/>
  <c r="B11" i="8"/>
  <c r="D129" i="7"/>
  <c r="D128" i="7"/>
  <c r="D127" i="7"/>
  <c r="D126" i="7"/>
  <c r="D125" i="7"/>
  <c r="D124" i="7"/>
  <c r="D123" i="7"/>
  <c r="D122" i="7"/>
  <c r="D121" i="7"/>
  <c r="D117" i="7"/>
  <c r="D116" i="7"/>
  <c r="D115" i="7"/>
  <c r="D114" i="7"/>
  <c r="C113" i="7"/>
  <c r="E113" i="7" s="1"/>
  <c r="D112" i="7"/>
  <c r="D111" i="7"/>
  <c r="D110" i="7"/>
  <c r="D108" i="7"/>
  <c r="D107" i="7"/>
  <c r="D106" i="7"/>
  <c r="D105" i="7"/>
  <c r="D104" i="7"/>
  <c r="C103" i="7"/>
  <c r="D102" i="7"/>
  <c r="D101" i="7"/>
  <c r="D100" i="7"/>
  <c r="D99" i="7"/>
  <c r="D98" i="7"/>
  <c r="C97" i="7"/>
  <c r="D96" i="7"/>
  <c r="D95" i="7"/>
  <c r="D94" i="7"/>
  <c r="D93" i="7"/>
  <c r="C92" i="7"/>
  <c r="D91" i="7"/>
  <c r="D90" i="7"/>
  <c r="D89" i="7"/>
  <c r="C88" i="7"/>
  <c r="D88" i="7" s="1"/>
  <c r="D87" i="7"/>
  <c r="D86" i="7"/>
  <c r="D85" i="7"/>
  <c r="C84" i="7"/>
  <c r="D83" i="7"/>
  <c r="D82" i="7"/>
  <c r="D81" i="7"/>
  <c r="D80" i="7"/>
  <c r="D79" i="7"/>
  <c r="D78" i="7"/>
  <c r="D77" i="7"/>
  <c r="D76" i="7"/>
  <c r="C75" i="7"/>
  <c r="D66" i="7"/>
  <c r="D65" i="7"/>
  <c r="D64" i="7"/>
  <c r="D63" i="7"/>
  <c r="D62" i="7"/>
  <c r="D61" i="7"/>
  <c r="D60" i="7"/>
  <c r="D59" i="7"/>
  <c r="D58" i="7"/>
  <c r="D57" i="7"/>
  <c r="D53" i="7"/>
  <c r="D52" i="7"/>
  <c r="D51" i="7"/>
  <c r="D50" i="7"/>
  <c r="C49" i="7"/>
  <c r="D48" i="7"/>
  <c r="D47" i="7"/>
  <c r="D46" i="7"/>
  <c r="D45" i="7"/>
  <c r="D44" i="7"/>
  <c r="D43" i="7"/>
  <c r="D42" i="7"/>
  <c r="D41" i="7"/>
  <c r="D40" i="7"/>
  <c r="C39" i="7"/>
  <c r="D38" i="7"/>
  <c r="D37" i="7"/>
  <c r="D36" i="7"/>
  <c r="D35" i="7"/>
  <c r="D34" i="7"/>
  <c r="C33" i="7"/>
  <c r="D32" i="7"/>
  <c r="D31" i="7"/>
  <c r="D30" i="7"/>
  <c r="D29" i="7"/>
  <c r="C28" i="7"/>
  <c r="D27" i="7"/>
  <c r="D26" i="7"/>
  <c r="D25" i="7"/>
  <c r="C24" i="7"/>
  <c r="D23" i="7"/>
  <c r="D22" i="7"/>
  <c r="D21" i="7"/>
  <c r="C20" i="7"/>
  <c r="D19" i="7"/>
  <c r="D18" i="7"/>
  <c r="D17" i="7"/>
  <c r="D16" i="7"/>
  <c r="D15" i="7"/>
  <c r="D14" i="7"/>
  <c r="D13" i="7"/>
  <c r="D12" i="7"/>
  <c r="C11" i="7"/>
  <c r="I59" i="12"/>
  <c r="H59" i="12"/>
  <c r="I58" i="12"/>
  <c r="H58" i="12"/>
  <c r="I57" i="12"/>
  <c r="H57" i="12"/>
  <c r="I56" i="12"/>
  <c r="H56" i="12"/>
  <c r="I55" i="12"/>
  <c r="H55" i="12"/>
  <c r="I50" i="12"/>
  <c r="H50" i="12"/>
  <c r="I49" i="12"/>
  <c r="H49" i="12"/>
  <c r="I48" i="12"/>
  <c r="H48" i="12"/>
  <c r="I47" i="12"/>
  <c r="H47" i="12"/>
  <c r="C46" i="12"/>
  <c r="L11" i="12" s="1"/>
  <c r="N11" i="12" s="1"/>
  <c r="I45" i="12"/>
  <c r="H45" i="12"/>
  <c r="I44" i="12"/>
  <c r="H44" i="12"/>
  <c r="C43" i="12"/>
  <c r="L13" i="12" s="1"/>
  <c r="N13" i="12" s="1"/>
  <c r="I42" i="12"/>
  <c r="H42" i="12"/>
  <c r="I41" i="12"/>
  <c r="H41" i="12"/>
  <c r="I40" i="12"/>
  <c r="H40" i="12"/>
  <c r="I39" i="12"/>
  <c r="H39" i="12"/>
  <c r="C38" i="12"/>
  <c r="I37" i="12"/>
  <c r="H37" i="12"/>
  <c r="I36" i="12"/>
  <c r="H36" i="12"/>
  <c r="I35" i="12"/>
  <c r="H35" i="12"/>
  <c r="I34" i="12"/>
  <c r="H34" i="12"/>
  <c r="I33" i="12"/>
  <c r="H33" i="12"/>
  <c r="I32" i="12"/>
  <c r="H32" i="12"/>
  <c r="I31" i="12"/>
  <c r="H31" i="12"/>
  <c r="I30" i="12"/>
  <c r="H30" i="12"/>
  <c r="I29" i="12"/>
  <c r="H29" i="12"/>
  <c r="C28" i="12"/>
  <c r="L14" i="12" s="1"/>
  <c r="N14" i="12" s="1"/>
  <c r="I27" i="12"/>
  <c r="H27" i="12"/>
  <c r="I26" i="12"/>
  <c r="H26" i="12"/>
  <c r="I25" i="12"/>
  <c r="H25" i="12"/>
  <c r="I24" i="12"/>
  <c r="H24" i="12"/>
  <c r="I19" i="12"/>
  <c r="H19" i="12"/>
  <c r="I18" i="12"/>
  <c r="H18" i="12"/>
  <c r="I17" i="12"/>
  <c r="H17" i="12"/>
  <c r="I16" i="12"/>
  <c r="H16" i="12"/>
  <c r="I15" i="12"/>
  <c r="H15" i="12"/>
  <c r="I14" i="12"/>
  <c r="H14" i="12"/>
  <c r="I13" i="12"/>
  <c r="H13" i="12"/>
  <c r="C12" i="12"/>
  <c r="I12" i="12" s="1"/>
  <c r="I79" i="11"/>
  <c r="H79" i="11"/>
  <c r="I78" i="11"/>
  <c r="H78" i="11"/>
  <c r="I77" i="11"/>
  <c r="H77" i="11"/>
  <c r="I76" i="11"/>
  <c r="H76" i="11"/>
  <c r="C75" i="11"/>
  <c r="B75" i="11"/>
  <c r="F75" i="11" s="1"/>
  <c r="I74" i="11"/>
  <c r="H74" i="11"/>
  <c r="B73" i="11"/>
  <c r="I72" i="11"/>
  <c r="H72" i="11"/>
  <c r="B71" i="11"/>
  <c r="I70" i="11"/>
  <c r="H70" i="11"/>
  <c r="B69" i="11"/>
  <c r="I68" i="11"/>
  <c r="H68" i="11"/>
  <c r="B67" i="11"/>
  <c r="I66" i="11"/>
  <c r="I65" i="11"/>
  <c r="I63" i="11"/>
  <c r="H63" i="11"/>
  <c r="I62" i="11"/>
  <c r="H62" i="11"/>
  <c r="B62" i="11"/>
  <c r="F62" i="11" s="1"/>
  <c r="I61" i="11"/>
  <c r="H61" i="11"/>
  <c r="I60" i="11"/>
  <c r="H60" i="11"/>
  <c r="I59" i="11"/>
  <c r="H59" i="11"/>
  <c r="I58" i="11"/>
  <c r="H58" i="11"/>
  <c r="C57" i="11"/>
  <c r="G57" i="11" s="1"/>
  <c r="B57" i="11"/>
  <c r="F57" i="11" s="1"/>
  <c r="I56" i="11"/>
  <c r="H56" i="11"/>
  <c r="I55" i="11"/>
  <c r="H55" i="11"/>
  <c r="C54" i="11"/>
  <c r="B54" i="11"/>
  <c r="F54" i="11" s="1"/>
  <c r="I53" i="11"/>
  <c r="H53" i="11"/>
  <c r="I52" i="11"/>
  <c r="H52" i="11"/>
  <c r="I51" i="11"/>
  <c r="H51" i="11"/>
  <c r="I50" i="11"/>
  <c r="H50" i="11"/>
  <c r="C49" i="11"/>
  <c r="B49" i="11"/>
  <c r="F49" i="11" s="1"/>
  <c r="I48" i="11"/>
  <c r="H48" i="11"/>
  <c r="B47" i="11"/>
  <c r="I46" i="11"/>
  <c r="H46" i="11"/>
  <c r="I45" i="11"/>
  <c r="H45" i="11"/>
  <c r="I44" i="11"/>
  <c r="H44" i="11"/>
  <c r="I43" i="11"/>
  <c r="H43" i="11"/>
  <c r="I42" i="11"/>
  <c r="H42" i="11"/>
  <c r="C41" i="11"/>
  <c r="B41" i="11"/>
  <c r="F41" i="11" s="1"/>
  <c r="I40" i="11"/>
  <c r="H40" i="11"/>
  <c r="I39" i="11"/>
  <c r="H39" i="11"/>
  <c r="I38" i="11"/>
  <c r="H38" i="11"/>
  <c r="I37" i="11"/>
  <c r="H37" i="11"/>
  <c r="I36" i="11"/>
  <c r="H36" i="11"/>
  <c r="I35" i="11"/>
  <c r="H35" i="11"/>
  <c r="I34" i="11"/>
  <c r="H34" i="11"/>
  <c r="I33" i="11"/>
  <c r="H33" i="11"/>
  <c r="I32" i="11"/>
  <c r="H32" i="11"/>
  <c r="C31" i="11"/>
  <c r="B31" i="11"/>
  <c r="F31" i="11" s="1"/>
  <c r="I30" i="11"/>
  <c r="H30" i="11"/>
  <c r="I29" i="11"/>
  <c r="H29" i="11"/>
  <c r="I28" i="11"/>
  <c r="H28" i="11"/>
  <c r="C27" i="11"/>
  <c r="B27" i="11"/>
  <c r="F27" i="11" s="1"/>
  <c r="I26" i="11"/>
  <c r="H26" i="11"/>
  <c r="B25" i="11"/>
  <c r="I24" i="11"/>
  <c r="H24" i="11"/>
  <c r="I23" i="11"/>
  <c r="H23" i="11"/>
  <c r="I22" i="11"/>
  <c r="H22" i="11"/>
  <c r="C21" i="11"/>
  <c r="B21" i="11"/>
  <c r="I20" i="11"/>
  <c r="H20" i="11"/>
  <c r="I19" i="11"/>
  <c r="H19" i="11"/>
  <c r="I18" i="11"/>
  <c r="H18" i="11"/>
  <c r="I17" i="11"/>
  <c r="H17" i="11"/>
  <c r="I16" i="11"/>
  <c r="H16" i="11"/>
  <c r="I15" i="11"/>
  <c r="H15" i="11"/>
  <c r="I14" i="11"/>
  <c r="H14" i="11"/>
  <c r="I13" i="11"/>
  <c r="H13" i="11"/>
  <c r="C12" i="11"/>
  <c r="B12" i="11"/>
  <c r="F12" i="11" s="1"/>
  <c r="I68" i="6"/>
  <c r="H68" i="6"/>
  <c r="I67" i="6"/>
  <c r="H67" i="6"/>
  <c r="I66" i="6"/>
  <c r="H66" i="6"/>
  <c r="I65" i="6"/>
  <c r="H65" i="6"/>
  <c r="I64" i="6"/>
  <c r="H64" i="6"/>
  <c r="I63" i="6"/>
  <c r="H63" i="6"/>
  <c r="I62" i="6"/>
  <c r="H62" i="6"/>
  <c r="I61" i="6"/>
  <c r="H61" i="6"/>
  <c r="I60" i="6"/>
  <c r="H60" i="6"/>
  <c r="C59" i="6"/>
  <c r="I58" i="6"/>
  <c r="H58" i="6"/>
  <c r="I57" i="6"/>
  <c r="H57" i="6"/>
  <c r="I56" i="6"/>
  <c r="H56" i="6"/>
  <c r="C55" i="6"/>
  <c r="I55" i="6" s="1"/>
  <c r="I54" i="6"/>
  <c r="H54" i="6"/>
  <c r="I53" i="6"/>
  <c r="H53" i="6"/>
  <c r="I52" i="6"/>
  <c r="H52" i="6"/>
  <c r="I51" i="6"/>
  <c r="H51" i="6"/>
  <c r="I50" i="6"/>
  <c r="H50" i="6"/>
  <c r="I49" i="6"/>
  <c r="H49" i="6"/>
  <c r="C48" i="6"/>
  <c r="I38" i="6"/>
  <c r="H38" i="6"/>
  <c r="I37" i="6"/>
  <c r="B37" i="6"/>
  <c r="I36" i="6"/>
  <c r="H36" i="6"/>
  <c r="B35" i="6"/>
  <c r="I34" i="6"/>
  <c r="H34" i="6"/>
  <c r="B33" i="6"/>
  <c r="I32" i="6"/>
  <c r="H32" i="6"/>
  <c r="I31" i="6"/>
  <c r="H31" i="6"/>
  <c r="I30" i="6"/>
  <c r="H30" i="6"/>
  <c r="C29" i="6"/>
  <c r="B29" i="6"/>
  <c r="F29" i="6" s="1"/>
  <c r="I28" i="6"/>
  <c r="H28" i="6"/>
  <c r="I27" i="6"/>
  <c r="H27" i="6"/>
  <c r="I26" i="6"/>
  <c r="H26" i="6"/>
  <c r="C25" i="6"/>
  <c r="B25" i="6"/>
  <c r="F25" i="6" s="1"/>
  <c r="I24" i="6"/>
  <c r="I23" i="6"/>
  <c r="I22" i="6"/>
  <c r="I21" i="6"/>
  <c r="H21" i="6"/>
  <c r="I20" i="6"/>
  <c r="H20" i="6"/>
  <c r="I19" i="6"/>
  <c r="H19" i="6"/>
  <c r="I18" i="6"/>
  <c r="H18" i="6"/>
  <c r="I17" i="6"/>
  <c r="H17" i="6"/>
  <c r="I16" i="6"/>
  <c r="H16" i="6"/>
  <c r="I15" i="6"/>
  <c r="H15" i="6"/>
  <c r="I14" i="6"/>
  <c r="H14" i="6"/>
  <c r="C13" i="6"/>
  <c r="B13" i="6"/>
  <c r="I99" i="5"/>
  <c r="H99" i="5"/>
  <c r="I98" i="5"/>
  <c r="H98" i="5"/>
  <c r="I97" i="5"/>
  <c r="H97" i="5"/>
  <c r="I96" i="5"/>
  <c r="H96" i="5"/>
  <c r="I95" i="5"/>
  <c r="H95" i="5"/>
  <c r="I94" i="5"/>
  <c r="H94" i="5"/>
  <c r="I93" i="5"/>
  <c r="H93" i="5"/>
  <c r="I92" i="5"/>
  <c r="H92" i="5"/>
  <c r="I91" i="5"/>
  <c r="H91" i="5"/>
  <c r="I90" i="5"/>
  <c r="H90" i="5"/>
  <c r="I89" i="5"/>
  <c r="H89" i="5"/>
  <c r="I88" i="5"/>
  <c r="H88" i="5"/>
  <c r="C87" i="5"/>
  <c r="L68" i="5" s="1"/>
  <c r="N68" i="5" s="1"/>
  <c r="I86" i="5"/>
  <c r="H86" i="5"/>
  <c r="I85" i="5"/>
  <c r="H85" i="5"/>
  <c r="C84" i="5"/>
  <c r="I83" i="5"/>
  <c r="H83" i="5"/>
  <c r="I82" i="5"/>
  <c r="H82" i="5"/>
  <c r="I81" i="5"/>
  <c r="H81" i="5"/>
  <c r="C80" i="5"/>
  <c r="I79" i="5"/>
  <c r="H79" i="5"/>
  <c r="I78" i="5"/>
  <c r="H78" i="5"/>
  <c r="I77" i="5"/>
  <c r="H77" i="5"/>
  <c r="C76" i="5"/>
  <c r="I75" i="5"/>
  <c r="H75" i="5"/>
  <c r="I74" i="5"/>
  <c r="H74" i="5"/>
  <c r="I73" i="5"/>
  <c r="H73" i="5"/>
  <c r="C72" i="5"/>
  <c r="I71" i="5"/>
  <c r="H71" i="5"/>
  <c r="I70" i="5"/>
  <c r="H70" i="5"/>
  <c r="C69" i="5"/>
  <c r="I59" i="5"/>
  <c r="H59" i="5"/>
  <c r="I58" i="5"/>
  <c r="H58" i="5"/>
  <c r="I57" i="5"/>
  <c r="H57" i="5"/>
  <c r="G56" i="5"/>
  <c r="B56" i="5"/>
  <c r="F56" i="5" s="1"/>
  <c r="I55" i="5"/>
  <c r="H55" i="5"/>
  <c r="B54" i="5"/>
  <c r="I53" i="5"/>
  <c r="H53" i="5"/>
  <c r="B52" i="5"/>
  <c r="I51" i="5"/>
  <c r="H51" i="5"/>
  <c r="I50" i="5"/>
  <c r="H50" i="5"/>
  <c r="I49" i="5"/>
  <c r="H49" i="5"/>
  <c r="I48" i="5"/>
  <c r="H48" i="5"/>
  <c r="C47" i="5"/>
  <c r="B47" i="5"/>
  <c r="I46" i="5"/>
  <c r="H46" i="5"/>
  <c r="I45" i="5"/>
  <c r="H45" i="5"/>
  <c r="C44" i="5"/>
  <c r="B44" i="5"/>
  <c r="I43" i="5"/>
  <c r="H43" i="5"/>
  <c r="I42" i="5"/>
  <c r="H42" i="5"/>
  <c r="I41" i="5"/>
  <c r="H41" i="5"/>
  <c r="I40" i="5"/>
  <c r="H40" i="5"/>
  <c r="G39" i="5"/>
  <c r="B39" i="5"/>
  <c r="I38" i="5"/>
  <c r="H38" i="5"/>
  <c r="B37" i="5"/>
  <c r="H37" i="5" s="1"/>
  <c r="I36" i="5"/>
  <c r="H36" i="5"/>
  <c r="I35" i="5"/>
  <c r="H35" i="5"/>
  <c r="I34" i="5"/>
  <c r="H34" i="5"/>
  <c r="I33" i="5"/>
  <c r="H33" i="5"/>
  <c r="G32" i="5"/>
  <c r="B32" i="5"/>
  <c r="F32" i="5" s="1"/>
  <c r="I31" i="5"/>
  <c r="H31" i="5"/>
  <c r="I30" i="5"/>
  <c r="H30" i="5"/>
  <c r="I29" i="5"/>
  <c r="H29" i="5"/>
  <c r="I28" i="5"/>
  <c r="H28" i="5"/>
  <c r="I27" i="5"/>
  <c r="H27" i="5"/>
  <c r="G26" i="5"/>
  <c r="B26" i="5"/>
  <c r="F26" i="5" s="1"/>
  <c r="I25" i="5"/>
  <c r="H25" i="5"/>
  <c r="I24" i="5"/>
  <c r="H24" i="5"/>
  <c r="I23" i="5"/>
  <c r="H23" i="5"/>
  <c r="G22" i="5"/>
  <c r="B22" i="5"/>
  <c r="I21" i="5"/>
  <c r="H21" i="5"/>
  <c r="I20" i="5"/>
  <c r="H20" i="5"/>
  <c r="I19" i="5"/>
  <c r="H19" i="5"/>
  <c r="I18" i="5"/>
  <c r="H18" i="5"/>
  <c r="I17" i="5"/>
  <c r="H17" i="5"/>
  <c r="G16" i="5"/>
  <c r="B16" i="5"/>
  <c r="F16" i="5" s="1"/>
  <c r="I15" i="5"/>
  <c r="H15" i="5"/>
  <c r="I14" i="5"/>
  <c r="H14" i="5"/>
  <c r="G13" i="5"/>
  <c r="B13" i="5"/>
  <c r="F13" i="5" s="1"/>
  <c r="I126" i="4"/>
  <c r="H126" i="4"/>
  <c r="I125" i="4"/>
  <c r="H125" i="4"/>
  <c r="I124" i="4"/>
  <c r="H124" i="4"/>
  <c r="I123" i="4"/>
  <c r="H123" i="4"/>
  <c r="I122" i="4"/>
  <c r="H122" i="4"/>
  <c r="I121" i="4"/>
  <c r="H121" i="4"/>
  <c r="I120" i="4"/>
  <c r="H120" i="4"/>
  <c r="I119" i="4"/>
  <c r="H119" i="4"/>
  <c r="I118" i="4"/>
  <c r="H118" i="4"/>
  <c r="I117" i="4"/>
  <c r="H117" i="4"/>
  <c r="C116" i="4"/>
  <c r="I115" i="4"/>
  <c r="H115" i="4"/>
  <c r="I114" i="4"/>
  <c r="H114" i="4"/>
  <c r="I113" i="4"/>
  <c r="H113" i="4"/>
  <c r="I112" i="4"/>
  <c r="H112" i="4"/>
  <c r="I111" i="4"/>
  <c r="H111" i="4"/>
  <c r="I110" i="4"/>
  <c r="H110" i="4"/>
  <c r="I109" i="4"/>
  <c r="H109" i="4"/>
  <c r="I108" i="4"/>
  <c r="H108" i="4"/>
  <c r="I107" i="4"/>
  <c r="H107" i="4"/>
  <c r="I106" i="4"/>
  <c r="H106" i="4"/>
  <c r="I105" i="4"/>
  <c r="H105" i="4"/>
  <c r="C104" i="4"/>
  <c r="I103" i="4"/>
  <c r="H103" i="4"/>
  <c r="I102" i="4"/>
  <c r="H102" i="4"/>
  <c r="I101" i="4"/>
  <c r="H101" i="4"/>
  <c r="I100" i="4"/>
  <c r="H100" i="4"/>
  <c r="I99" i="4"/>
  <c r="H99" i="4"/>
  <c r="C98" i="4"/>
  <c r="I97" i="4"/>
  <c r="H97" i="4"/>
  <c r="I96" i="4"/>
  <c r="H96" i="4"/>
  <c r="I95" i="4"/>
  <c r="H95" i="4"/>
  <c r="I94" i="4"/>
  <c r="H94" i="4"/>
  <c r="C93" i="4"/>
  <c r="I92" i="4"/>
  <c r="H92" i="4"/>
  <c r="I91" i="4"/>
  <c r="H91" i="4"/>
  <c r="I90" i="4"/>
  <c r="H90" i="4"/>
  <c r="C89" i="4"/>
  <c r="I88" i="4"/>
  <c r="H88" i="4"/>
  <c r="I87" i="4"/>
  <c r="H87" i="4"/>
  <c r="I86" i="4"/>
  <c r="H86" i="4"/>
  <c r="C85" i="4"/>
  <c r="I84" i="4"/>
  <c r="H84" i="4"/>
  <c r="I83" i="4"/>
  <c r="H83" i="4"/>
  <c r="I82" i="4"/>
  <c r="H82" i="4"/>
  <c r="I81" i="4"/>
  <c r="H81" i="4"/>
  <c r="I80" i="4"/>
  <c r="H80" i="4"/>
  <c r="I79" i="4"/>
  <c r="H79" i="4"/>
  <c r="I78" i="4"/>
  <c r="H78" i="4"/>
  <c r="I77" i="4"/>
  <c r="H77" i="4"/>
  <c r="C76" i="4"/>
  <c r="I66" i="4"/>
  <c r="H66" i="4"/>
  <c r="I65" i="4"/>
  <c r="H65" i="4"/>
  <c r="I64" i="4"/>
  <c r="H64" i="4"/>
  <c r="I63" i="4"/>
  <c r="H63" i="4"/>
  <c r="I62" i="4"/>
  <c r="H62" i="4"/>
  <c r="I61" i="4"/>
  <c r="H61" i="4"/>
  <c r="I60" i="4"/>
  <c r="H60" i="4"/>
  <c r="I59" i="4"/>
  <c r="H59" i="4"/>
  <c r="I58" i="4"/>
  <c r="H58" i="4"/>
  <c r="I57" i="4"/>
  <c r="H57" i="4"/>
  <c r="I56" i="4"/>
  <c r="H56" i="4"/>
  <c r="I55" i="4"/>
  <c r="H55" i="4"/>
  <c r="C54" i="4"/>
  <c r="I53" i="4"/>
  <c r="H53" i="4"/>
  <c r="I52" i="4"/>
  <c r="H52" i="4"/>
  <c r="C51" i="4"/>
  <c r="I50" i="4"/>
  <c r="H50" i="4"/>
  <c r="I49" i="4"/>
  <c r="H49" i="4"/>
  <c r="I48" i="4"/>
  <c r="H48" i="4"/>
  <c r="I47" i="4"/>
  <c r="H47" i="4"/>
  <c r="I46" i="4"/>
  <c r="H46" i="4"/>
  <c r="I45" i="4"/>
  <c r="H45" i="4"/>
  <c r="I44" i="4"/>
  <c r="H44" i="4"/>
  <c r="I43" i="4"/>
  <c r="H43" i="4"/>
  <c r="I42" i="4"/>
  <c r="H42" i="4"/>
  <c r="C41" i="4"/>
  <c r="I40" i="4"/>
  <c r="H40" i="4"/>
  <c r="I39" i="4"/>
  <c r="H39" i="4"/>
  <c r="I38" i="4"/>
  <c r="H38" i="4"/>
  <c r="I37" i="4"/>
  <c r="H37" i="4"/>
  <c r="I36" i="4"/>
  <c r="H36" i="4"/>
  <c r="C35" i="4"/>
  <c r="I34" i="4"/>
  <c r="H34" i="4"/>
  <c r="I33" i="4"/>
  <c r="H33" i="4"/>
  <c r="I32" i="4"/>
  <c r="H32" i="4"/>
  <c r="I31" i="4"/>
  <c r="H31" i="4"/>
  <c r="B30" i="4"/>
  <c r="I29" i="4"/>
  <c r="H29" i="4"/>
  <c r="I28" i="4"/>
  <c r="H28" i="4"/>
  <c r="I27" i="4"/>
  <c r="H27" i="4"/>
  <c r="I25" i="4"/>
  <c r="H25" i="4"/>
  <c r="I24" i="4"/>
  <c r="H24" i="4"/>
  <c r="I23" i="4"/>
  <c r="H23" i="4"/>
  <c r="B22" i="4"/>
  <c r="I21" i="4"/>
  <c r="H21" i="4"/>
  <c r="I20" i="4"/>
  <c r="H20" i="4"/>
  <c r="I19" i="4"/>
  <c r="H19" i="4"/>
  <c r="I18" i="4"/>
  <c r="H18" i="4"/>
  <c r="I17" i="4"/>
  <c r="H17" i="4"/>
  <c r="I16" i="4"/>
  <c r="H16" i="4"/>
  <c r="I15" i="4"/>
  <c r="H15" i="4"/>
  <c r="I14" i="4"/>
  <c r="H14" i="4"/>
  <c r="B13" i="4"/>
  <c r="O370" i="13" l="1"/>
  <c r="W370" i="13"/>
  <c r="Z132" i="13"/>
  <c r="V445" i="13"/>
  <c r="G370" i="13"/>
  <c r="Q370" i="13"/>
  <c r="S370" i="13"/>
  <c r="I370" i="13"/>
  <c r="K370" i="13"/>
  <c r="D370" i="13"/>
  <c r="L370" i="13"/>
  <c r="T370" i="13"/>
  <c r="Z16" i="13"/>
  <c r="D22" i="13"/>
  <c r="L22" i="13"/>
  <c r="T22" i="13"/>
  <c r="Z25" i="13"/>
  <c r="Z36" i="13"/>
  <c r="E41" i="13"/>
  <c r="M41" i="13"/>
  <c r="U41" i="13"/>
  <c r="Z136" i="13"/>
  <c r="C370" i="13"/>
  <c r="E370" i="13"/>
  <c r="M370" i="13"/>
  <c r="U370" i="13"/>
  <c r="Z63" i="13"/>
  <c r="Z126" i="13"/>
  <c r="F370" i="13"/>
  <c r="N370" i="13"/>
  <c r="V370" i="13"/>
  <c r="B445" i="13"/>
  <c r="R445" i="13"/>
  <c r="H370" i="13"/>
  <c r="P370" i="13"/>
  <c r="X370" i="13"/>
  <c r="AB328" i="13" s="1"/>
  <c r="B370" i="13"/>
  <c r="J370" i="13"/>
  <c r="R370" i="13"/>
  <c r="AC32" i="16"/>
  <c r="AF32" i="16" s="1"/>
  <c r="AG32" i="16" s="1"/>
  <c r="AC38" i="16"/>
  <c r="AF38" i="16" s="1"/>
  <c r="AG38" i="16" s="1"/>
  <c r="T39" i="16"/>
  <c r="AD25" i="16"/>
  <c r="F39" i="16"/>
  <c r="S39" i="16"/>
  <c r="AE58" i="16"/>
  <c r="C79" i="16"/>
  <c r="AC21" i="16"/>
  <c r="AF21" i="16" s="1"/>
  <c r="AG21" i="16" s="1"/>
  <c r="G39" i="16"/>
  <c r="U39" i="16"/>
  <c r="D79" i="16"/>
  <c r="AD13" i="16"/>
  <c r="J39" i="16"/>
  <c r="W39" i="16"/>
  <c r="D48" i="16"/>
  <c r="Q48" i="16"/>
  <c r="M48" i="16"/>
  <c r="I48" i="16"/>
  <c r="W48" i="16"/>
  <c r="E48" i="16"/>
  <c r="S48" i="16"/>
  <c r="O48" i="16"/>
  <c r="K48" i="16"/>
  <c r="G48" i="16"/>
  <c r="U48" i="16"/>
  <c r="C48" i="16"/>
  <c r="R48" i="16"/>
  <c r="T48" i="16"/>
  <c r="X48" i="16"/>
  <c r="V48" i="16"/>
  <c r="J48" i="16"/>
  <c r="B48" i="16"/>
  <c r="P48" i="16"/>
  <c r="N48" i="16"/>
  <c r="Y48" i="16"/>
  <c r="H48" i="16"/>
  <c r="F48" i="16"/>
  <c r="L48" i="16"/>
  <c r="B49" i="16"/>
  <c r="Q49" i="16"/>
  <c r="O49" i="16"/>
  <c r="U49" i="16"/>
  <c r="W49" i="16"/>
  <c r="I49" i="16"/>
  <c r="G49" i="16"/>
  <c r="M49" i="16"/>
  <c r="K49" i="16"/>
  <c r="C49" i="16"/>
  <c r="X49" i="16"/>
  <c r="E49" i="16"/>
  <c r="T49" i="16"/>
  <c r="P49" i="16"/>
  <c r="S49" i="16"/>
  <c r="L49" i="16"/>
  <c r="H49" i="16"/>
  <c r="V49" i="16"/>
  <c r="D49" i="16"/>
  <c r="R49" i="16"/>
  <c r="N49" i="16"/>
  <c r="J49" i="16"/>
  <c r="Y49" i="16"/>
  <c r="F49" i="16"/>
  <c r="AC58" i="16"/>
  <c r="AC65" i="16"/>
  <c r="AE69" i="16"/>
  <c r="AG72" i="16"/>
  <c r="V39" i="16"/>
  <c r="AF26" i="16"/>
  <c r="AG26" i="16" s="1"/>
  <c r="K39" i="16"/>
  <c r="AF30" i="16"/>
  <c r="AG30" i="16" s="1"/>
  <c r="W79" i="16"/>
  <c r="AE13" i="16"/>
  <c r="L39" i="16"/>
  <c r="E79" i="16"/>
  <c r="S79" i="16"/>
  <c r="C180" i="16"/>
  <c r="C13" i="16" s="1"/>
  <c r="C20" i="16"/>
  <c r="AC20" i="16" s="1"/>
  <c r="AF20" i="16" s="1"/>
  <c r="AG20" i="16" s="1"/>
  <c r="D39" i="16"/>
  <c r="N39" i="16"/>
  <c r="M79" i="16"/>
  <c r="AD65" i="16"/>
  <c r="H39" i="16"/>
  <c r="E39" i="16"/>
  <c r="Q39" i="16"/>
  <c r="AC36" i="16"/>
  <c r="AF36" i="16" s="1"/>
  <c r="AG36" i="16" s="1"/>
  <c r="Y50" i="16"/>
  <c r="D50" i="16"/>
  <c r="R50" i="16"/>
  <c r="K50" i="16"/>
  <c r="H50" i="16"/>
  <c r="G50" i="16"/>
  <c r="U50" i="16"/>
  <c r="J50" i="16"/>
  <c r="B50" i="16"/>
  <c r="V50" i="16"/>
  <c r="C50" i="16"/>
  <c r="Q50" i="16"/>
  <c r="X50" i="16"/>
  <c r="M50" i="16"/>
  <c r="O50" i="16"/>
  <c r="N50" i="16"/>
  <c r="T50" i="16"/>
  <c r="I50" i="16"/>
  <c r="P50" i="16"/>
  <c r="W50" i="16"/>
  <c r="E50" i="16"/>
  <c r="F50" i="16"/>
  <c r="L50" i="16"/>
  <c r="S50" i="16"/>
  <c r="R79" i="16"/>
  <c r="H448" i="13"/>
  <c r="P448" i="13"/>
  <c r="Y130" i="13"/>
  <c r="AE130" i="13" s="1"/>
  <c r="Y448" i="13"/>
  <c r="I222" i="13"/>
  <c r="Q222" i="13"/>
  <c r="Y222" i="13"/>
  <c r="I448" i="13"/>
  <c r="Q448" i="13"/>
  <c r="B222" i="13"/>
  <c r="J222" i="13"/>
  <c r="R222" i="13"/>
  <c r="B448" i="13"/>
  <c r="J448" i="13"/>
  <c r="R448" i="13"/>
  <c r="C222" i="13"/>
  <c r="K222" i="13"/>
  <c r="S222" i="13"/>
  <c r="X448" i="13"/>
  <c r="C448" i="13"/>
  <c r="K448" i="13"/>
  <c r="S448" i="13"/>
  <c r="D222" i="13"/>
  <c r="L222" i="13"/>
  <c r="T222" i="13"/>
  <c r="D448" i="13"/>
  <c r="L448" i="13"/>
  <c r="T448" i="13"/>
  <c r="E222" i="13"/>
  <c r="M222" i="13"/>
  <c r="U222" i="13"/>
  <c r="E448" i="13"/>
  <c r="M448" i="13"/>
  <c r="U448" i="13"/>
  <c r="F222" i="13"/>
  <c r="N222" i="13"/>
  <c r="V222" i="13"/>
  <c r="F448" i="13"/>
  <c r="N448" i="13"/>
  <c r="V448" i="13"/>
  <c r="G222" i="13"/>
  <c r="O222" i="13"/>
  <c r="W222" i="13"/>
  <c r="B373" i="13"/>
  <c r="G448" i="13"/>
  <c r="O448" i="13"/>
  <c r="W448" i="13"/>
  <c r="H222" i="13"/>
  <c r="P222" i="13"/>
  <c r="X222" i="13"/>
  <c r="C373" i="13"/>
  <c r="K373" i="13"/>
  <c r="S373" i="13"/>
  <c r="D373" i="13"/>
  <c r="L373" i="13"/>
  <c r="T373" i="13"/>
  <c r="E373" i="13"/>
  <c r="M373" i="13"/>
  <c r="U373" i="13"/>
  <c r="F373" i="13"/>
  <c r="N373" i="13"/>
  <c r="V373" i="13"/>
  <c r="G373" i="13"/>
  <c r="O373" i="13"/>
  <c r="W373" i="13"/>
  <c r="H373" i="13"/>
  <c r="P373" i="13"/>
  <c r="X373" i="13"/>
  <c r="I373" i="13"/>
  <c r="Q373" i="13"/>
  <c r="Y373" i="13"/>
  <c r="J373" i="13"/>
  <c r="R373" i="13"/>
  <c r="M297" i="13"/>
  <c r="U297" i="13"/>
  <c r="Z20" i="13"/>
  <c r="H22" i="13"/>
  <c r="P22" i="13"/>
  <c r="Z31" i="13"/>
  <c r="I41" i="13"/>
  <c r="Q41" i="13"/>
  <c r="Y41" i="13"/>
  <c r="AE41" i="13" s="1"/>
  <c r="N297" i="13"/>
  <c r="V297" i="13"/>
  <c r="Z59" i="13"/>
  <c r="O297" i="13"/>
  <c r="O294" i="13"/>
  <c r="W297" i="13"/>
  <c r="P297" i="13"/>
  <c r="X297" i="13"/>
  <c r="Q297" i="13"/>
  <c r="Y297" i="13"/>
  <c r="R297" i="13"/>
  <c r="K297" i="13"/>
  <c r="S297" i="13"/>
  <c r="L297" i="13"/>
  <c r="T297" i="13"/>
  <c r="E297" i="13"/>
  <c r="F297" i="13"/>
  <c r="G297" i="13"/>
  <c r="H297" i="13"/>
  <c r="I297" i="13"/>
  <c r="B297" i="13"/>
  <c r="J297" i="13"/>
  <c r="C297" i="13"/>
  <c r="D297" i="13"/>
  <c r="Z61" i="13"/>
  <c r="D85" i="17"/>
  <c r="L85" i="17"/>
  <c r="T85" i="17"/>
  <c r="F87" i="17"/>
  <c r="N87" i="17"/>
  <c r="V87" i="17"/>
  <c r="G88" i="17"/>
  <c r="O88" i="17"/>
  <c r="W88" i="17"/>
  <c r="H89" i="17"/>
  <c r="P89" i="17"/>
  <c r="X89" i="17"/>
  <c r="F93" i="17"/>
  <c r="N93" i="17"/>
  <c r="V93" i="17"/>
  <c r="E85" i="17"/>
  <c r="M85" i="17"/>
  <c r="U85" i="17"/>
  <c r="G87" i="17"/>
  <c r="O87" i="17"/>
  <c r="W87" i="17"/>
  <c r="Y89" i="17"/>
  <c r="G93" i="17"/>
  <c r="O93" i="17"/>
  <c r="W93" i="17"/>
  <c r="F85" i="17"/>
  <c r="N85" i="17"/>
  <c r="V85" i="17"/>
  <c r="H87" i="17"/>
  <c r="P87" i="17"/>
  <c r="X87" i="17"/>
  <c r="I88" i="17"/>
  <c r="Q88" i="17"/>
  <c r="Y88" i="17"/>
  <c r="J89" i="17"/>
  <c r="R89" i="17"/>
  <c r="H93" i="17"/>
  <c r="P93" i="17"/>
  <c r="X93" i="17"/>
  <c r="G85" i="17"/>
  <c r="O85" i="17"/>
  <c r="W85" i="17"/>
  <c r="I87" i="17"/>
  <c r="Q87" i="17"/>
  <c r="Y87" i="17"/>
  <c r="I93" i="17"/>
  <c r="Q93" i="17"/>
  <c r="Y93" i="17"/>
  <c r="H85" i="17"/>
  <c r="P85" i="17"/>
  <c r="X85" i="17"/>
  <c r="I85" i="17"/>
  <c r="Q85" i="17"/>
  <c r="Y85" i="17"/>
  <c r="C87" i="17"/>
  <c r="K87" i="17"/>
  <c r="S87" i="17"/>
  <c r="R94" i="17"/>
  <c r="J94" i="17"/>
  <c r="B94" i="17"/>
  <c r="Y94" i="17"/>
  <c r="Q94" i="17"/>
  <c r="I94" i="17"/>
  <c r="X94" i="17"/>
  <c r="P94" i="17"/>
  <c r="H94" i="17"/>
  <c r="W94" i="17"/>
  <c r="O94" i="17"/>
  <c r="G94" i="17"/>
  <c r="V94" i="17"/>
  <c r="N94" i="17"/>
  <c r="F94" i="17"/>
  <c r="U94" i="17"/>
  <c r="M94" i="17"/>
  <c r="E94" i="17"/>
  <c r="T94" i="17"/>
  <c r="L94" i="17"/>
  <c r="D94" i="17"/>
  <c r="S94" i="17"/>
  <c r="K94" i="17"/>
  <c r="C94" i="17"/>
  <c r="W84" i="17"/>
  <c r="J85" i="17"/>
  <c r="R85" i="17"/>
  <c r="D87" i="17"/>
  <c r="L87" i="17"/>
  <c r="E88" i="17"/>
  <c r="M88" i="17"/>
  <c r="U88" i="17"/>
  <c r="F89" i="17"/>
  <c r="N89" i="17"/>
  <c r="V89" i="17"/>
  <c r="Y92" i="17"/>
  <c r="D93" i="17"/>
  <c r="L93" i="17"/>
  <c r="T93" i="17"/>
  <c r="L76" i="4"/>
  <c r="N76" i="4" s="1"/>
  <c r="H89" i="4"/>
  <c r="H98" i="4"/>
  <c r="L75" i="4"/>
  <c r="N75" i="4" s="1"/>
  <c r="H25" i="6"/>
  <c r="L12" i="6"/>
  <c r="N12" i="6" s="1"/>
  <c r="G25" i="6"/>
  <c r="I29" i="6"/>
  <c r="L13" i="6"/>
  <c r="N13" i="6" s="1"/>
  <c r="G29" i="6"/>
  <c r="H55" i="6"/>
  <c r="I59" i="6"/>
  <c r="L48" i="6"/>
  <c r="N48" i="6" s="1"/>
  <c r="G59" i="6"/>
  <c r="I69" i="11"/>
  <c r="F69" i="11"/>
  <c r="D84" i="9"/>
  <c r="G66" i="9"/>
  <c r="I66" i="9" s="1"/>
  <c r="AC48" i="17"/>
  <c r="AC56" i="17"/>
  <c r="C78" i="17"/>
  <c r="K78" i="17"/>
  <c r="S78" i="17"/>
  <c r="H96" i="17"/>
  <c r="P97" i="17"/>
  <c r="M98" i="17"/>
  <c r="AF25" i="18"/>
  <c r="D56" i="18"/>
  <c r="L79" i="4"/>
  <c r="N79" i="4" s="1"/>
  <c r="H47" i="11"/>
  <c r="F47" i="11"/>
  <c r="AD11" i="17"/>
  <c r="AD30" i="17"/>
  <c r="AE30" i="17"/>
  <c r="AD40" i="17"/>
  <c r="AD53" i="17"/>
  <c r="D78" i="17"/>
  <c r="L78" i="17"/>
  <c r="T78" i="17"/>
  <c r="T84" i="17"/>
  <c r="T87" i="17"/>
  <c r="T88" i="17"/>
  <c r="T89" i="17"/>
  <c r="T92" i="17"/>
  <c r="L96" i="17"/>
  <c r="T97" i="17"/>
  <c r="P98" i="17"/>
  <c r="T54" i="18"/>
  <c r="T56" i="18"/>
  <c r="I21" i="11"/>
  <c r="F21" i="11"/>
  <c r="L78" i="4"/>
  <c r="N78" i="4" s="1"/>
  <c r="B39" i="6"/>
  <c r="F39" i="6" s="1"/>
  <c r="F13" i="6"/>
  <c r="H35" i="6"/>
  <c r="F35" i="6"/>
  <c r="I48" i="6"/>
  <c r="L50" i="6"/>
  <c r="N50" i="6" s="1"/>
  <c r="G48" i="6"/>
  <c r="I27" i="11"/>
  <c r="L16" i="11"/>
  <c r="N16" i="11" s="1"/>
  <c r="G27" i="11"/>
  <c r="I31" i="11"/>
  <c r="L17" i="11"/>
  <c r="N17" i="11" s="1"/>
  <c r="G31" i="11"/>
  <c r="I75" i="11"/>
  <c r="G75" i="11"/>
  <c r="AD48" i="17"/>
  <c r="AD56" i="17"/>
  <c r="E78" i="17"/>
  <c r="M78" i="17"/>
  <c r="U78" i="17"/>
  <c r="P96" i="17"/>
  <c r="X97" i="17"/>
  <c r="Q98" i="17"/>
  <c r="M50" i="18"/>
  <c r="I67" i="11"/>
  <c r="F67" i="11"/>
  <c r="I104" i="4"/>
  <c r="L77" i="4"/>
  <c r="N77" i="4" s="1"/>
  <c r="C39" i="6"/>
  <c r="L15" i="6"/>
  <c r="N15" i="6" s="1"/>
  <c r="G13" i="6"/>
  <c r="I35" i="6"/>
  <c r="H71" i="11"/>
  <c r="F71" i="11"/>
  <c r="C58" i="9"/>
  <c r="D58" i="9" s="1"/>
  <c r="AD319" i="13"/>
  <c r="AG319" i="13" s="1"/>
  <c r="D472" i="13" s="1"/>
  <c r="AC26" i="17"/>
  <c r="F78" i="17"/>
  <c r="N78" i="17"/>
  <c r="V78" i="17"/>
  <c r="T96" i="17"/>
  <c r="D98" i="17"/>
  <c r="T98" i="17"/>
  <c r="H12" i="11"/>
  <c r="L13" i="11"/>
  <c r="N13" i="11" s="1"/>
  <c r="G12" i="11"/>
  <c r="G42" i="10"/>
  <c r="I42" i="10" s="1"/>
  <c r="E42" i="10"/>
  <c r="AD20" i="17"/>
  <c r="AF20" i="17" s="1"/>
  <c r="AG20" i="17" s="1"/>
  <c r="G78" i="17"/>
  <c r="O78" i="17"/>
  <c r="W78" i="17"/>
  <c r="X96" i="17"/>
  <c r="E98" i="17"/>
  <c r="U98" i="17"/>
  <c r="AF24" i="18"/>
  <c r="AF26" i="18"/>
  <c r="AF37" i="18"/>
  <c r="AF40" i="18"/>
  <c r="AE26" i="17"/>
  <c r="AD74" i="17"/>
  <c r="AF74" i="17" s="1"/>
  <c r="AG74" i="17" s="1"/>
  <c r="AE74" i="17"/>
  <c r="H78" i="17"/>
  <c r="P78" i="17"/>
  <c r="X78" i="17"/>
  <c r="D97" i="17"/>
  <c r="H98" i="17"/>
  <c r="X98" i="17"/>
  <c r="X54" i="18"/>
  <c r="AG13" i="18"/>
  <c r="H25" i="11"/>
  <c r="F25" i="11"/>
  <c r="H37" i="6"/>
  <c r="F37" i="6"/>
  <c r="L15" i="11"/>
  <c r="N15" i="11" s="1"/>
  <c r="G21" i="11"/>
  <c r="I25" i="11"/>
  <c r="L12" i="11"/>
  <c r="N12" i="11" s="1"/>
  <c r="G41" i="11"/>
  <c r="I73" i="11"/>
  <c r="F73" i="11"/>
  <c r="X22" i="13"/>
  <c r="I78" i="17"/>
  <c r="Q78" i="17"/>
  <c r="Y78" i="17"/>
  <c r="AE78" i="17" s="1"/>
  <c r="H97" i="17"/>
  <c r="I98" i="17"/>
  <c r="Y98" i="17"/>
  <c r="I50" i="18"/>
  <c r="Q50" i="18"/>
  <c r="Y50" i="18"/>
  <c r="AE50" i="18" s="1"/>
  <c r="L14" i="11"/>
  <c r="N14" i="11" s="1"/>
  <c r="G49" i="11"/>
  <c r="I93" i="4"/>
  <c r="I33" i="6"/>
  <c r="F33" i="6"/>
  <c r="L47" i="6"/>
  <c r="N47" i="6" s="1"/>
  <c r="G55" i="6"/>
  <c r="H54" i="11"/>
  <c r="L11" i="11"/>
  <c r="N11" i="11" s="1"/>
  <c r="G54" i="11"/>
  <c r="AC11" i="17"/>
  <c r="AF11" i="17" s="1"/>
  <c r="AG11" i="17" s="1"/>
  <c r="AC30" i="17"/>
  <c r="AF30" i="17" s="1"/>
  <c r="AC40" i="17"/>
  <c r="AF40" i="17" s="1"/>
  <c r="AC53" i="17"/>
  <c r="AF53" i="17" s="1"/>
  <c r="AG53" i="17" s="1"/>
  <c r="B78" i="17"/>
  <c r="J78" i="17"/>
  <c r="R78" i="17"/>
  <c r="B84" i="17"/>
  <c r="B85" i="17"/>
  <c r="B87" i="17"/>
  <c r="B88" i="17"/>
  <c r="B89" i="17"/>
  <c r="B91" i="17"/>
  <c r="B92" i="17"/>
  <c r="B93" i="17"/>
  <c r="D96" i="17"/>
  <c r="L97" i="17"/>
  <c r="L98" i="17"/>
  <c r="B100" i="17"/>
  <c r="D24" i="7"/>
  <c r="G31" i="20"/>
  <c r="H112" i="19"/>
  <c r="D20" i="7"/>
  <c r="D28" i="7"/>
  <c r="D39" i="7"/>
  <c r="D33" i="7"/>
  <c r="D11" i="7"/>
  <c r="D49" i="7"/>
  <c r="D90" i="8"/>
  <c r="I75" i="8"/>
  <c r="D28" i="8"/>
  <c r="E88" i="7"/>
  <c r="D75" i="7"/>
  <c r="E75" i="7"/>
  <c r="D84" i="7"/>
  <c r="E84" i="7"/>
  <c r="D103" i="7"/>
  <c r="E103" i="7"/>
  <c r="D92" i="7"/>
  <c r="E92" i="7"/>
  <c r="D97" i="7"/>
  <c r="E97" i="7"/>
  <c r="D113" i="7"/>
  <c r="E54" i="18"/>
  <c r="I54" i="18"/>
  <c r="M54" i="18"/>
  <c r="Q54" i="18"/>
  <c r="U54" i="18"/>
  <c r="AD23" i="18"/>
  <c r="H56" i="18"/>
  <c r="X56" i="18"/>
  <c r="B54" i="18"/>
  <c r="F54" i="18"/>
  <c r="J54" i="18"/>
  <c r="N54" i="18"/>
  <c r="R54" i="18"/>
  <c r="V54" i="18"/>
  <c r="AF17" i="18"/>
  <c r="AG17" i="18" s="1"/>
  <c r="AF19" i="18"/>
  <c r="Z23" i="18"/>
  <c r="P57" i="18" s="1"/>
  <c r="AG28" i="18"/>
  <c r="E60" i="18"/>
  <c r="I60" i="18"/>
  <c r="M60" i="18"/>
  <c r="Q60" i="18"/>
  <c r="AD33" i="18"/>
  <c r="AF35" i="18"/>
  <c r="AG35" i="18" s="1"/>
  <c r="AF36" i="18"/>
  <c r="AC38" i="18"/>
  <c r="AG43" i="18"/>
  <c r="AF44" i="18"/>
  <c r="AF47" i="18"/>
  <c r="L56" i="18"/>
  <c r="C54" i="18"/>
  <c r="G54" i="18"/>
  <c r="K54" i="18"/>
  <c r="O54" i="18"/>
  <c r="S54" i="18"/>
  <c r="W54" i="18"/>
  <c r="AF18" i="18"/>
  <c r="AG20" i="18"/>
  <c r="AF22" i="18"/>
  <c r="F60" i="18"/>
  <c r="J60" i="18"/>
  <c r="N60" i="18"/>
  <c r="R60" i="18"/>
  <c r="V60" i="18"/>
  <c r="AG37" i="18"/>
  <c r="Z38" i="18"/>
  <c r="J61" i="18" s="1"/>
  <c r="P56" i="18"/>
  <c r="T57" i="18"/>
  <c r="X57" i="18"/>
  <c r="K57" i="18"/>
  <c r="W57" i="18"/>
  <c r="H50" i="18"/>
  <c r="P50" i="18"/>
  <c r="X50" i="18"/>
  <c r="AG18" i="18"/>
  <c r="AG22" i="18"/>
  <c r="B60" i="18"/>
  <c r="AC33" i="18"/>
  <c r="X60" i="18"/>
  <c r="P60" i="18"/>
  <c r="H60" i="18"/>
  <c r="T60" i="18"/>
  <c r="L60" i="18"/>
  <c r="D60" i="18"/>
  <c r="AF42" i="18"/>
  <c r="AG42" i="18" s="1"/>
  <c r="C57" i="18"/>
  <c r="O57" i="18"/>
  <c r="L50" i="18"/>
  <c r="T50" i="18"/>
  <c r="AC11" i="18"/>
  <c r="AG12" i="18"/>
  <c r="AF14" i="18"/>
  <c r="AG14" i="18" s="1"/>
  <c r="W55" i="18"/>
  <c r="S55" i="18"/>
  <c r="O55" i="18"/>
  <c r="K55" i="18"/>
  <c r="G55" i="18"/>
  <c r="C55" i="18"/>
  <c r="X55" i="18"/>
  <c r="P55" i="18"/>
  <c r="L55" i="18"/>
  <c r="D55" i="18"/>
  <c r="V55" i="18"/>
  <c r="R55" i="18"/>
  <c r="N55" i="18"/>
  <c r="J55" i="18"/>
  <c r="F55" i="18"/>
  <c r="B55" i="18"/>
  <c r="Y55" i="18"/>
  <c r="U55" i="18"/>
  <c r="Q55" i="18"/>
  <c r="M55" i="18"/>
  <c r="I55" i="18"/>
  <c r="E55" i="18"/>
  <c r="T55" i="18"/>
  <c r="H55" i="18"/>
  <c r="E57" i="18"/>
  <c r="I57" i="18"/>
  <c r="M57" i="18"/>
  <c r="Q57" i="18"/>
  <c r="AG24" i="18"/>
  <c r="C60" i="18"/>
  <c r="G60" i="18"/>
  <c r="K60" i="18"/>
  <c r="O60" i="18"/>
  <c r="S60" i="18"/>
  <c r="W60" i="18"/>
  <c r="D61" i="18"/>
  <c r="L61" i="18"/>
  <c r="P61" i="18"/>
  <c r="AC41" i="18"/>
  <c r="AD41" i="18"/>
  <c r="AG44" i="18"/>
  <c r="AG45" i="18"/>
  <c r="AG47" i="18"/>
  <c r="G57" i="18"/>
  <c r="S57" i="18"/>
  <c r="D50" i="18"/>
  <c r="AF16" i="18"/>
  <c r="AG16" i="18" s="1"/>
  <c r="B57" i="18"/>
  <c r="AC23" i="18"/>
  <c r="AF23" i="18" s="1"/>
  <c r="F57" i="18"/>
  <c r="J57" i="18"/>
  <c r="N57" i="18"/>
  <c r="R57" i="18"/>
  <c r="V57" i="18"/>
  <c r="AG25" i="18"/>
  <c r="AG26" i="18"/>
  <c r="AF27" i="18"/>
  <c r="AG27" i="18" s="1"/>
  <c r="AF30" i="18"/>
  <c r="AG30" i="18" s="1"/>
  <c r="AF32" i="18"/>
  <c r="AG32" i="18" s="1"/>
  <c r="E61" i="18"/>
  <c r="I61" i="18"/>
  <c r="Q61" i="18"/>
  <c r="Y61" i="18"/>
  <c r="AF39" i="18"/>
  <c r="AG39" i="18" s="1"/>
  <c r="AG40" i="18"/>
  <c r="Z41" i="18"/>
  <c r="Z50" i="18" s="1"/>
  <c r="AA50" i="18" s="1"/>
  <c r="AD11" i="18"/>
  <c r="AE38" i="18"/>
  <c r="AF38" i="18" s="1"/>
  <c r="AG38" i="18" s="1"/>
  <c r="AE41" i="18"/>
  <c r="B50" i="18"/>
  <c r="F50" i="18"/>
  <c r="J50" i="18"/>
  <c r="N50" i="18"/>
  <c r="R50" i="18"/>
  <c r="V50" i="18"/>
  <c r="Y54" i="18"/>
  <c r="E56" i="18"/>
  <c r="I56" i="18"/>
  <c r="M56" i="18"/>
  <c r="Q56" i="18"/>
  <c r="U56" i="18"/>
  <c r="Y56" i="18"/>
  <c r="U57" i="18"/>
  <c r="Y57" i="18"/>
  <c r="U60" i="18"/>
  <c r="Y60" i="18"/>
  <c r="AF29" i="18"/>
  <c r="AG29" i="18" s="1"/>
  <c r="AF46" i="18"/>
  <c r="AG46" i="18" s="1"/>
  <c r="C50" i="18"/>
  <c r="G50" i="18"/>
  <c r="G65" i="18" s="1"/>
  <c r="K50" i="18"/>
  <c r="O50" i="18"/>
  <c r="S50" i="18"/>
  <c r="W50" i="18"/>
  <c r="B56" i="18"/>
  <c r="F56" i="18"/>
  <c r="J56" i="18"/>
  <c r="N56" i="18"/>
  <c r="R56" i="18"/>
  <c r="V56" i="18"/>
  <c r="B61" i="18"/>
  <c r="AF21" i="18"/>
  <c r="AG21" i="18" s="1"/>
  <c r="AF31" i="18"/>
  <c r="C56" i="18"/>
  <c r="G56" i="18"/>
  <c r="K56" i="18"/>
  <c r="O56" i="18"/>
  <c r="S56" i="18"/>
  <c r="AF240" i="16"/>
  <c r="AG240" i="16" s="1"/>
  <c r="G122" i="16"/>
  <c r="G123" i="16" s="1"/>
  <c r="AD239" i="16"/>
  <c r="F164" i="16"/>
  <c r="G163" i="16"/>
  <c r="AG40" i="17"/>
  <c r="AG72" i="17"/>
  <c r="B98" i="17"/>
  <c r="F98" i="17"/>
  <c r="J98" i="17"/>
  <c r="N98" i="17"/>
  <c r="R98" i="17"/>
  <c r="V98" i="17"/>
  <c r="C98" i="17"/>
  <c r="G98" i="17"/>
  <c r="K98" i="17"/>
  <c r="O98" i="17"/>
  <c r="S98" i="17"/>
  <c r="AG68" i="17"/>
  <c r="E97" i="17"/>
  <c r="I97" i="17"/>
  <c r="M97" i="17"/>
  <c r="Q97" i="17"/>
  <c r="U97" i="17"/>
  <c r="Y97" i="17"/>
  <c r="B97" i="17"/>
  <c r="F97" i="17"/>
  <c r="J97" i="17"/>
  <c r="N97" i="17"/>
  <c r="R97" i="17"/>
  <c r="V97" i="17"/>
  <c r="C97" i="17"/>
  <c r="G97" i="17"/>
  <c r="K97" i="17"/>
  <c r="O97" i="17"/>
  <c r="S97" i="17"/>
  <c r="E96" i="17"/>
  <c r="I96" i="17"/>
  <c r="M96" i="17"/>
  <c r="Q96" i="17"/>
  <c r="U96" i="17"/>
  <c r="Y96" i="17"/>
  <c r="Z78" i="17"/>
  <c r="AA46" i="17" s="1"/>
  <c r="B96" i="17"/>
  <c r="F96" i="17"/>
  <c r="J96" i="17"/>
  <c r="N96" i="17"/>
  <c r="R96" i="17"/>
  <c r="V96" i="17"/>
  <c r="C96" i="17"/>
  <c r="G96" i="17"/>
  <c r="K96" i="17"/>
  <c r="O96" i="17"/>
  <c r="S96" i="17"/>
  <c r="J101" i="17"/>
  <c r="AA43" i="17"/>
  <c r="AG30" i="17"/>
  <c r="AA23" i="17"/>
  <c r="AA11" i="17"/>
  <c r="AA33" i="17"/>
  <c r="P101" i="17"/>
  <c r="AA17" i="17"/>
  <c r="AA36" i="17"/>
  <c r="AA59" i="17"/>
  <c r="AG48" i="18"/>
  <c r="AG19" i="18"/>
  <c r="AG31" i="18"/>
  <c r="AG23" i="18"/>
  <c r="AA19" i="18"/>
  <c r="AA21" i="18"/>
  <c r="Y65" i="18"/>
  <c r="AD50" i="18"/>
  <c r="F175" i="15"/>
  <c r="G174" i="15"/>
  <c r="B62" i="15"/>
  <c r="O62" i="15"/>
  <c r="H62" i="15"/>
  <c r="J62" i="15"/>
  <c r="X62" i="15"/>
  <c r="K62" i="15"/>
  <c r="E62" i="15"/>
  <c r="F62" i="15"/>
  <c r="Q62" i="15"/>
  <c r="M62" i="15"/>
  <c r="T62" i="15"/>
  <c r="G62" i="15"/>
  <c r="R62" i="15"/>
  <c r="U62" i="15"/>
  <c r="S62" i="15"/>
  <c r="V62" i="15"/>
  <c r="I62" i="15"/>
  <c r="L62" i="15"/>
  <c r="W62" i="15"/>
  <c r="N62" i="15"/>
  <c r="C62" i="15"/>
  <c r="P62" i="15"/>
  <c r="D62" i="15"/>
  <c r="Y62" i="15"/>
  <c r="E58" i="15"/>
  <c r="J58" i="15"/>
  <c r="L119" i="15"/>
  <c r="W119" i="15"/>
  <c r="R119" i="15"/>
  <c r="T119" i="15"/>
  <c r="D119" i="15"/>
  <c r="J119" i="15"/>
  <c r="X119" i="15"/>
  <c r="H119" i="15"/>
  <c r="O119" i="15"/>
  <c r="N119" i="15"/>
  <c r="S119" i="15"/>
  <c r="G119" i="15"/>
  <c r="K119" i="15"/>
  <c r="B119" i="15"/>
  <c r="P119" i="15"/>
  <c r="C119" i="15"/>
  <c r="F119" i="15"/>
  <c r="Y119" i="15"/>
  <c r="I119" i="15"/>
  <c r="U119" i="15"/>
  <c r="V119" i="15"/>
  <c r="M119" i="15"/>
  <c r="E119" i="15"/>
  <c r="Q119" i="15"/>
  <c r="E109" i="15"/>
  <c r="I58" i="15"/>
  <c r="AE109" i="15"/>
  <c r="P73" i="15"/>
  <c r="S73" i="15"/>
  <c r="M73" i="15"/>
  <c r="X73" i="15"/>
  <c r="H73" i="15"/>
  <c r="L73" i="15"/>
  <c r="W73" i="15"/>
  <c r="G73" i="15"/>
  <c r="Y73" i="15"/>
  <c r="I73" i="15"/>
  <c r="O73" i="15"/>
  <c r="Q73" i="15"/>
  <c r="B73" i="15"/>
  <c r="E73" i="15"/>
  <c r="K73" i="15"/>
  <c r="U73" i="15"/>
  <c r="T73" i="15"/>
  <c r="D73" i="15"/>
  <c r="R73" i="15"/>
  <c r="J73" i="15"/>
  <c r="C73" i="15"/>
  <c r="F73" i="15"/>
  <c r="V73" i="15"/>
  <c r="N73" i="15"/>
  <c r="F58" i="15"/>
  <c r="F109" i="15"/>
  <c r="G226" i="15"/>
  <c r="H225" i="15"/>
  <c r="N58" i="15"/>
  <c r="I109" i="15"/>
  <c r="AD131" i="14"/>
  <c r="AE138" i="14"/>
  <c r="AE91" i="14"/>
  <c r="AE119" i="14"/>
  <c r="AE131" i="14"/>
  <c r="AE13" i="14"/>
  <c r="AE22" i="14"/>
  <c r="AE26" i="14"/>
  <c r="Z367" i="14"/>
  <c r="J386" i="14" s="1"/>
  <c r="F297" i="14"/>
  <c r="G296" i="14"/>
  <c r="E222" i="14"/>
  <c r="F221" i="14"/>
  <c r="L417" i="14"/>
  <c r="L113" i="14" s="1"/>
  <c r="D20" i="10"/>
  <c r="D49" i="10"/>
  <c r="G44" i="10"/>
  <c r="I44" i="10" s="1"/>
  <c r="B119" i="13"/>
  <c r="F119" i="13"/>
  <c r="N119" i="13"/>
  <c r="R119" i="13"/>
  <c r="E130" i="13"/>
  <c r="M130" i="13"/>
  <c r="Q130" i="13"/>
  <c r="J119" i="13"/>
  <c r="V119" i="13"/>
  <c r="I130" i="13"/>
  <c r="U130" i="13"/>
  <c r="V81" i="13"/>
  <c r="Q81" i="13"/>
  <c r="J81" i="13"/>
  <c r="K81" i="13"/>
  <c r="M81" i="13"/>
  <c r="P81" i="13"/>
  <c r="B81" i="13"/>
  <c r="O81" i="13"/>
  <c r="F81" i="13"/>
  <c r="D81" i="13"/>
  <c r="T81" i="13"/>
  <c r="N81" i="13"/>
  <c r="G81" i="13"/>
  <c r="E81" i="13"/>
  <c r="I81" i="13"/>
  <c r="C81" i="13"/>
  <c r="S81" i="13"/>
  <c r="Y81" i="13"/>
  <c r="R81" i="13"/>
  <c r="H81" i="13"/>
  <c r="X81" i="13"/>
  <c r="U81" i="13"/>
  <c r="W81" i="13"/>
  <c r="L81" i="13"/>
  <c r="AE51" i="13"/>
  <c r="Z129" i="13"/>
  <c r="Z121" i="13"/>
  <c r="Z50" i="13"/>
  <c r="D53" i="13"/>
  <c r="H53" i="13"/>
  <c r="L53" i="13"/>
  <c r="P53" i="13"/>
  <c r="T53" i="13"/>
  <c r="Z56" i="13"/>
  <c r="D445" i="13"/>
  <c r="L445" i="13"/>
  <c r="T445" i="13"/>
  <c r="Z94" i="13"/>
  <c r="Z98" i="13"/>
  <c r="Z103" i="13"/>
  <c r="B108" i="13"/>
  <c r="F108" i="13"/>
  <c r="J108" i="13"/>
  <c r="N108" i="13"/>
  <c r="R108" i="13"/>
  <c r="V108" i="13"/>
  <c r="Z109" i="13"/>
  <c r="B113" i="13"/>
  <c r="F113" i="13"/>
  <c r="J113" i="13"/>
  <c r="N113" i="13"/>
  <c r="R113" i="13"/>
  <c r="V113" i="13"/>
  <c r="Z114" i="13"/>
  <c r="X53" i="13"/>
  <c r="Z17" i="13"/>
  <c r="Z21" i="13"/>
  <c r="Z27" i="13"/>
  <c r="C30" i="13"/>
  <c r="G30" i="13"/>
  <c r="K30" i="13"/>
  <c r="O30" i="13"/>
  <c r="S30" i="13"/>
  <c r="W30" i="13"/>
  <c r="Z32" i="13"/>
  <c r="C35" i="13"/>
  <c r="G35" i="13"/>
  <c r="K35" i="13"/>
  <c r="O35" i="13"/>
  <c r="S35" i="13"/>
  <c r="W35" i="13"/>
  <c r="Z37" i="13"/>
  <c r="J41" i="13"/>
  <c r="N41" i="13"/>
  <c r="R41" i="13"/>
  <c r="V41" i="13"/>
  <c r="E119" i="13"/>
  <c r="I119" i="13"/>
  <c r="M119" i="13"/>
  <c r="Q119" i="13"/>
  <c r="U119" i="13"/>
  <c r="Y119" i="13"/>
  <c r="D130" i="13"/>
  <c r="H130" i="13"/>
  <c r="L130" i="13"/>
  <c r="P130" i="13"/>
  <c r="T130" i="13"/>
  <c r="Z52" i="13"/>
  <c r="Z95" i="13"/>
  <c r="Z99" i="13"/>
  <c r="B104" i="13"/>
  <c r="F104" i="13"/>
  <c r="J104" i="13"/>
  <c r="N104" i="13"/>
  <c r="R104" i="13"/>
  <c r="V104" i="13"/>
  <c r="Z105" i="13"/>
  <c r="C108" i="13"/>
  <c r="G108" i="13"/>
  <c r="K108" i="13"/>
  <c r="O108" i="13"/>
  <c r="S108" i="13"/>
  <c r="W108" i="13"/>
  <c r="Z110" i="13"/>
  <c r="C113" i="13"/>
  <c r="G113" i="13"/>
  <c r="K113" i="13"/>
  <c r="O113" i="13"/>
  <c r="S113" i="13"/>
  <c r="W113" i="13"/>
  <c r="Z115" i="13"/>
  <c r="Z14" i="13"/>
  <c r="Z18" i="13"/>
  <c r="Z23" i="13"/>
  <c r="C26" i="13"/>
  <c r="G26" i="13"/>
  <c r="K26" i="13"/>
  <c r="O26" i="13"/>
  <c r="S26" i="13"/>
  <c r="W26" i="13"/>
  <c r="Z28" i="13"/>
  <c r="D30" i="13"/>
  <c r="H30" i="13"/>
  <c r="Z33" i="13"/>
  <c r="C41" i="13"/>
  <c r="G41" i="13"/>
  <c r="K41" i="13"/>
  <c r="O41" i="13"/>
  <c r="S41" i="13"/>
  <c r="W41" i="13"/>
  <c r="Z43" i="13"/>
  <c r="C63" i="10"/>
  <c r="D63" i="10" s="1"/>
  <c r="D24" i="10"/>
  <c r="G14" i="10"/>
  <c r="I14" i="10" s="1"/>
  <c r="C34" i="10"/>
  <c r="D34" i="10" s="1"/>
  <c r="G12" i="10"/>
  <c r="I12" i="10" s="1"/>
  <c r="D37" i="9"/>
  <c r="D20" i="9"/>
  <c r="G12" i="9"/>
  <c r="I12" i="9" s="1"/>
  <c r="D11" i="8"/>
  <c r="D49" i="8"/>
  <c r="D24" i="8"/>
  <c r="D82" i="8"/>
  <c r="B124" i="8"/>
  <c r="D124" i="8" s="1"/>
  <c r="D73" i="8"/>
  <c r="D101" i="8"/>
  <c r="D95" i="8"/>
  <c r="B65" i="8"/>
  <c r="D65" i="8" s="1"/>
  <c r="D39" i="8"/>
  <c r="D86" i="8"/>
  <c r="D20" i="8"/>
  <c r="D33" i="8"/>
  <c r="G12" i="12"/>
  <c r="L12" i="12"/>
  <c r="N12" i="12" s="1"/>
  <c r="F22" i="5"/>
  <c r="R13" i="5"/>
  <c r="T13" i="5" s="1"/>
  <c r="F39" i="5"/>
  <c r="R12" i="5"/>
  <c r="T12" i="5" s="1"/>
  <c r="I41" i="4"/>
  <c r="G22" i="4"/>
  <c r="H35" i="4"/>
  <c r="G13" i="4"/>
  <c r="G51" i="4"/>
  <c r="H59" i="6"/>
  <c r="H29" i="6"/>
  <c r="H48" i="6"/>
  <c r="I12" i="11"/>
  <c r="H31" i="11"/>
  <c r="I41" i="11"/>
  <c r="I47" i="11"/>
  <c r="H49" i="11"/>
  <c r="H57" i="11"/>
  <c r="H21" i="11"/>
  <c r="H27" i="11"/>
  <c r="H41" i="11"/>
  <c r="I49" i="11"/>
  <c r="I54" i="11"/>
  <c r="I57" i="11"/>
  <c r="I71" i="11"/>
  <c r="H73" i="11"/>
  <c r="H67" i="11"/>
  <c r="H69" i="11"/>
  <c r="H75" i="11"/>
  <c r="I46" i="12"/>
  <c r="G46" i="12"/>
  <c r="H46" i="12"/>
  <c r="I38" i="12"/>
  <c r="G38" i="12"/>
  <c r="H12" i="12"/>
  <c r="I28" i="12"/>
  <c r="G28" i="12"/>
  <c r="I43" i="12"/>
  <c r="G43" i="12"/>
  <c r="H28" i="12"/>
  <c r="H43" i="12"/>
  <c r="H38" i="12"/>
  <c r="H69" i="5"/>
  <c r="G69" i="5"/>
  <c r="H76" i="5"/>
  <c r="G76" i="5"/>
  <c r="I80" i="5"/>
  <c r="G80" i="5"/>
  <c r="H54" i="5"/>
  <c r="F54" i="5"/>
  <c r="I72" i="5"/>
  <c r="G72" i="5"/>
  <c r="I87" i="5"/>
  <c r="G87" i="5"/>
  <c r="I52" i="5"/>
  <c r="F52" i="5"/>
  <c r="H84" i="5"/>
  <c r="G84" i="5"/>
  <c r="H47" i="5"/>
  <c r="I16" i="5"/>
  <c r="I44" i="5"/>
  <c r="I22" i="5"/>
  <c r="H32" i="5"/>
  <c r="I54" i="5"/>
  <c r="I56" i="5"/>
  <c r="I69" i="5"/>
  <c r="B60" i="5"/>
  <c r="F60" i="5" s="1"/>
  <c r="I30" i="4"/>
  <c r="I76" i="4"/>
  <c r="G76" i="4"/>
  <c r="I85" i="4"/>
  <c r="G85" i="4"/>
  <c r="I98" i="4"/>
  <c r="G98" i="4"/>
  <c r="H104" i="4"/>
  <c r="G104" i="4"/>
  <c r="I116" i="4"/>
  <c r="G116" i="4"/>
  <c r="I89" i="4"/>
  <c r="G89" i="4"/>
  <c r="H93" i="4"/>
  <c r="G93" i="4"/>
  <c r="H22" i="4"/>
  <c r="H51" i="4"/>
  <c r="H54" i="4"/>
  <c r="G54" i="4"/>
  <c r="H13" i="4"/>
  <c r="I35" i="4"/>
  <c r="G35" i="4"/>
  <c r="H41" i="4"/>
  <c r="G41" i="4"/>
  <c r="I54" i="4"/>
  <c r="I22" i="4"/>
  <c r="F22" i="4"/>
  <c r="B67" i="4"/>
  <c r="F67" i="4" s="1"/>
  <c r="F30" i="4"/>
  <c r="H116" i="4"/>
  <c r="I13" i="4"/>
  <c r="F13" i="4"/>
  <c r="C67" i="4"/>
  <c r="G26" i="4"/>
  <c r="H30" i="4"/>
  <c r="G30" i="4"/>
  <c r="I51" i="4"/>
  <c r="H76" i="4"/>
  <c r="AE58" i="15"/>
  <c r="AF336" i="15"/>
  <c r="T332" i="14"/>
  <c r="T26" i="14" s="1"/>
  <c r="S332" i="14"/>
  <c r="S26" i="14" s="1"/>
  <c r="Z369" i="14"/>
  <c r="N387" i="14" s="1"/>
  <c r="AC16" i="15"/>
  <c r="AF245" i="15"/>
  <c r="AF333" i="15"/>
  <c r="Z330" i="15"/>
  <c r="Z99" i="15" s="1"/>
  <c r="Z408" i="14"/>
  <c r="S455" i="14" s="1"/>
  <c r="X404" i="14"/>
  <c r="AD404" i="14" s="1"/>
  <c r="AE332" i="14"/>
  <c r="AF338" i="14"/>
  <c r="AF436" i="14"/>
  <c r="AG436" i="14" s="1"/>
  <c r="J417" i="14"/>
  <c r="J113" i="14" s="1"/>
  <c r="Y417" i="14"/>
  <c r="Y113" i="14" s="1"/>
  <c r="AD435" i="14"/>
  <c r="Z395" i="14"/>
  <c r="O453" i="14" s="1"/>
  <c r="AF416" i="14"/>
  <c r="AG416" i="14" s="1"/>
  <c r="AF419" i="14"/>
  <c r="AG419" i="14" s="1"/>
  <c r="AF420" i="14"/>
  <c r="AG420" i="14" s="1"/>
  <c r="AF421" i="14"/>
  <c r="AG421" i="14" s="1"/>
  <c r="AF422" i="14"/>
  <c r="AG422" i="14" s="1"/>
  <c r="AF323" i="15"/>
  <c r="AG323" i="15" s="1"/>
  <c r="AF329" i="15"/>
  <c r="Z276" i="15"/>
  <c r="Z45" i="15" s="1"/>
  <c r="Z315" i="15"/>
  <c r="Z84" i="15" s="1"/>
  <c r="AF331" i="15"/>
  <c r="AF265" i="15"/>
  <c r="P350" i="15"/>
  <c r="AF255" i="15"/>
  <c r="AG255" i="15" s="1"/>
  <c r="AF281" i="15"/>
  <c r="AF252" i="15"/>
  <c r="AF279" i="15"/>
  <c r="AF337" i="15"/>
  <c r="AF323" i="14"/>
  <c r="AG323" i="14" s="1"/>
  <c r="AC29" i="14"/>
  <c r="AF424" i="14"/>
  <c r="AG424" i="14" s="1"/>
  <c r="AF428" i="14"/>
  <c r="AD136" i="14"/>
  <c r="AF136" i="14" s="1"/>
  <c r="AG136" i="14" s="1"/>
  <c r="AF359" i="14"/>
  <c r="AG359" i="14" s="1"/>
  <c r="AF361" i="14"/>
  <c r="N446" i="14"/>
  <c r="AF430" i="14"/>
  <c r="AF431" i="14"/>
  <c r="AG431" i="14" s="1"/>
  <c r="AF443" i="14"/>
  <c r="AG443" i="14" s="1"/>
  <c r="AC37" i="14"/>
  <c r="AF37" i="14" s="1"/>
  <c r="AG37" i="14" s="1"/>
  <c r="AF349" i="14"/>
  <c r="AG349" i="14" s="1"/>
  <c r="AF350" i="14"/>
  <c r="AG350" i="14" s="1"/>
  <c r="AF351" i="14"/>
  <c r="AG351" i="14" s="1"/>
  <c r="AF353" i="14"/>
  <c r="AG353" i="14" s="1"/>
  <c r="AF405" i="14"/>
  <c r="AF409" i="14"/>
  <c r="AG409" i="14" s="1"/>
  <c r="AF326" i="14"/>
  <c r="AG326" i="14" s="1"/>
  <c r="AF327" i="14"/>
  <c r="AG327" i="14" s="1"/>
  <c r="AF344" i="14"/>
  <c r="AG344" i="14" s="1"/>
  <c r="AF345" i="14"/>
  <c r="AG345" i="14" s="1"/>
  <c r="AF358" i="14"/>
  <c r="AG358" i="14" s="1"/>
  <c r="AF370" i="14"/>
  <c r="AG370" i="14" s="1"/>
  <c r="Z371" i="14"/>
  <c r="J388" i="14" s="1"/>
  <c r="AF372" i="14"/>
  <c r="AG372" i="14" s="1"/>
  <c r="AF400" i="14"/>
  <c r="AC13" i="14"/>
  <c r="AF320" i="14"/>
  <c r="AG320" i="14" s="1"/>
  <c r="AF321" i="14"/>
  <c r="AG321" i="14" s="1"/>
  <c r="U328" i="14"/>
  <c r="U22" i="14" s="1"/>
  <c r="AD22" i="14" s="1"/>
  <c r="AF396" i="14"/>
  <c r="AG396" i="14" s="1"/>
  <c r="AF397" i="14"/>
  <c r="AG397" i="14" s="1"/>
  <c r="AF410" i="14"/>
  <c r="Q417" i="14"/>
  <c r="Q113" i="14" s="1"/>
  <c r="AF445" i="14"/>
  <c r="G341" i="14"/>
  <c r="G35" i="14" s="1"/>
  <c r="AF360" i="14"/>
  <c r="B417" i="14"/>
  <c r="B113" i="14" s="1"/>
  <c r="AF426" i="14"/>
  <c r="W332" i="14"/>
  <c r="W26" i="14" s="1"/>
  <c r="AF29" i="14"/>
  <c r="AG29" i="14" s="1"/>
  <c r="AF340" i="14"/>
  <c r="AG340" i="14" s="1"/>
  <c r="K341" i="14"/>
  <c r="K373" i="14" s="1"/>
  <c r="AC342" i="14"/>
  <c r="AF342" i="14" s="1"/>
  <c r="AG342" i="14" s="1"/>
  <c r="AD347" i="14"/>
  <c r="AC412" i="14"/>
  <c r="AF437" i="14"/>
  <c r="AG437" i="14" s="1"/>
  <c r="AD440" i="14"/>
  <c r="AF440" i="14" s="1"/>
  <c r="AG440" i="14" s="1"/>
  <c r="AE442" i="14"/>
  <c r="F446" i="14"/>
  <c r="AF324" i="14"/>
  <c r="AG324" i="14" s="1"/>
  <c r="AF325" i="14"/>
  <c r="AG325" i="14" s="1"/>
  <c r="AF329" i="14"/>
  <c r="AG329" i="14" s="1"/>
  <c r="AF333" i="14"/>
  <c r="AG333" i="14" s="1"/>
  <c r="AF334" i="14"/>
  <c r="AG334" i="14" s="1"/>
  <c r="AF348" i="14"/>
  <c r="AG348" i="14" s="1"/>
  <c r="AF354" i="14"/>
  <c r="AF362" i="14"/>
  <c r="AF364" i="14"/>
  <c r="AF366" i="14"/>
  <c r="AG366" i="14" s="1"/>
  <c r="AE395" i="14"/>
  <c r="AF403" i="14"/>
  <c r="AG403" i="14" s="1"/>
  <c r="Z415" i="14"/>
  <c r="Z111" i="14" s="1"/>
  <c r="AF425" i="14"/>
  <c r="AG425" i="14" s="1"/>
  <c r="AF432" i="14"/>
  <c r="AG432" i="14" s="1"/>
  <c r="AE435" i="14"/>
  <c r="AE319" i="14"/>
  <c r="AF322" i="14"/>
  <c r="AG322" i="14" s="1"/>
  <c r="AD30" i="14"/>
  <c r="AF337" i="14"/>
  <c r="AG337" i="14" s="1"/>
  <c r="AF339" i="14"/>
  <c r="AG339" i="14" s="1"/>
  <c r="AF346" i="14"/>
  <c r="AG346" i="14" s="1"/>
  <c r="AF352" i="14"/>
  <c r="AF363" i="14"/>
  <c r="AF368" i="14"/>
  <c r="AG368" i="14" s="1"/>
  <c r="AF401" i="14"/>
  <c r="AG401" i="14" s="1"/>
  <c r="AF406" i="14"/>
  <c r="AG406" i="14" s="1"/>
  <c r="AC423" i="14"/>
  <c r="AF444" i="14"/>
  <c r="AF355" i="14"/>
  <c r="AG355" i="14" s="1"/>
  <c r="AF356" i="14"/>
  <c r="AG356" i="14" s="1"/>
  <c r="Q373" i="14"/>
  <c r="AF399" i="14"/>
  <c r="AG399" i="14" s="1"/>
  <c r="AF402" i="14"/>
  <c r="AF411" i="14"/>
  <c r="X412" i="14"/>
  <c r="X108" i="14" s="1"/>
  <c r="Z435" i="14"/>
  <c r="Z131" i="14" s="1"/>
  <c r="Y155" i="14" s="1"/>
  <c r="AF438" i="14"/>
  <c r="Z442" i="14"/>
  <c r="O463" i="14" s="1"/>
  <c r="AF249" i="15"/>
  <c r="AG249" i="15" s="1"/>
  <c r="AF257" i="15"/>
  <c r="AG257" i="15" s="1"/>
  <c r="AF267" i="15"/>
  <c r="AG267" i="15" s="1"/>
  <c r="AF287" i="15"/>
  <c r="AF288" i="15"/>
  <c r="AG288" i="15" s="1"/>
  <c r="AF313" i="15"/>
  <c r="AF319" i="15"/>
  <c r="AF254" i="15"/>
  <c r="AG254" i="15" s="1"/>
  <c r="AF270" i="15"/>
  <c r="AF271" i="15"/>
  <c r="AG271" i="15" s="1"/>
  <c r="AF276" i="15"/>
  <c r="AG276" i="15" s="1"/>
  <c r="AF283" i="15"/>
  <c r="AG283" i="15" s="1"/>
  <c r="AF327" i="15"/>
  <c r="AG327" i="15" s="1"/>
  <c r="AF338" i="15"/>
  <c r="G340" i="15"/>
  <c r="AF263" i="15"/>
  <c r="AG263" i="15" s="1"/>
  <c r="AF264" i="15"/>
  <c r="AG264" i="15" s="1"/>
  <c r="AF258" i="15"/>
  <c r="AF262" i="15"/>
  <c r="AF269" i="15"/>
  <c r="AG269" i="15" s="1"/>
  <c r="S289" i="15"/>
  <c r="P304" i="15"/>
  <c r="AF318" i="15"/>
  <c r="W340" i="15"/>
  <c r="D350" i="15"/>
  <c r="T350" i="15"/>
  <c r="AF251" i="15"/>
  <c r="AF256" i="15"/>
  <c r="AF278" i="15"/>
  <c r="D304" i="15"/>
  <c r="T304" i="15"/>
  <c r="AF316" i="15"/>
  <c r="AF317" i="15"/>
  <c r="AG317" i="15" s="1"/>
  <c r="AF320" i="15"/>
  <c r="AF328" i="15"/>
  <c r="AG328" i="15" s="1"/>
  <c r="AF330" i="15"/>
  <c r="AG330" i="15" s="1"/>
  <c r="AF332" i="15"/>
  <c r="AG332" i="15" s="1"/>
  <c r="AF334" i="15"/>
  <c r="AG334" i="15" s="1"/>
  <c r="AF335" i="15"/>
  <c r="AG335" i="15" s="1"/>
  <c r="K340" i="15"/>
  <c r="H350" i="15"/>
  <c r="X350" i="15"/>
  <c r="L304" i="15"/>
  <c r="S340" i="15"/>
  <c r="AF244" i="15"/>
  <c r="AF248" i="15"/>
  <c r="AG248" i="15" s="1"/>
  <c r="AF250" i="15"/>
  <c r="AF259" i="15"/>
  <c r="AF260" i="15"/>
  <c r="AG260" i="15" s="1"/>
  <c r="AF274" i="15"/>
  <c r="AF275" i="15"/>
  <c r="AG275" i="15" s="1"/>
  <c r="C289" i="15"/>
  <c r="H304" i="15"/>
  <c r="X304" i="15"/>
  <c r="AF314" i="15"/>
  <c r="AF315" i="15"/>
  <c r="AG315" i="15" s="1"/>
  <c r="AF321" i="15"/>
  <c r="AF324" i="15"/>
  <c r="AF325" i="15"/>
  <c r="AG325" i="15" s="1"/>
  <c r="AF326" i="15"/>
  <c r="AG326" i="15" s="1"/>
  <c r="AF339" i="15"/>
  <c r="O340" i="15"/>
  <c r="D349" i="15"/>
  <c r="L350" i="15"/>
  <c r="AF266" i="15"/>
  <c r="AG266" i="15" s="1"/>
  <c r="O58" i="15"/>
  <c r="U16" i="15"/>
  <c r="Z44" i="15"/>
  <c r="Z57" i="15"/>
  <c r="G58" i="15"/>
  <c r="Z42" i="15"/>
  <c r="V301" i="15"/>
  <c r="R301" i="15"/>
  <c r="N301" i="15"/>
  <c r="J301" i="15"/>
  <c r="F301" i="15"/>
  <c r="B301" i="15"/>
  <c r="Y301" i="15"/>
  <c r="U301" i="15"/>
  <c r="Q301" i="15"/>
  <c r="M301" i="15"/>
  <c r="I301" i="15"/>
  <c r="E301" i="15"/>
  <c r="W301" i="15"/>
  <c r="S301" i="15"/>
  <c r="O301" i="15"/>
  <c r="K301" i="15"/>
  <c r="G301" i="15"/>
  <c r="C301" i="15"/>
  <c r="Z55" i="15"/>
  <c r="Z285" i="15"/>
  <c r="B305" i="15" s="1"/>
  <c r="T301" i="15"/>
  <c r="H37" i="15"/>
  <c r="H289" i="15"/>
  <c r="Q37" i="15"/>
  <c r="Q289" i="15"/>
  <c r="U37" i="15"/>
  <c r="U289" i="15"/>
  <c r="AD268" i="15"/>
  <c r="AF272" i="15"/>
  <c r="AG272" i="15" s="1"/>
  <c r="AF273" i="15"/>
  <c r="AG273" i="15" s="1"/>
  <c r="AF277" i="15"/>
  <c r="AF282" i="15"/>
  <c r="B54" i="15"/>
  <c r="B289" i="15"/>
  <c r="AC285" i="15"/>
  <c r="AF285" i="15" s="1"/>
  <c r="AG285" i="15" s="1"/>
  <c r="AF286" i="15"/>
  <c r="AG286" i="15" s="1"/>
  <c r="H301" i="15"/>
  <c r="X301" i="15"/>
  <c r="AF253" i="15"/>
  <c r="AG253" i="15" s="1"/>
  <c r="D301" i="15"/>
  <c r="AF246" i="15"/>
  <c r="Z17" i="15"/>
  <c r="Z247" i="15"/>
  <c r="U294" i="15" s="1"/>
  <c r="Z23" i="15"/>
  <c r="Z253" i="15"/>
  <c r="Z29" i="15"/>
  <c r="Z257" i="15"/>
  <c r="AC261" i="15"/>
  <c r="AF261" i="15" s="1"/>
  <c r="AG261" i="15" s="1"/>
  <c r="AF280" i="15"/>
  <c r="AG280" i="15" s="1"/>
  <c r="AF284" i="15"/>
  <c r="AG284" i="15" s="1"/>
  <c r="K58" i="15"/>
  <c r="W58" i="15"/>
  <c r="L301" i="15"/>
  <c r="AC247" i="15"/>
  <c r="AF247" i="15" s="1"/>
  <c r="AG247" i="15" s="1"/>
  <c r="Z261" i="15"/>
  <c r="Z268" i="15"/>
  <c r="M300" i="15" s="1"/>
  <c r="R289" i="15"/>
  <c r="V289" i="15"/>
  <c r="AE289" i="15"/>
  <c r="C304" i="15"/>
  <c r="G304" i="15"/>
  <c r="K304" i="15"/>
  <c r="O304" i="15"/>
  <c r="S304" i="15"/>
  <c r="W304" i="15"/>
  <c r="Z322" i="15"/>
  <c r="U347" i="15" s="1"/>
  <c r="B340" i="15"/>
  <c r="J340" i="15"/>
  <c r="N340" i="15"/>
  <c r="R340" i="15"/>
  <c r="V340" i="15"/>
  <c r="AE340" i="15"/>
  <c r="O345" i="15"/>
  <c r="C350" i="15"/>
  <c r="G350" i="15"/>
  <c r="K350" i="15"/>
  <c r="O350" i="15"/>
  <c r="S350" i="15"/>
  <c r="W350" i="15"/>
  <c r="AC268" i="15"/>
  <c r="L289" i="15"/>
  <c r="P289" i="15"/>
  <c r="T289" i="15"/>
  <c r="X289" i="15"/>
  <c r="E304" i="15"/>
  <c r="I304" i="15"/>
  <c r="M304" i="15"/>
  <c r="Q304" i="15"/>
  <c r="U304" i="15"/>
  <c r="Y304" i="15"/>
  <c r="AC91" i="15"/>
  <c r="AD91" i="15"/>
  <c r="AC322" i="15"/>
  <c r="D340" i="15"/>
  <c r="H340" i="15"/>
  <c r="L340" i="15"/>
  <c r="P340" i="15"/>
  <c r="T340" i="15"/>
  <c r="X340" i="15"/>
  <c r="M345" i="15"/>
  <c r="E350" i="15"/>
  <c r="I350" i="15"/>
  <c r="M350" i="15"/>
  <c r="Q350" i="15"/>
  <c r="U350" i="15"/>
  <c r="Y350" i="15"/>
  <c r="C340" i="15"/>
  <c r="C341" i="15" s="1"/>
  <c r="D345" i="15"/>
  <c r="M289" i="15"/>
  <c r="B304" i="15"/>
  <c r="F304" i="15"/>
  <c r="J304" i="15"/>
  <c r="N304" i="15"/>
  <c r="R304" i="15"/>
  <c r="V304" i="15"/>
  <c r="AD322" i="15"/>
  <c r="M340" i="15"/>
  <c r="Q340" i="15"/>
  <c r="U340" i="15"/>
  <c r="B345" i="15"/>
  <c r="R345" i="15"/>
  <c r="B347" i="15"/>
  <c r="B350" i="15"/>
  <c r="F350" i="15"/>
  <c r="J350" i="15"/>
  <c r="N350" i="15"/>
  <c r="R350" i="15"/>
  <c r="V350" i="15"/>
  <c r="W35" i="14"/>
  <c r="K41" i="14"/>
  <c r="T41" i="14"/>
  <c r="P51" i="14"/>
  <c r="S59" i="14"/>
  <c r="P61" i="14"/>
  <c r="I373" i="14"/>
  <c r="R91" i="14"/>
  <c r="Q138" i="14"/>
  <c r="AC319" i="14"/>
  <c r="AE328" i="14"/>
  <c r="Z330" i="14"/>
  <c r="Z331" i="14"/>
  <c r="AD336" i="14"/>
  <c r="D35" i="14"/>
  <c r="H35" i="14"/>
  <c r="L35" i="14"/>
  <c r="P35" i="14"/>
  <c r="T35" i="14"/>
  <c r="X35" i="14"/>
  <c r="AC343" i="14"/>
  <c r="AF343" i="14" s="1"/>
  <c r="AG343" i="14" s="1"/>
  <c r="M41" i="14"/>
  <c r="Q41" i="14"/>
  <c r="U41" i="14"/>
  <c r="Z347" i="14"/>
  <c r="T382" i="14" s="1"/>
  <c r="M51" i="14"/>
  <c r="Q51" i="14"/>
  <c r="U51" i="14"/>
  <c r="Y51" i="14"/>
  <c r="AD357" i="14"/>
  <c r="T59" i="14"/>
  <c r="Q61" i="14"/>
  <c r="W61" i="14"/>
  <c r="AC367" i="14"/>
  <c r="M63" i="14"/>
  <c r="S63" i="14"/>
  <c r="W63" i="14"/>
  <c r="F373" i="14"/>
  <c r="N373" i="14"/>
  <c r="V373" i="14"/>
  <c r="Z95" i="14"/>
  <c r="D113" i="14"/>
  <c r="D446" i="14"/>
  <c r="H113" i="14"/>
  <c r="P417" i="14"/>
  <c r="P446" i="14" s="1"/>
  <c r="T113" i="14"/>
  <c r="X113" i="14"/>
  <c r="AC336" i="14"/>
  <c r="O35" i="14"/>
  <c r="X51" i="14"/>
  <c r="AC357" i="14"/>
  <c r="U61" i="14"/>
  <c r="H91" i="14"/>
  <c r="H446" i="14"/>
  <c r="AC395" i="14"/>
  <c r="V138" i="14"/>
  <c r="AD442" i="14"/>
  <c r="AD13" i="14"/>
  <c r="AD319" i="14"/>
  <c r="B328" i="14"/>
  <c r="S328" i="14"/>
  <c r="AC335" i="14"/>
  <c r="Z336" i="14"/>
  <c r="S380" i="14" s="1"/>
  <c r="E341" i="14"/>
  <c r="M35" i="14"/>
  <c r="Q35" i="14"/>
  <c r="U35" i="14"/>
  <c r="Y35" i="14"/>
  <c r="AD341" i="14"/>
  <c r="AC36" i="14"/>
  <c r="AF36" i="14" s="1"/>
  <c r="AG36" i="14" s="1"/>
  <c r="Z342" i="14"/>
  <c r="Z357" i="14"/>
  <c r="Q384" i="14" s="1"/>
  <c r="AE357" i="14"/>
  <c r="Z365" i="14"/>
  <c r="T385" i="14" s="1"/>
  <c r="Y61" i="14"/>
  <c r="AD367" i="14"/>
  <c r="P63" i="14"/>
  <c r="T63" i="14"/>
  <c r="X63" i="14"/>
  <c r="AC369" i="14"/>
  <c r="X65" i="14"/>
  <c r="AD371" i="14"/>
  <c r="C373" i="14"/>
  <c r="O373" i="14"/>
  <c r="AF398" i="14"/>
  <c r="AG398" i="14" s="1"/>
  <c r="B108" i="14"/>
  <c r="W108" i="14"/>
  <c r="AF414" i="14"/>
  <c r="AF427" i="14"/>
  <c r="AG427" i="14" s="1"/>
  <c r="AF429" i="14"/>
  <c r="AF434" i="14"/>
  <c r="T131" i="14"/>
  <c r="R446" i="14"/>
  <c r="AD331" i="14"/>
  <c r="Z335" i="14"/>
  <c r="Z332" i="14" s="1"/>
  <c r="U379" i="14" s="1"/>
  <c r="S35" i="14"/>
  <c r="P41" i="14"/>
  <c r="X41" i="14"/>
  <c r="T51" i="14"/>
  <c r="AC365" i="14"/>
  <c r="AF365" i="14" s="1"/>
  <c r="AG365" i="14" s="1"/>
  <c r="M373" i="14"/>
  <c r="Y373" i="14"/>
  <c r="N91" i="14"/>
  <c r="V91" i="14"/>
  <c r="AD395" i="14"/>
  <c r="Z97" i="14"/>
  <c r="Z319" i="14"/>
  <c r="S377" i="14" s="1"/>
  <c r="AC24" i="14"/>
  <c r="AF24" i="14" s="1"/>
  <c r="AG24" i="14" s="1"/>
  <c r="AC330" i="14"/>
  <c r="AF330" i="14" s="1"/>
  <c r="AG330" i="14" s="1"/>
  <c r="R332" i="14"/>
  <c r="R373" i="14" s="1"/>
  <c r="AD335" i="14"/>
  <c r="AC30" i="14"/>
  <c r="J341" i="14"/>
  <c r="Z343" i="14"/>
  <c r="O41" i="14"/>
  <c r="S41" i="14"/>
  <c r="W41" i="14"/>
  <c r="AC347" i="14"/>
  <c r="O51" i="14"/>
  <c r="S51" i="14"/>
  <c r="W51" i="14"/>
  <c r="T61" i="14"/>
  <c r="T386" i="14"/>
  <c r="Q63" i="14"/>
  <c r="U63" i="14"/>
  <c r="Y63" i="14"/>
  <c r="AD369" i="14"/>
  <c r="D373" i="14"/>
  <c r="H373" i="14"/>
  <c r="L373" i="14"/>
  <c r="P373" i="14"/>
  <c r="X373" i="14"/>
  <c r="Z99" i="14"/>
  <c r="U103" i="14"/>
  <c r="AC103" i="14" s="1"/>
  <c r="AF103" i="14" s="1"/>
  <c r="AG103" i="14" s="1"/>
  <c r="Z407" i="14"/>
  <c r="U404" i="14"/>
  <c r="AF413" i="14"/>
  <c r="Z117" i="14"/>
  <c r="D119" i="14"/>
  <c r="H119" i="14"/>
  <c r="L119" i="14"/>
  <c r="P119" i="14"/>
  <c r="T119" i="14"/>
  <c r="X119" i="14"/>
  <c r="Z121" i="14"/>
  <c r="Z423" i="14"/>
  <c r="I458" i="14" s="1"/>
  <c r="AF433" i="14"/>
  <c r="AF439" i="14"/>
  <c r="Z137" i="14"/>
  <c r="Z440" i="14"/>
  <c r="W462" i="14" s="1"/>
  <c r="V446" i="14"/>
  <c r="AA295" i="14"/>
  <c r="AD407" i="14"/>
  <c r="AF407" i="14" s="1"/>
  <c r="AC104" i="14"/>
  <c r="AF104" i="14" s="1"/>
  <c r="AG104" i="14" s="1"/>
  <c r="AD417" i="14"/>
  <c r="AC114" i="14"/>
  <c r="AF114" i="14" s="1"/>
  <c r="AG114" i="14" s="1"/>
  <c r="AC418" i="14"/>
  <c r="AD423" i="14"/>
  <c r="AF441" i="14"/>
  <c r="AG441" i="14" s="1"/>
  <c r="C446" i="14"/>
  <c r="G446" i="14"/>
  <c r="K446" i="14"/>
  <c r="O446" i="14"/>
  <c r="S446" i="14"/>
  <c r="W446" i="14"/>
  <c r="AA220" i="14"/>
  <c r="AC408" i="14"/>
  <c r="AF408" i="14" s="1"/>
  <c r="AG408" i="14" s="1"/>
  <c r="AE423" i="14"/>
  <c r="AC435" i="14"/>
  <c r="AC442" i="14"/>
  <c r="T446" i="14"/>
  <c r="AD415" i="14"/>
  <c r="AF415" i="14" s="1"/>
  <c r="Z418" i="14"/>
  <c r="AE418" i="14"/>
  <c r="E446" i="14"/>
  <c r="I446" i="14"/>
  <c r="M446" i="14"/>
  <c r="Y370" i="13"/>
  <c r="G119" i="13"/>
  <c r="O119" i="13"/>
  <c r="W119" i="13"/>
  <c r="F130" i="13"/>
  <c r="R130" i="13"/>
  <c r="Z139" i="13"/>
  <c r="Z54" i="13"/>
  <c r="Z92" i="13"/>
  <c r="Z96" i="13"/>
  <c r="B100" i="13"/>
  <c r="F100" i="13"/>
  <c r="J100" i="13"/>
  <c r="N100" i="13"/>
  <c r="R100" i="13"/>
  <c r="V100" i="13"/>
  <c r="Z101" i="13"/>
  <c r="C104" i="13"/>
  <c r="G104" i="13"/>
  <c r="K104" i="13"/>
  <c r="O104" i="13"/>
  <c r="S104" i="13"/>
  <c r="W104" i="13"/>
  <c r="Z106" i="13"/>
  <c r="Z111" i="13"/>
  <c r="Z116" i="13"/>
  <c r="C130" i="13"/>
  <c r="G130" i="13"/>
  <c r="K130" i="13"/>
  <c r="O130" i="13"/>
  <c r="S130" i="13"/>
  <c r="W130" i="13"/>
  <c r="Z140" i="13"/>
  <c r="C119" i="13"/>
  <c r="K119" i="13"/>
  <c r="S119" i="13"/>
  <c r="J130" i="13"/>
  <c r="N130" i="13"/>
  <c r="V130" i="13"/>
  <c r="Z15" i="13"/>
  <c r="Z19" i="13"/>
  <c r="C22" i="13"/>
  <c r="G22" i="13"/>
  <c r="K22" i="13"/>
  <c r="O22" i="13"/>
  <c r="S22" i="13"/>
  <c r="W22" i="13"/>
  <c r="Z24" i="13"/>
  <c r="D26" i="13"/>
  <c r="H26" i="13"/>
  <c r="L26" i="13"/>
  <c r="P26" i="13"/>
  <c r="T26" i="13"/>
  <c r="X26" i="13"/>
  <c r="Z29" i="13"/>
  <c r="Z34" i="13"/>
  <c r="Z39" i="13"/>
  <c r="Z49" i="13"/>
  <c r="C53" i="13"/>
  <c r="G53" i="13"/>
  <c r="K53" i="13"/>
  <c r="O53" i="13"/>
  <c r="S53" i="13"/>
  <c r="W53" i="13"/>
  <c r="Z93" i="13"/>
  <c r="Z97" i="13"/>
  <c r="C100" i="13"/>
  <c r="G100" i="13"/>
  <c r="K100" i="13"/>
  <c r="O100" i="13"/>
  <c r="S100" i="13"/>
  <c r="W100" i="13"/>
  <c r="Z102" i="13"/>
  <c r="Z107" i="13"/>
  <c r="Z112" i="13"/>
  <c r="C384" i="13"/>
  <c r="K384" i="13"/>
  <c r="S384" i="13"/>
  <c r="C386" i="13"/>
  <c r="F461" i="13"/>
  <c r="V461" i="13"/>
  <c r="N462" i="13"/>
  <c r="C464" i="13"/>
  <c r="K464" i="13"/>
  <c r="S464" i="13"/>
  <c r="P219" i="13"/>
  <c r="D233" i="13"/>
  <c r="T233" i="13"/>
  <c r="L234" i="13"/>
  <c r="D235" i="13"/>
  <c r="T235" i="13"/>
  <c r="L236" i="13"/>
  <c r="D384" i="13"/>
  <c r="L384" i="13"/>
  <c r="T384" i="13"/>
  <c r="G386" i="13"/>
  <c r="K461" i="13"/>
  <c r="C462" i="13"/>
  <c r="S462" i="13"/>
  <c r="F464" i="13"/>
  <c r="N464" i="13"/>
  <c r="V464" i="13"/>
  <c r="H233" i="13"/>
  <c r="X233" i="13"/>
  <c r="P234" i="13"/>
  <c r="H235" i="13"/>
  <c r="X235" i="13"/>
  <c r="P236" i="13"/>
  <c r="G384" i="13"/>
  <c r="O384" i="13"/>
  <c r="W384" i="13"/>
  <c r="N461" i="13"/>
  <c r="F462" i="13"/>
  <c r="V462" i="13"/>
  <c r="G464" i="13"/>
  <c r="O464" i="13"/>
  <c r="W464" i="13"/>
  <c r="L233" i="13"/>
  <c r="D234" i="13"/>
  <c r="T234" i="13"/>
  <c r="L235" i="13"/>
  <c r="D236" i="13"/>
  <c r="T236" i="13"/>
  <c r="H384" i="13"/>
  <c r="P384" i="13"/>
  <c r="X384" i="13"/>
  <c r="C461" i="13"/>
  <c r="K462" i="13"/>
  <c r="B464" i="13"/>
  <c r="J464" i="13"/>
  <c r="R464" i="13"/>
  <c r="P233" i="13"/>
  <c r="H234" i="13"/>
  <c r="X234" i="13"/>
  <c r="P235" i="13"/>
  <c r="H236" i="13"/>
  <c r="X236" i="13"/>
  <c r="N13" i="13"/>
  <c r="D13" i="13"/>
  <c r="H13" i="13"/>
  <c r="L13" i="13"/>
  <c r="P13" i="13"/>
  <c r="T13" i="13"/>
  <c r="X13" i="13"/>
  <c r="B22" i="13"/>
  <c r="F22" i="13"/>
  <c r="J22" i="13"/>
  <c r="N22" i="13"/>
  <c r="R22" i="13"/>
  <c r="V22" i="13"/>
  <c r="Z328" i="13"/>
  <c r="B377" i="13" s="1"/>
  <c r="B26" i="13"/>
  <c r="F26" i="13"/>
  <c r="J26" i="13"/>
  <c r="N26" i="13"/>
  <c r="R26" i="13"/>
  <c r="V26" i="13"/>
  <c r="Z332" i="13"/>
  <c r="L378" i="13" s="1"/>
  <c r="B30" i="13"/>
  <c r="F30" i="13"/>
  <c r="J30" i="13"/>
  <c r="N30" i="13"/>
  <c r="R30" i="13"/>
  <c r="V30" i="13"/>
  <c r="Z336" i="13"/>
  <c r="B379" i="13" s="1"/>
  <c r="D35" i="13"/>
  <c r="H35" i="13"/>
  <c r="L35" i="13"/>
  <c r="P35" i="13"/>
  <c r="T35" i="13"/>
  <c r="X35" i="13"/>
  <c r="Z38" i="13"/>
  <c r="B41" i="13"/>
  <c r="Z347" i="13"/>
  <c r="B381" i="13" s="1"/>
  <c r="F41" i="13"/>
  <c r="B53" i="13"/>
  <c r="F53" i="13"/>
  <c r="J53" i="13"/>
  <c r="N53" i="13"/>
  <c r="R53" i="13"/>
  <c r="V53" i="13"/>
  <c r="Z359" i="13"/>
  <c r="B383" i="13" s="1"/>
  <c r="Z62" i="13"/>
  <c r="X387" i="13"/>
  <c r="T387" i="13"/>
  <c r="P387" i="13"/>
  <c r="L387" i="13"/>
  <c r="H387" i="13"/>
  <c r="D387" i="13"/>
  <c r="W387" i="13"/>
  <c r="S387" i="13"/>
  <c r="O387" i="13"/>
  <c r="K387" i="13"/>
  <c r="G387" i="13"/>
  <c r="C387" i="13"/>
  <c r="V387" i="13"/>
  <c r="R387" i="13"/>
  <c r="N387" i="13"/>
  <c r="J387" i="13"/>
  <c r="F387" i="13"/>
  <c r="B387" i="13"/>
  <c r="Y387" i="13"/>
  <c r="U387" i="13"/>
  <c r="Q387" i="13"/>
  <c r="M387" i="13"/>
  <c r="I387" i="13"/>
  <c r="E387" i="13"/>
  <c r="J13" i="13"/>
  <c r="E13" i="13"/>
  <c r="I13" i="13"/>
  <c r="M13" i="13"/>
  <c r="Q13" i="13"/>
  <c r="U13" i="13"/>
  <c r="Y13" i="13"/>
  <c r="E35" i="13"/>
  <c r="I35" i="13"/>
  <c r="M35" i="13"/>
  <c r="Q35" i="13"/>
  <c r="U35" i="13"/>
  <c r="Y35" i="13"/>
  <c r="Z42" i="13"/>
  <c r="Z60" i="13"/>
  <c r="X386" i="13"/>
  <c r="T386" i="13"/>
  <c r="P386" i="13"/>
  <c r="L386" i="13"/>
  <c r="H386" i="13"/>
  <c r="D386" i="13"/>
  <c r="W386" i="13"/>
  <c r="S386" i="13"/>
  <c r="V386" i="13"/>
  <c r="R386" i="13"/>
  <c r="N386" i="13"/>
  <c r="J386" i="13"/>
  <c r="F386" i="13"/>
  <c r="B386" i="13"/>
  <c r="Y386" i="13"/>
  <c r="U386" i="13"/>
  <c r="Q386" i="13"/>
  <c r="M386" i="13"/>
  <c r="I386" i="13"/>
  <c r="E386" i="13"/>
  <c r="O386" i="13"/>
  <c r="B13" i="13"/>
  <c r="F13" i="13"/>
  <c r="V13" i="13"/>
  <c r="Z319" i="13"/>
  <c r="S376" i="13" s="1"/>
  <c r="L30" i="13"/>
  <c r="P30" i="13"/>
  <c r="T30" i="13"/>
  <c r="X30" i="13"/>
  <c r="B35" i="13"/>
  <c r="F35" i="13"/>
  <c r="J35" i="13"/>
  <c r="N35" i="13"/>
  <c r="R35" i="13"/>
  <c r="V35" i="13"/>
  <c r="Z341" i="13"/>
  <c r="O380" i="13" s="1"/>
  <c r="D41" i="13"/>
  <c r="H41" i="13"/>
  <c r="L41" i="13"/>
  <c r="P41" i="13"/>
  <c r="T41" i="13"/>
  <c r="X41" i="13"/>
  <c r="R13" i="13"/>
  <c r="C13" i="13"/>
  <c r="G13" i="13"/>
  <c r="K13" i="13"/>
  <c r="O13" i="13"/>
  <c r="S13" i="13"/>
  <c r="W13" i="13"/>
  <c r="E22" i="13"/>
  <c r="I22" i="13"/>
  <c r="M22" i="13"/>
  <c r="Q22" i="13"/>
  <c r="U22" i="13"/>
  <c r="Y22" i="13"/>
  <c r="E26" i="13"/>
  <c r="I26" i="13"/>
  <c r="M26" i="13"/>
  <c r="Q26" i="13"/>
  <c r="U26" i="13"/>
  <c r="Y26" i="13"/>
  <c r="E30" i="13"/>
  <c r="I30" i="13"/>
  <c r="M30" i="13"/>
  <c r="Q30" i="13"/>
  <c r="U30" i="13"/>
  <c r="Y30" i="13"/>
  <c r="Z40" i="13"/>
  <c r="E53" i="13"/>
  <c r="I53" i="13"/>
  <c r="M53" i="13"/>
  <c r="Q53" i="13"/>
  <c r="U53" i="13"/>
  <c r="Y53" i="13"/>
  <c r="Z55" i="13"/>
  <c r="E384" i="13"/>
  <c r="I384" i="13"/>
  <c r="M384" i="13"/>
  <c r="Q384" i="13"/>
  <c r="U384" i="13"/>
  <c r="Y384" i="13"/>
  <c r="E91" i="13"/>
  <c r="I91" i="13"/>
  <c r="M91" i="13"/>
  <c r="Q91" i="13"/>
  <c r="U91" i="13"/>
  <c r="Y91" i="13"/>
  <c r="E113" i="13"/>
  <c r="I113" i="13"/>
  <c r="M113" i="13"/>
  <c r="Q113" i="13"/>
  <c r="U113" i="13"/>
  <c r="Y113" i="13"/>
  <c r="Z133" i="13"/>
  <c r="Y461" i="13"/>
  <c r="U461" i="13"/>
  <c r="Q461" i="13"/>
  <c r="M461" i="13"/>
  <c r="I461" i="13"/>
  <c r="E461" i="13"/>
  <c r="X461" i="13"/>
  <c r="T461" i="13"/>
  <c r="P461" i="13"/>
  <c r="L461" i="13"/>
  <c r="H461" i="13"/>
  <c r="D461" i="13"/>
  <c r="I445" i="13"/>
  <c r="Q445" i="13"/>
  <c r="Y445" i="13"/>
  <c r="G459" i="13"/>
  <c r="O459" i="13"/>
  <c r="W459" i="13"/>
  <c r="G461" i="13"/>
  <c r="O461" i="13"/>
  <c r="W461" i="13"/>
  <c r="G462" i="13"/>
  <c r="O462" i="13"/>
  <c r="T219" i="13"/>
  <c r="X219" i="13"/>
  <c r="H219" i="13"/>
  <c r="B384" i="13"/>
  <c r="F384" i="13"/>
  <c r="J384" i="13"/>
  <c r="N384" i="13"/>
  <c r="R384" i="13"/>
  <c r="V384" i="13"/>
  <c r="B91" i="13"/>
  <c r="F91" i="13"/>
  <c r="F445" i="13"/>
  <c r="J91" i="13"/>
  <c r="J445" i="13"/>
  <c r="N91" i="13"/>
  <c r="N445" i="13"/>
  <c r="R91" i="13"/>
  <c r="V91" i="13"/>
  <c r="Z395" i="13"/>
  <c r="W453" i="13" s="1"/>
  <c r="D100" i="13"/>
  <c r="H100" i="13"/>
  <c r="L100" i="13"/>
  <c r="P100" i="13"/>
  <c r="T100" i="13"/>
  <c r="X100" i="13"/>
  <c r="D104" i="13"/>
  <c r="H104" i="13"/>
  <c r="L104" i="13"/>
  <c r="P104" i="13"/>
  <c r="T104" i="13"/>
  <c r="X104" i="13"/>
  <c r="D108" i="13"/>
  <c r="H108" i="13"/>
  <c r="L108" i="13"/>
  <c r="P108" i="13"/>
  <c r="T108" i="13"/>
  <c r="X108" i="13"/>
  <c r="Z417" i="13"/>
  <c r="J457" i="13" s="1"/>
  <c r="D119" i="13"/>
  <c r="H119" i="13"/>
  <c r="L119" i="13"/>
  <c r="P119" i="13"/>
  <c r="T119" i="13"/>
  <c r="X119" i="13"/>
  <c r="B130" i="13"/>
  <c r="Z434" i="13"/>
  <c r="G460" i="13" s="1"/>
  <c r="Z131" i="13"/>
  <c r="Z135" i="13"/>
  <c r="Y462" i="13"/>
  <c r="U462" i="13"/>
  <c r="Q462" i="13"/>
  <c r="M462" i="13"/>
  <c r="I462" i="13"/>
  <c r="E462" i="13"/>
  <c r="X462" i="13"/>
  <c r="T462" i="13"/>
  <c r="P462" i="13"/>
  <c r="L462" i="13"/>
  <c r="H462" i="13"/>
  <c r="D462" i="13"/>
  <c r="B459" i="13"/>
  <c r="J459" i="13"/>
  <c r="B461" i="13"/>
  <c r="J461" i="13"/>
  <c r="R461" i="13"/>
  <c r="B462" i="13"/>
  <c r="J462" i="13"/>
  <c r="R462" i="13"/>
  <c r="Z166" i="13"/>
  <c r="N225" i="13" s="1"/>
  <c r="Z183" i="13"/>
  <c r="Q228" i="13" s="1"/>
  <c r="B219" i="13"/>
  <c r="F219" i="13"/>
  <c r="J219" i="13"/>
  <c r="N219" i="13"/>
  <c r="R219" i="13"/>
  <c r="V219" i="13"/>
  <c r="Z206" i="13"/>
  <c r="I232" i="13" s="1"/>
  <c r="Z57" i="13"/>
  <c r="C91" i="13"/>
  <c r="C445" i="13"/>
  <c r="G91" i="13"/>
  <c r="G445" i="13"/>
  <c r="K91" i="13"/>
  <c r="K445" i="13"/>
  <c r="O91" i="13"/>
  <c r="O445" i="13"/>
  <c r="S91" i="13"/>
  <c r="S445" i="13"/>
  <c r="W91" i="13"/>
  <c r="W445" i="13"/>
  <c r="E100" i="13"/>
  <c r="I100" i="13"/>
  <c r="M100" i="13"/>
  <c r="Q100" i="13"/>
  <c r="U100" i="13"/>
  <c r="Y100" i="13"/>
  <c r="E104" i="13"/>
  <c r="I104" i="13"/>
  <c r="M104" i="13"/>
  <c r="Q104" i="13"/>
  <c r="U104" i="13"/>
  <c r="Y104" i="13"/>
  <c r="E108" i="13"/>
  <c r="I108" i="13"/>
  <c r="M108" i="13"/>
  <c r="Q108" i="13"/>
  <c r="U108" i="13"/>
  <c r="Y108" i="13"/>
  <c r="Z118" i="13"/>
  <c r="Y459" i="13"/>
  <c r="U459" i="13"/>
  <c r="Q459" i="13"/>
  <c r="M459" i="13"/>
  <c r="I459" i="13"/>
  <c r="E459" i="13"/>
  <c r="X459" i="13"/>
  <c r="T459" i="13"/>
  <c r="P459" i="13"/>
  <c r="L459" i="13"/>
  <c r="H459" i="13"/>
  <c r="D459" i="13"/>
  <c r="E445" i="13"/>
  <c r="M445" i="13"/>
  <c r="U445" i="13"/>
  <c r="C459" i="13"/>
  <c r="K459" i="13"/>
  <c r="S459" i="13"/>
  <c r="Z188" i="13"/>
  <c r="K229" i="13" s="1"/>
  <c r="Z194" i="13"/>
  <c r="E230" i="13" s="1"/>
  <c r="Z45" i="13"/>
  <c r="L219" i="13"/>
  <c r="D91" i="13"/>
  <c r="H91" i="13"/>
  <c r="L91" i="13"/>
  <c r="P91" i="13"/>
  <c r="T91" i="13"/>
  <c r="X91" i="13"/>
  <c r="Z404" i="13"/>
  <c r="O454" i="13" s="1"/>
  <c r="Z408" i="13"/>
  <c r="W455" i="13" s="1"/>
  <c r="Z412" i="13"/>
  <c r="H456" i="13" s="1"/>
  <c r="D113" i="13"/>
  <c r="H113" i="13"/>
  <c r="L113" i="13"/>
  <c r="P113" i="13"/>
  <c r="T113" i="13"/>
  <c r="X113" i="13"/>
  <c r="Z423" i="13"/>
  <c r="Q458" i="13" s="1"/>
  <c r="H445" i="13"/>
  <c r="P445" i="13"/>
  <c r="X445" i="13"/>
  <c r="F459" i="13"/>
  <c r="N459" i="13"/>
  <c r="V459" i="13"/>
  <c r="D464" i="13"/>
  <c r="H464" i="13"/>
  <c r="L464" i="13"/>
  <c r="P464" i="13"/>
  <c r="T464" i="13"/>
  <c r="X464" i="13"/>
  <c r="Z175" i="13"/>
  <c r="D226" i="13" s="1"/>
  <c r="Z179" i="13"/>
  <c r="D227" i="13" s="1"/>
  <c r="D219" i="13"/>
  <c r="E464" i="13"/>
  <c r="I464" i="13"/>
  <c r="M464" i="13"/>
  <c r="Q464" i="13"/>
  <c r="U464" i="13"/>
  <c r="Y464" i="13"/>
  <c r="Z47" i="13"/>
  <c r="B51" i="13"/>
  <c r="F51" i="13"/>
  <c r="J51" i="13"/>
  <c r="N51" i="13"/>
  <c r="R51" i="13"/>
  <c r="V51" i="13"/>
  <c r="Z204" i="13"/>
  <c r="B231" i="13" s="1"/>
  <c r="Z253" i="13"/>
  <c r="B301" i="13" s="1"/>
  <c r="Z257" i="13"/>
  <c r="N302" i="13" s="1"/>
  <c r="Z261" i="13"/>
  <c r="N303" i="13" s="1"/>
  <c r="E219" i="13"/>
  <c r="I219" i="13"/>
  <c r="M219" i="13"/>
  <c r="Q219" i="13"/>
  <c r="U219" i="13"/>
  <c r="Y219" i="13"/>
  <c r="E233" i="13"/>
  <c r="I233" i="13"/>
  <c r="M233" i="13"/>
  <c r="Q233" i="13"/>
  <c r="U233" i="13"/>
  <c r="Y233" i="13"/>
  <c r="E234" i="13"/>
  <c r="I234" i="13"/>
  <c r="M234" i="13"/>
  <c r="Q234" i="13"/>
  <c r="U234" i="13"/>
  <c r="Y234" i="13"/>
  <c r="E235" i="13"/>
  <c r="I235" i="13"/>
  <c r="M235" i="13"/>
  <c r="Q235" i="13"/>
  <c r="U235" i="13"/>
  <c r="Y235" i="13"/>
  <c r="E236" i="13"/>
  <c r="I236" i="13"/>
  <c r="M236" i="13"/>
  <c r="Q236" i="13"/>
  <c r="U236" i="13"/>
  <c r="Y236" i="13"/>
  <c r="C128" i="13"/>
  <c r="G128" i="13"/>
  <c r="K128" i="13"/>
  <c r="O128" i="13"/>
  <c r="S128" i="13"/>
  <c r="W128" i="13"/>
  <c r="G294" i="13"/>
  <c r="K294" i="13"/>
  <c r="S294" i="13"/>
  <c r="W294" i="13"/>
  <c r="B233" i="13"/>
  <c r="F233" i="13"/>
  <c r="J233" i="13"/>
  <c r="N233" i="13"/>
  <c r="R233" i="13"/>
  <c r="V233" i="13"/>
  <c r="B234" i="13"/>
  <c r="F234" i="13"/>
  <c r="J234" i="13"/>
  <c r="N234" i="13"/>
  <c r="R234" i="13"/>
  <c r="V234" i="13"/>
  <c r="B235" i="13"/>
  <c r="F235" i="13"/>
  <c r="J235" i="13"/>
  <c r="N235" i="13"/>
  <c r="R235" i="13"/>
  <c r="V235" i="13"/>
  <c r="B236" i="13"/>
  <c r="F236" i="13"/>
  <c r="J236" i="13"/>
  <c r="N236" i="13"/>
  <c r="R236" i="13"/>
  <c r="V236" i="13"/>
  <c r="Z244" i="13"/>
  <c r="G300" i="13" s="1"/>
  <c r="Z266" i="13"/>
  <c r="E304" i="13" s="1"/>
  <c r="Z272" i="13"/>
  <c r="M305" i="13" s="1"/>
  <c r="D128" i="13"/>
  <c r="H128" i="13"/>
  <c r="L128" i="13"/>
  <c r="P128" i="13"/>
  <c r="T128" i="13"/>
  <c r="X128" i="13"/>
  <c r="D294" i="13"/>
  <c r="H294" i="13"/>
  <c r="L294" i="13"/>
  <c r="P294" i="13"/>
  <c r="T294" i="13"/>
  <c r="X130" i="13"/>
  <c r="X294" i="13"/>
  <c r="W308" i="13"/>
  <c r="S308" i="13"/>
  <c r="O308" i="13"/>
  <c r="K308" i="13"/>
  <c r="G308" i="13"/>
  <c r="C308" i="13"/>
  <c r="V308" i="13"/>
  <c r="R308" i="13"/>
  <c r="N308" i="13"/>
  <c r="J308" i="13"/>
  <c r="F308" i="13"/>
  <c r="B308" i="13"/>
  <c r="Y308" i="13"/>
  <c r="U308" i="13"/>
  <c r="Q308" i="13"/>
  <c r="M308" i="13"/>
  <c r="I308" i="13"/>
  <c r="E308" i="13"/>
  <c r="X308" i="13"/>
  <c r="T308" i="13"/>
  <c r="P308" i="13"/>
  <c r="L308" i="13"/>
  <c r="H308" i="13"/>
  <c r="D308" i="13"/>
  <c r="W309" i="13"/>
  <c r="S309" i="13"/>
  <c r="O309" i="13"/>
  <c r="K309" i="13"/>
  <c r="G309" i="13"/>
  <c r="C309" i="13"/>
  <c r="V309" i="13"/>
  <c r="R309" i="13"/>
  <c r="N309" i="13"/>
  <c r="J309" i="13"/>
  <c r="F309" i="13"/>
  <c r="B309" i="13"/>
  <c r="Y309" i="13"/>
  <c r="U309" i="13"/>
  <c r="Q309" i="13"/>
  <c r="M309" i="13"/>
  <c r="I309" i="13"/>
  <c r="E309" i="13"/>
  <c r="X309" i="13"/>
  <c r="T309" i="13"/>
  <c r="P309" i="13"/>
  <c r="L309" i="13"/>
  <c r="H309" i="13"/>
  <c r="D309" i="13"/>
  <c r="Z137" i="13"/>
  <c r="W310" i="13"/>
  <c r="S310" i="13"/>
  <c r="O310" i="13"/>
  <c r="K310" i="13"/>
  <c r="G310" i="13"/>
  <c r="C310" i="13"/>
  <c r="V310" i="13"/>
  <c r="R310" i="13"/>
  <c r="N310" i="13"/>
  <c r="J310" i="13"/>
  <c r="F310" i="13"/>
  <c r="B310" i="13"/>
  <c r="Y310" i="13"/>
  <c r="U310" i="13"/>
  <c r="Q310" i="13"/>
  <c r="M310" i="13"/>
  <c r="I310" i="13"/>
  <c r="E310" i="13"/>
  <c r="X310" i="13"/>
  <c r="T310" i="13"/>
  <c r="P310" i="13"/>
  <c r="L310" i="13"/>
  <c r="H310" i="13"/>
  <c r="D310" i="13"/>
  <c r="W311" i="13"/>
  <c r="S311" i="13"/>
  <c r="O311" i="13"/>
  <c r="K311" i="13"/>
  <c r="G311" i="13"/>
  <c r="C311" i="13"/>
  <c r="V311" i="13"/>
  <c r="R311" i="13"/>
  <c r="N311" i="13"/>
  <c r="J311" i="13"/>
  <c r="F311" i="13"/>
  <c r="B311" i="13"/>
  <c r="Y311" i="13"/>
  <c r="U311" i="13"/>
  <c r="Q311" i="13"/>
  <c r="M311" i="13"/>
  <c r="I311" i="13"/>
  <c r="E311" i="13"/>
  <c r="X311" i="13"/>
  <c r="T311" i="13"/>
  <c r="P311" i="13"/>
  <c r="L311" i="13"/>
  <c r="H311" i="13"/>
  <c r="D311" i="13"/>
  <c r="C294" i="13"/>
  <c r="C219" i="13"/>
  <c r="G219" i="13"/>
  <c r="K219" i="13"/>
  <c r="O219" i="13"/>
  <c r="S219" i="13"/>
  <c r="W219" i="13"/>
  <c r="C233" i="13"/>
  <c r="G233" i="13"/>
  <c r="K233" i="13"/>
  <c r="O233" i="13"/>
  <c r="S233" i="13"/>
  <c r="C234" i="13"/>
  <c r="G234" i="13"/>
  <c r="K234" i="13"/>
  <c r="O234" i="13"/>
  <c r="S234" i="13"/>
  <c r="W234" i="13"/>
  <c r="C235" i="13"/>
  <c r="G235" i="13"/>
  <c r="K235" i="13"/>
  <c r="O235" i="13"/>
  <c r="S235" i="13"/>
  <c r="C236" i="13"/>
  <c r="G236" i="13"/>
  <c r="K236" i="13"/>
  <c r="O236" i="13"/>
  <c r="S236" i="13"/>
  <c r="E128" i="13"/>
  <c r="I128" i="13"/>
  <c r="M128" i="13"/>
  <c r="Q128" i="13"/>
  <c r="U128" i="13"/>
  <c r="Y128" i="13"/>
  <c r="E294" i="13"/>
  <c r="I294" i="13"/>
  <c r="M294" i="13"/>
  <c r="Q294" i="13"/>
  <c r="U294" i="13"/>
  <c r="Y294" i="13"/>
  <c r="B128" i="13"/>
  <c r="F128" i="13"/>
  <c r="J128" i="13"/>
  <c r="N128" i="13"/>
  <c r="R128" i="13"/>
  <c r="V128" i="13"/>
  <c r="Z281" i="13"/>
  <c r="Z128" i="13" s="1"/>
  <c r="B294" i="13"/>
  <c r="F294" i="13"/>
  <c r="J294" i="13"/>
  <c r="N294" i="13"/>
  <c r="R294" i="13"/>
  <c r="V294" i="13"/>
  <c r="Z283" i="13"/>
  <c r="K307" i="13" s="1"/>
  <c r="C97" i="9"/>
  <c r="D97" i="9" s="1"/>
  <c r="D52" i="8"/>
  <c r="C67" i="7"/>
  <c r="I39" i="6"/>
  <c r="H39" i="6"/>
  <c r="H13" i="6"/>
  <c r="I25" i="6"/>
  <c r="I13" i="6"/>
  <c r="C69" i="6"/>
  <c r="H33" i="6"/>
  <c r="I32" i="5"/>
  <c r="H44" i="5"/>
  <c r="I47" i="5"/>
  <c r="H87" i="5"/>
  <c r="H22" i="5"/>
  <c r="I13" i="5"/>
  <c r="I26" i="5"/>
  <c r="I37" i="5"/>
  <c r="I39" i="5"/>
  <c r="I76" i="5"/>
  <c r="H80" i="5"/>
  <c r="H26" i="4"/>
  <c r="H85" i="4"/>
  <c r="I26" i="4"/>
  <c r="C127" i="4"/>
  <c r="M102" i="20"/>
  <c r="M115" i="20"/>
  <c r="M123" i="20"/>
  <c r="C42" i="19"/>
  <c r="D102" i="19"/>
  <c r="M16" i="19"/>
  <c r="C112" i="19"/>
  <c r="C127" i="19" s="1"/>
  <c r="U15" i="19" s="1"/>
  <c r="G42" i="19"/>
  <c r="M95" i="19"/>
  <c r="M100" i="19"/>
  <c r="H31" i="19"/>
  <c r="M60" i="19"/>
  <c r="M64" i="19"/>
  <c r="H74" i="19"/>
  <c r="M46" i="19"/>
  <c r="M61" i="19"/>
  <c r="H102" i="19"/>
  <c r="M118" i="19"/>
  <c r="B42" i="19"/>
  <c r="B67" i="19" s="1"/>
  <c r="Q14" i="19" s="1"/>
  <c r="R14" i="19" s="1"/>
  <c r="M44" i="19"/>
  <c r="M45" i="19"/>
  <c r="M93" i="20"/>
  <c r="M98" i="20"/>
  <c r="M158" i="20" s="1"/>
  <c r="M32" i="20"/>
  <c r="M152" i="20" s="1"/>
  <c r="M99" i="20"/>
  <c r="I31" i="20"/>
  <c r="M49" i="20"/>
  <c r="M169" i="20" s="1"/>
  <c r="E42" i="20"/>
  <c r="E67" i="20" s="1"/>
  <c r="Q20" i="20" s="1"/>
  <c r="M80" i="20"/>
  <c r="M140" i="20" s="1"/>
  <c r="M89" i="20"/>
  <c r="M149" i="20" s="1"/>
  <c r="J59" i="20"/>
  <c r="J67" i="20" s="1"/>
  <c r="Q22" i="20" s="1"/>
  <c r="J36" i="20"/>
  <c r="M45" i="20"/>
  <c r="M165" i="20" s="1"/>
  <c r="I74" i="20"/>
  <c r="M87" i="20"/>
  <c r="F96" i="20"/>
  <c r="I112" i="20"/>
  <c r="D112" i="20"/>
  <c r="M114" i="20"/>
  <c r="M174" i="20" s="1"/>
  <c r="M65" i="20"/>
  <c r="I83" i="20"/>
  <c r="M84" i="20"/>
  <c r="M144" i="20" s="1"/>
  <c r="M121" i="20"/>
  <c r="F83" i="20"/>
  <c r="M85" i="20"/>
  <c r="H91" i="20"/>
  <c r="M94" i="20"/>
  <c r="M154" i="20" s="1"/>
  <c r="E96" i="20"/>
  <c r="M101" i="20"/>
  <c r="M161" i="20" s="1"/>
  <c r="M119" i="20"/>
  <c r="M82" i="20"/>
  <c r="M142" i="20" s="1"/>
  <c r="D83" i="20"/>
  <c r="M86" i="20"/>
  <c r="M146" i="20" s="1"/>
  <c r="B91" i="20"/>
  <c r="M91" i="20" s="1"/>
  <c r="I96" i="20"/>
  <c r="M97" i="20"/>
  <c r="M157" i="20" s="1"/>
  <c r="F112" i="20"/>
  <c r="M113" i="20"/>
  <c r="M173" i="20" s="1"/>
  <c r="M117" i="20"/>
  <c r="M125" i="20"/>
  <c r="B42" i="20"/>
  <c r="G42" i="20"/>
  <c r="M50" i="20"/>
  <c r="M170" i="20" s="1"/>
  <c r="F14" i="20"/>
  <c r="M15" i="20"/>
  <c r="M135" i="20" s="1"/>
  <c r="M25" i="20"/>
  <c r="F55" i="20"/>
  <c r="M56" i="20"/>
  <c r="M176" i="20" s="1"/>
  <c r="M61" i="20"/>
  <c r="H14" i="20"/>
  <c r="M16" i="20"/>
  <c r="M136" i="20" s="1"/>
  <c r="M27" i="20"/>
  <c r="I42" i="20"/>
  <c r="M44" i="20"/>
  <c r="M164" i="20" s="1"/>
  <c r="M57" i="20"/>
  <c r="F59" i="20"/>
  <c r="M60" i="20"/>
  <c r="M180" i="20" s="1"/>
  <c r="M33" i="20"/>
  <c r="M39" i="20"/>
  <c r="D42" i="20"/>
  <c r="M51" i="20"/>
  <c r="M171" i="20" s="1"/>
  <c r="M52" i="20"/>
  <c r="M63" i="20"/>
  <c r="M183" i="20" s="1"/>
  <c r="AC193" i="16"/>
  <c r="O196" i="16"/>
  <c r="O29" i="16" s="1"/>
  <c r="AE225" i="16"/>
  <c r="AE235" i="16"/>
  <c r="AF235" i="16" s="1"/>
  <c r="AG235" i="16" s="1"/>
  <c r="Z235" i="16"/>
  <c r="Z68" i="16" s="1"/>
  <c r="AE236" i="16"/>
  <c r="F256" i="16"/>
  <c r="J256" i="16"/>
  <c r="N256" i="16"/>
  <c r="R256" i="16"/>
  <c r="V256" i="16"/>
  <c r="B256" i="16"/>
  <c r="D256" i="16"/>
  <c r="H256" i="16"/>
  <c r="L256" i="16"/>
  <c r="P256" i="16"/>
  <c r="T256" i="16"/>
  <c r="X256" i="16"/>
  <c r="E256" i="16"/>
  <c r="I256" i="16"/>
  <c r="M256" i="16"/>
  <c r="Q256" i="16"/>
  <c r="U256" i="16"/>
  <c r="Y256" i="16"/>
  <c r="O256" i="16"/>
  <c r="C256" i="16"/>
  <c r="S256" i="16"/>
  <c r="G256" i="16"/>
  <c r="W256" i="16"/>
  <c r="K256" i="16"/>
  <c r="B180" i="16"/>
  <c r="B13" i="16" s="1"/>
  <c r="R196" i="16"/>
  <c r="R29" i="16" s="1"/>
  <c r="AC197" i="16"/>
  <c r="P196" i="16"/>
  <c r="P29" i="16" s="1"/>
  <c r="X214" i="16"/>
  <c r="X215" i="16"/>
  <c r="X216" i="16"/>
  <c r="E255" i="16"/>
  <c r="I255" i="16"/>
  <c r="M255" i="16"/>
  <c r="Q255" i="16"/>
  <c r="U255" i="16"/>
  <c r="Y255" i="16"/>
  <c r="C255" i="16"/>
  <c r="G255" i="16"/>
  <c r="K255" i="16"/>
  <c r="O255" i="16"/>
  <c r="S255" i="16"/>
  <c r="W255" i="16"/>
  <c r="D255" i="16"/>
  <c r="H255" i="16"/>
  <c r="L255" i="16"/>
  <c r="P255" i="16"/>
  <c r="T255" i="16"/>
  <c r="X255" i="16"/>
  <c r="F255" i="16"/>
  <c r="V255" i="16"/>
  <c r="J255" i="16"/>
  <c r="B255" i="16"/>
  <c r="N255" i="16"/>
  <c r="R255" i="16"/>
  <c r="AA162" i="16"/>
  <c r="AC187" i="16"/>
  <c r="AF187" i="16" s="1"/>
  <c r="AG187" i="16" s="1"/>
  <c r="AE233" i="16"/>
  <c r="AF233" i="16" s="1"/>
  <c r="AG233" i="16" s="1"/>
  <c r="Z233" i="16"/>
  <c r="Z66" i="16" s="1"/>
  <c r="D254" i="16"/>
  <c r="H254" i="16"/>
  <c r="L254" i="16"/>
  <c r="P254" i="16"/>
  <c r="T254" i="16"/>
  <c r="X254" i="16"/>
  <c r="F254" i="16"/>
  <c r="J254" i="16"/>
  <c r="N254" i="16"/>
  <c r="R254" i="16"/>
  <c r="V254" i="16"/>
  <c r="B254" i="16"/>
  <c r="C254" i="16"/>
  <c r="G254" i="16"/>
  <c r="K254" i="16"/>
  <c r="O254" i="16"/>
  <c r="S254" i="16"/>
  <c r="W254" i="16"/>
  <c r="M254" i="16"/>
  <c r="Q254" i="16"/>
  <c r="E254" i="16"/>
  <c r="U254" i="16"/>
  <c r="I254" i="16"/>
  <c r="Y254" i="16"/>
  <c r="AE194" i="16"/>
  <c r="AF194" i="16" s="1"/>
  <c r="AG194" i="16" s="1"/>
  <c r="I196" i="16"/>
  <c r="I29" i="16" s="1"/>
  <c r="X196" i="16"/>
  <c r="AD197" i="16"/>
  <c r="M196" i="16"/>
  <c r="M29" i="16" s="1"/>
  <c r="AD203" i="16"/>
  <c r="AD205" i="16"/>
  <c r="AC239" i="16"/>
  <c r="Z239" i="16"/>
  <c r="Z72" i="16" s="1"/>
  <c r="D11" i="10"/>
  <c r="D42" i="10"/>
  <c r="J206" i="16"/>
  <c r="C192" i="16"/>
  <c r="C25" i="16" s="1"/>
  <c r="AC199" i="16"/>
  <c r="AF199" i="16" s="1"/>
  <c r="AG199" i="16" s="1"/>
  <c r="Z205" i="16"/>
  <c r="Z38" i="16" s="1"/>
  <c r="AC225" i="16"/>
  <c r="AD225" i="16"/>
  <c r="AF200" i="16"/>
  <c r="AG200" i="16" s="1"/>
  <c r="AF185" i="16"/>
  <c r="AG185" i="16" s="1"/>
  <c r="Z193" i="16"/>
  <c r="Z26" i="16" s="1"/>
  <c r="N206" i="16"/>
  <c r="Z187" i="16"/>
  <c r="Z20" i="16" s="1"/>
  <c r="Z188" i="16"/>
  <c r="Z21" i="16" s="1"/>
  <c r="F206" i="16"/>
  <c r="O206" i="16"/>
  <c r="V206" i="16"/>
  <c r="G246" i="16"/>
  <c r="S246" i="16"/>
  <c r="R180" i="16"/>
  <c r="R13" i="16" s="1"/>
  <c r="AC188" i="16"/>
  <c r="AF188" i="16" s="1"/>
  <c r="AG188" i="16" s="1"/>
  <c r="S206" i="16"/>
  <c r="W206" i="16"/>
  <c r="Z203" i="16"/>
  <c r="Z36" i="16" s="1"/>
  <c r="AF226" i="16"/>
  <c r="AG226" i="16" s="1"/>
  <c r="AC232" i="16"/>
  <c r="D246" i="16"/>
  <c r="H246" i="16"/>
  <c r="L246" i="16"/>
  <c r="P246" i="16"/>
  <c r="T246" i="16"/>
  <c r="C246" i="16"/>
  <c r="O246" i="16"/>
  <c r="AF181" i="16"/>
  <c r="AG181" i="16" s="1"/>
  <c r="AF189" i="16"/>
  <c r="AD192" i="16"/>
  <c r="C196" i="16"/>
  <c r="C29" i="16" s="1"/>
  <c r="G206" i="16"/>
  <c r="K206" i="16"/>
  <c r="T206" i="16"/>
  <c r="AF202" i="16"/>
  <c r="AG202" i="16" s="1"/>
  <c r="AC205" i="16"/>
  <c r="AF229" i="16"/>
  <c r="E246" i="16"/>
  <c r="I246" i="16"/>
  <c r="M246" i="16"/>
  <c r="Q246" i="16"/>
  <c r="U246" i="16"/>
  <c r="AF244" i="16"/>
  <c r="AG244" i="16" s="1"/>
  <c r="E206" i="16"/>
  <c r="K246" i="16"/>
  <c r="W246" i="16"/>
  <c r="Y192" i="16"/>
  <c r="Y25" i="16" s="1"/>
  <c r="Z194" i="16"/>
  <c r="Z27" i="16" s="1"/>
  <c r="D206" i="16"/>
  <c r="H206" i="16"/>
  <c r="L206" i="16"/>
  <c r="Q206" i="16"/>
  <c r="U206" i="16"/>
  <c r="AF204" i="16"/>
  <c r="AG204" i="16" s="1"/>
  <c r="AD232" i="16"/>
  <c r="B236" i="16"/>
  <c r="F246" i="16"/>
  <c r="J246" i="16"/>
  <c r="N246" i="16"/>
  <c r="R246" i="16"/>
  <c r="V246" i="16"/>
  <c r="AF242" i="16"/>
  <c r="AG242" i="16" s="1"/>
  <c r="AE180" i="16"/>
  <c r="AE193" i="16"/>
  <c r="Z199" i="16"/>
  <c r="Z32" i="16" s="1"/>
  <c r="AC203" i="16"/>
  <c r="Y214" i="16"/>
  <c r="AE196" i="16"/>
  <c r="Z225" i="16"/>
  <c r="Z58" i="16" s="1"/>
  <c r="Y232" i="16"/>
  <c r="Y65" i="16" s="1"/>
  <c r="X236" i="16"/>
  <c r="X69" i="16" s="1"/>
  <c r="B196" i="16"/>
  <c r="B29" i="16" s="1"/>
  <c r="Z197" i="16"/>
  <c r="Z30" i="16" s="1"/>
  <c r="AF228" i="16"/>
  <c r="AD180" i="16"/>
  <c r="AF195" i="16"/>
  <c r="AG195" i="16" s="1"/>
  <c r="AF198" i="16"/>
  <c r="E216" i="16"/>
  <c r="AF182" i="16"/>
  <c r="AG182" i="16" s="1"/>
  <c r="AF183" i="16"/>
  <c r="I214" i="16"/>
  <c r="Q216" i="16"/>
  <c r="AF227" i="16"/>
  <c r="M214" i="16"/>
  <c r="U216" i="16"/>
  <c r="AF230" i="16"/>
  <c r="AG230" i="16" s="1"/>
  <c r="AF234" i="16"/>
  <c r="AG234" i="16" s="1"/>
  <c r="AF238" i="16"/>
  <c r="AF243" i="16"/>
  <c r="AG243" i="16" s="1"/>
  <c r="AF190" i="16"/>
  <c r="AF184" i="16"/>
  <c r="AF186" i="16"/>
  <c r="Q214" i="16"/>
  <c r="I216" i="16"/>
  <c r="Y216" i="16"/>
  <c r="AF191" i="16"/>
  <c r="E214" i="16"/>
  <c r="U214" i="16"/>
  <c r="M216" i="16"/>
  <c r="AF231" i="16"/>
  <c r="AG231" i="16" s="1"/>
  <c r="AF237" i="16"/>
  <c r="AF241" i="16"/>
  <c r="AG241" i="16" s="1"/>
  <c r="AF245" i="16"/>
  <c r="AG245" i="16" s="1"/>
  <c r="I215" i="16"/>
  <c r="Q215" i="16"/>
  <c r="B214" i="16"/>
  <c r="F214" i="16"/>
  <c r="J214" i="16"/>
  <c r="N214" i="16"/>
  <c r="R214" i="16"/>
  <c r="V214" i="16"/>
  <c r="B215" i="16"/>
  <c r="F215" i="16"/>
  <c r="J215" i="16"/>
  <c r="N215" i="16"/>
  <c r="R215" i="16"/>
  <c r="V215" i="16"/>
  <c r="B216" i="16"/>
  <c r="F216" i="16"/>
  <c r="J216" i="16"/>
  <c r="N216" i="16"/>
  <c r="R216" i="16"/>
  <c r="V216" i="16"/>
  <c r="AF201" i="16"/>
  <c r="AG201" i="16" s="1"/>
  <c r="C214" i="16"/>
  <c r="G214" i="16"/>
  <c r="K214" i="16"/>
  <c r="O214" i="16"/>
  <c r="S214" i="16"/>
  <c r="W214" i="16"/>
  <c r="C215" i="16"/>
  <c r="G215" i="16"/>
  <c r="K215" i="16"/>
  <c r="O215" i="16"/>
  <c r="S215" i="16"/>
  <c r="W215" i="16"/>
  <c r="C216" i="16"/>
  <c r="G216" i="16"/>
  <c r="K216" i="16"/>
  <c r="O216" i="16"/>
  <c r="S216" i="16"/>
  <c r="W216" i="16"/>
  <c r="E215" i="16"/>
  <c r="M215" i="16"/>
  <c r="U215" i="16"/>
  <c r="Y215" i="16"/>
  <c r="D214" i="16"/>
  <c r="H214" i="16"/>
  <c r="L214" i="16"/>
  <c r="P214" i="16"/>
  <c r="T214" i="16"/>
  <c r="D215" i="16"/>
  <c r="H215" i="16"/>
  <c r="L215" i="16"/>
  <c r="P215" i="16"/>
  <c r="T215" i="16"/>
  <c r="D216" i="16"/>
  <c r="H216" i="16"/>
  <c r="L216" i="16"/>
  <c r="P216" i="16"/>
  <c r="T216" i="16"/>
  <c r="M22" i="19"/>
  <c r="M113" i="19"/>
  <c r="M114" i="19"/>
  <c r="L119" i="19"/>
  <c r="M119" i="19" s="1"/>
  <c r="M121" i="19"/>
  <c r="D52" i="19"/>
  <c r="M54" i="19"/>
  <c r="D96" i="19"/>
  <c r="M115" i="19"/>
  <c r="M123" i="19"/>
  <c r="M23" i="19"/>
  <c r="B127" i="19"/>
  <c r="U14" i="19" s="1"/>
  <c r="M55" i="19"/>
  <c r="M63" i="19"/>
  <c r="M80" i="19"/>
  <c r="M109" i="19"/>
  <c r="M117" i="19"/>
  <c r="M124" i="19"/>
  <c r="J14" i="19"/>
  <c r="M17" i="19"/>
  <c r="M36" i="19"/>
  <c r="D42" i="19"/>
  <c r="M47" i="19"/>
  <c r="G52" i="19"/>
  <c r="L67" i="19"/>
  <c r="Q24" i="19" s="1"/>
  <c r="G74" i="19"/>
  <c r="G127" i="19" s="1"/>
  <c r="U19" i="19" s="1"/>
  <c r="M77" i="19"/>
  <c r="I91" i="19"/>
  <c r="L91" i="19"/>
  <c r="M93" i="19"/>
  <c r="J96" i="19"/>
  <c r="L102" i="19"/>
  <c r="M27" i="19"/>
  <c r="M33" i="19"/>
  <c r="I42" i="19"/>
  <c r="M59" i="19"/>
  <c r="K67" i="19"/>
  <c r="Q23" i="19" s="1"/>
  <c r="K127" i="19"/>
  <c r="U23" i="19" s="1"/>
  <c r="M120" i="19"/>
  <c r="H14" i="19"/>
  <c r="J42" i="19"/>
  <c r="M50" i="19"/>
  <c r="M51" i="19"/>
  <c r="D67" i="19"/>
  <c r="Q16" i="19" s="1"/>
  <c r="M57" i="19"/>
  <c r="E67" i="19"/>
  <c r="Q18" i="19" s="1"/>
  <c r="E127" i="19"/>
  <c r="U18" i="19" s="1"/>
  <c r="I74" i="19"/>
  <c r="M81" i="19"/>
  <c r="J83" i="19"/>
  <c r="J127" i="19" s="1"/>
  <c r="U21" i="19" s="1"/>
  <c r="M85" i="19"/>
  <c r="M87" i="19"/>
  <c r="M110" i="19"/>
  <c r="H91" i="19"/>
  <c r="J127" i="20"/>
  <c r="U22" i="20" s="1"/>
  <c r="G127" i="20"/>
  <c r="U17" i="20" s="1"/>
  <c r="K67" i="20"/>
  <c r="Q23" i="20" s="1"/>
  <c r="I84" i="5"/>
  <c r="C100" i="5"/>
  <c r="H56" i="5"/>
  <c r="H13" i="5"/>
  <c r="H16" i="5"/>
  <c r="H26" i="5"/>
  <c r="H52" i="5"/>
  <c r="H72" i="5"/>
  <c r="C60" i="5"/>
  <c r="H39" i="5"/>
  <c r="C446" i="13" l="1"/>
  <c r="R451" i="13"/>
  <c r="B66" i="13"/>
  <c r="Y69" i="13"/>
  <c r="B69" i="13"/>
  <c r="Q69" i="13"/>
  <c r="S69" i="13"/>
  <c r="T69" i="13"/>
  <c r="M69" i="13"/>
  <c r="V69" i="13"/>
  <c r="O69" i="13"/>
  <c r="P69" i="13"/>
  <c r="I69" i="13"/>
  <c r="R69" i="13"/>
  <c r="K69" i="13"/>
  <c r="X69" i="13"/>
  <c r="L69" i="13"/>
  <c r="E69" i="13"/>
  <c r="N69" i="13"/>
  <c r="G69" i="13"/>
  <c r="H69" i="13"/>
  <c r="J69" i="13"/>
  <c r="C69" i="13"/>
  <c r="D69" i="13"/>
  <c r="F69" i="13"/>
  <c r="U69" i="13"/>
  <c r="W69" i="13"/>
  <c r="R24" i="19"/>
  <c r="R16" i="19"/>
  <c r="R18" i="19"/>
  <c r="R23" i="19"/>
  <c r="AF58" i="16"/>
  <c r="AG58" i="16" s="1"/>
  <c r="X79" i="16"/>
  <c r="AD79" i="16" s="1"/>
  <c r="AC13" i="16"/>
  <c r="AF13" i="16" s="1"/>
  <c r="AG13" i="16" s="1"/>
  <c r="AC29" i="16"/>
  <c r="B39" i="16"/>
  <c r="AC236" i="16"/>
  <c r="B69" i="16"/>
  <c r="R39" i="16"/>
  <c r="C39" i="16"/>
  <c r="AE65" i="16"/>
  <c r="AF65" i="16" s="1"/>
  <c r="AG65" i="16" s="1"/>
  <c r="M39" i="16"/>
  <c r="X84" i="16"/>
  <c r="S84" i="16"/>
  <c r="D84" i="16"/>
  <c r="L84" i="16"/>
  <c r="T84" i="16"/>
  <c r="P84" i="16"/>
  <c r="U84" i="16"/>
  <c r="Q84" i="16"/>
  <c r="F84" i="16"/>
  <c r="N84" i="16"/>
  <c r="V84" i="16"/>
  <c r="I84" i="16"/>
  <c r="G84" i="16"/>
  <c r="O84" i="16"/>
  <c r="W84" i="16"/>
  <c r="K84" i="16"/>
  <c r="H84" i="16"/>
  <c r="J84" i="16"/>
  <c r="C84" i="16"/>
  <c r="B84" i="16"/>
  <c r="AD196" i="16"/>
  <c r="X29" i="16"/>
  <c r="AC25" i="16"/>
  <c r="Y84" i="16"/>
  <c r="I39" i="16"/>
  <c r="R84" i="16"/>
  <c r="AD69" i="16"/>
  <c r="AE25" i="16"/>
  <c r="Y39" i="16"/>
  <c r="P39" i="16"/>
  <c r="O39" i="16"/>
  <c r="M84" i="16"/>
  <c r="E84" i="16"/>
  <c r="Y79" i="16"/>
  <c r="AE79" i="16" s="1"/>
  <c r="X206" i="16"/>
  <c r="AD206" i="16" s="1"/>
  <c r="U349" i="15"/>
  <c r="N349" i="15"/>
  <c r="E349" i="15"/>
  <c r="G349" i="15"/>
  <c r="U378" i="13"/>
  <c r="Z448" i="13"/>
  <c r="Z222" i="13"/>
  <c r="Z373" i="13"/>
  <c r="Z297" i="13"/>
  <c r="S144" i="13"/>
  <c r="U144" i="13"/>
  <c r="Y144" i="13"/>
  <c r="P144" i="13"/>
  <c r="O144" i="13"/>
  <c r="R144" i="13"/>
  <c r="L144" i="13"/>
  <c r="I144" i="13"/>
  <c r="K144" i="13"/>
  <c r="F144" i="13"/>
  <c r="H144" i="13"/>
  <c r="G144" i="13"/>
  <c r="D144" i="13"/>
  <c r="V144" i="13"/>
  <c r="C144" i="13"/>
  <c r="Q144" i="13"/>
  <c r="B144" i="13"/>
  <c r="N144" i="13"/>
  <c r="M144" i="13"/>
  <c r="J144" i="13"/>
  <c r="E144" i="13"/>
  <c r="X144" i="13"/>
  <c r="W144" i="13"/>
  <c r="T144" i="13"/>
  <c r="G100" i="5"/>
  <c r="F61" i="18"/>
  <c r="AF26" i="17"/>
  <c r="AG26" i="17" s="1"/>
  <c r="AB359" i="13"/>
  <c r="G60" i="5"/>
  <c r="L65" i="18"/>
  <c r="G39" i="6"/>
  <c r="U101" i="17"/>
  <c r="AA57" i="17"/>
  <c r="AA76" i="17"/>
  <c r="S61" i="18"/>
  <c r="AB357" i="13"/>
  <c r="AB370" i="13"/>
  <c r="AB368" i="13"/>
  <c r="AB366" i="13"/>
  <c r="AB364" i="13"/>
  <c r="W155" i="14"/>
  <c r="C61" i="18"/>
  <c r="AB347" i="13"/>
  <c r="C79" i="17"/>
  <c r="D79" i="17" s="1"/>
  <c r="W65" i="18"/>
  <c r="U61" i="18"/>
  <c r="L57" i="18"/>
  <c r="AB319" i="13"/>
  <c r="AF56" i="17"/>
  <c r="AG56" i="17" s="1"/>
  <c r="AF48" i="17"/>
  <c r="AG48" i="17" s="1"/>
  <c r="G127" i="4"/>
  <c r="G69" i="6"/>
  <c r="M61" i="18"/>
  <c r="T61" i="18"/>
  <c r="H57" i="18"/>
  <c r="AB341" i="13"/>
  <c r="Y372" i="13"/>
  <c r="AA37" i="17"/>
  <c r="AA12" i="17"/>
  <c r="V61" i="18"/>
  <c r="AC78" i="17"/>
  <c r="AB336" i="13"/>
  <c r="AD78" i="17"/>
  <c r="AB332" i="13"/>
  <c r="F127" i="20"/>
  <c r="U18" i="20" s="1"/>
  <c r="D127" i="20"/>
  <c r="U16" i="20" s="1"/>
  <c r="M31" i="19"/>
  <c r="M96" i="19"/>
  <c r="D67" i="7"/>
  <c r="M65" i="18"/>
  <c r="O61" i="18"/>
  <c r="R61" i="18"/>
  <c r="AA35" i="18"/>
  <c r="AA46" i="18"/>
  <c r="U65" i="18"/>
  <c r="AF33" i="18"/>
  <c r="AG33" i="18" s="1"/>
  <c r="K61" i="18"/>
  <c r="N61" i="18"/>
  <c r="AA22" i="18"/>
  <c r="AA33" i="18"/>
  <c r="AA40" i="18"/>
  <c r="AA37" i="18"/>
  <c r="X61" i="18"/>
  <c r="H61" i="18"/>
  <c r="D57" i="18"/>
  <c r="W61" i="18"/>
  <c r="G61" i="18"/>
  <c r="J65" i="18"/>
  <c r="K62" i="18"/>
  <c r="D62" i="18"/>
  <c r="J62" i="18"/>
  <c r="I62" i="18"/>
  <c r="X62" i="18"/>
  <c r="AC50" i="18"/>
  <c r="AA48" i="18"/>
  <c r="AA32" i="18"/>
  <c r="AA20" i="18"/>
  <c r="X65" i="18"/>
  <c r="H65" i="18"/>
  <c r="AA43" i="18"/>
  <c r="AA30" i="18"/>
  <c r="AA18" i="18"/>
  <c r="S65" i="18"/>
  <c r="C65" i="18"/>
  <c r="AA34" i="18"/>
  <c r="AA15" i="18"/>
  <c r="I65" i="18"/>
  <c r="AA16" i="18"/>
  <c r="V65" i="18"/>
  <c r="F65" i="18"/>
  <c r="W62" i="18"/>
  <c r="G62" i="18"/>
  <c r="V62" i="18"/>
  <c r="F62" i="18"/>
  <c r="L62" i="18"/>
  <c r="U62" i="18"/>
  <c r="E62" i="18"/>
  <c r="Y62" i="18"/>
  <c r="AA42" i="18"/>
  <c r="AA29" i="18"/>
  <c r="AA17" i="18"/>
  <c r="T65" i="18"/>
  <c r="D65" i="18"/>
  <c r="AA39" i="18"/>
  <c r="AA27" i="18"/>
  <c r="AA14" i="18"/>
  <c r="O65" i="18"/>
  <c r="AA47" i="18"/>
  <c r="AA28" i="18"/>
  <c r="AA11" i="18"/>
  <c r="AA41" i="18"/>
  <c r="AA12" i="18"/>
  <c r="B62" i="18"/>
  <c r="R65" i="18"/>
  <c r="B65" i="18"/>
  <c r="S62" i="18"/>
  <c r="C62" i="18"/>
  <c r="R62" i="18"/>
  <c r="AF41" i="18"/>
  <c r="AG41" i="18" s="1"/>
  <c r="AF11" i="18"/>
  <c r="AG11" i="18" s="1"/>
  <c r="Q62" i="18"/>
  <c r="P62" i="18"/>
  <c r="H62" i="18"/>
  <c r="Q65" i="18"/>
  <c r="AA38" i="18"/>
  <c r="AA26" i="18"/>
  <c r="AA13" i="18"/>
  <c r="P65" i="18"/>
  <c r="AA49" i="18"/>
  <c r="AA36" i="18"/>
  <c r="AA23" i="18"/>
  <c r="E65" i="18"/>
  <c r="K65" i="18"/>
  <c r="AA44" i="18"/>
  <c r="AA24" i="18"/>
  <c r="AA31" i="18"/>
  <c r="AA25" i="18"/>
  <c r="AA45" i="18"/>
  <c r="C51" i="18"/>
  <c r="D51" i="18" s="1"/>
  <c r="N65" i="18"/>
  <c r="O62" i="18"/>
  <c r="N62" i="18"/>
  <c r="T62" i="18"/>
  <c r="M62" i="18"/>
  <c r="B88" i="16"/>
  <c r="R88" i="16"/>
  <c r="G88" i="16"/>
  <c r="W88" i="16"/>
  <c r="L88" i="16"/>
  <c r="D88" i="16"/>
  <c r="N88" i="16"/>
  <c r="S88" i="16"/>
  <c r="H88" i="16"/>
  <c r="I88" i="16"/>
  <c r="F88" i="16"/>
  <c r="V88" i="16"/>
  <c r="E88" i="16"/>
  <c r="K88" i="16"/>
  <c r="Y88" i="16"/>
  <c r="P88" i="16"/>
  <c r="U88" i="16"/>
  <c r="J88" i="16"/>
  <c r="Q88" i="16"/>
  <c r="O88" i="16"/>
  <c r="T88" i="16"/>
  <c r="C88" i="16"/>
  <c r="M88" i="16"/>
  <c r="X88" i="16"/>
  <c r="J89" i="16"/>
  <c r="Q89" i="16"/>
  <c r="O89" i="16"/>
  <c r="D89" i="16"/>
  <c r="T89" i="16"/>
  <c r="I89" i="16"/>
  <c r="L89" i="16"/>
  <c r="V89" i="16"/>
  <c r="U89" i="16"/>
  <c r="P89" i="16"/>
  <c r="Y89" i="16"/>
  <c r="N89" i="16"/>
  <c r="C89" i="16"/>
  <c r="S89" i="16"/>
  <c r="H89" i="16"/>
  <c r="X89" i="16"/>
  <c r="B89" i="16"/>
  <c r="R89" i="16"/>
  <c r="G89" i="16"/>
  <c r="W89" i="16"/>
  <c r="M89" i="16"/>
  <c r="F89" i="16"/>
  <c r="E89" i="16"/>
  <c r="K89" i="16"/>
  <c r="H122" i="16"/>
  <c r="I122" i="16" s="1"/>
  <c r="U87" i="16"/>
  <c r="J87" i="16"/>
  <c r="M87" i="16"/>
  <c r="O87" i="16"/>
  <c r="Q87" i="16"/>
  <c r="D87" i="16"/>
  <c r="T87" i="16"/>
  <c r="W87" i="16"/>
  <c r="E87" i="16"/>
  <c r="F87" i="16"/>
  <c r="V87" i="16"/>
  <c r="K87" i="16"/>
  <c r="I87" i="16"/>
  <c r="N87" i="16"/>
  <c r="C87" i="16"/>
  <c r="S87" i="16"/>
  <c r="H87" i="16"/>
  <c r="X87" i="16"/>
  <c r="B87" i="16"/>
  <c r="R87" i="16"/>
  <c r="G87" i="16"/>
  <c r="Y87" i="16"/>
  <c r="L87" i="16"/>
  <c r="P87" i="16"/>
  <c r="AF193" i="16"/>
  <c r="AG193" i="16" s="1"/>
  <c r="AF203" i="16"/>
  <c r="AG203" i="16" s="1"/>
  <c r="AF239" i="16"/>
  <c r="AG239" i="16" s="1"/>
  <c r="M206" i="16"/>
  <c r="AF225" i="16"/>
  <c r="AG225" i="16" s="1"/>
  <c r="I206" i="16"/>
  <c r="AF205" i="16"/>
  <c r="AG205" i="16" s="1"/>
  <c r="G164" i="16"/>
  <c r="H163" i="16"/>
  <c r="AF197" i="16"/>
  <c r="AG197" i="16" s="1"/>
  <c r="AA51" i="17"/>
  <c r="AA66" i="17"/>
  <c r="C101" i="17"/>
  <c r="AA31" i="17"/>
  <c r="AA32" i="17"/>
  <c r="AA56" i="17"/>
  <c r="H101" i="17"/>
  <c r="AA49" i="17"/>
  <c r="B101" i="17"/>
  <c r="O101" i="17"/>
  <c r="AA26" i="17"/>
  <c r="L101" i="17"/>
  <c r="AA62" i="17"/>
  <c r="AA20" i="17"/>
  <c r="AA69" i="17"/>
  <c r="AA47" i="17"/>
  <c r="AA28" i="17"/>
  <c r="AA77" i="17"/>
  <c r="AA52" i="17"/>
  <c r="AA25" i="17"/>
  <c r="W101" i="17"/>
  <c r="AA74" i="17"/>
  <c r="AA42" i="17"/>
  <c r="X101" i="17"/>
  <c r="D101" i="17"/>
  <c r="AA50" i="17"/>
  <c r="AA58" i="17"/>
  <c r="M101" i="17"/>
  <c r="AA64" i="17"/>
  <c r="AA44" i="17"/>
  <c r="AA21" i="17"/>
  <c r="AA70" i="17"/>
  <c r="AA48" i="17"/>
  <c r="AA18" i="17"/>
  <c r="S101" i="17"/>
  <c r="AA67" i="17"/>
  <c r="AA30" i="17"/>
  <c r="AA65" i="17"/>
  <c r="R101" i="17"/>
  <c r="I101" i="17"/>
  <c r="AA72" i="17"/>
  <c r="AA55" i="17"/>
  <c r="AA40" i="17"/>
  <c r="AA24" i="17"/>
  <c r="V101" i="17"/>
  <c r="AA63" i="17"/>
  <c r="AA41" i="17"/>
  <c r="AA22" i="17"/>
  <c r="Y101" i="17"/>
  <c r="G101" i="17"/>
  <c r="AA61" i="17"/>
  <c r="AA38" i="17"/>
  <c r="AA15" i="17"/>
  <c r="T101" i="17"/>
  <c r="AA54" i="17"/>
  <c r="AA35" i="17"/>
  <c r="AA68" i="17"/>
  <c r="F101" i="17"/>
  <c r="E101" i="17"/>
  <c r="AA13" i="17"/>
  <c r="AA73" i="17"/>
  <c r="AA60" i="17"/>
  <c r="AA45" i="17"/>
  <c r="AA29" i="17"/>
  <c r="AA14" i="17"/>
  <c r="AA78" i="17"/>
  <c r="K101" i="17"/>
  <c r="AA71" i="17"/>
  <c r="AA53" i="17"/>
  <c r="AA34" i="17"/>
  <c r="AA19" i="17"/>
  <c r="AA75" i="17"/>
  <c r="AA39" i="17"/>
  <c r="AA27" i="17"/>
  <c r="AA16" i="17"/>
  <c r="N101" i="17"/>
  <c r="Q101" i="17"/>
  <c r="AF78" i="17"/>
  <c r="AG78" i="17" s="1"/>
  <c r="AF50" i="18"/>
  <c r="AG50" i="18" s="1"/>
  <c r="W349" i="15"/>
  <c r="R300" i="15"/>
  <c r="AF268" i="15"/>
  <c r="AG268" i="15" s="1"/>
  <c r="L349" i="15"/>
  <c r="T302" i="15"/>
  <c r="G175" i="15"/>
  <c r="H174" i="15"/>
  <c r="D302" i="15"/>
  <c r="K109" i="15"/>
  <c r="J349" i="15"/>
  <c r="Q349" i="15"/>
  <c r="S349" i="15"/>
  <c r="C349" i="15"/>
  <c r="O109" i="15"/>
  <c r="W109" i="15"/>
  <c r="S58" i="15"/>
  <c r="V349" i="15"/>
  <c r="F349" i="15"/>
  <c r="M349" i="15"/>
  <c r="O349" i="15"/>
  <c r="I114" i="15"/>
  <c r="J114" i="15"/>
  <c r="Q114" i="15"/>
  <c r="L114" i="15"/>
  <c r="U114" i="15"/>
  <c r="E114" i="15"/>
  <c r="B114" i="15"/>
  <c r="N114" i="15"/>
  <c r="M114" i="15"/>
  <c r="R114" i="15"/>
  <c r="C114" i="15"/>
  <c r="P114" i="15"/>
  <c r="W114" i="15"/>
  <c r="H114" i="15"/>
  <c r="Y114" i="15"/>
  <c r="T114" i="15"/>
  <c r="K114" i="15"/>
  <c r="D114" i="15"/>
  <c r="V114" i="15"/>
  <c r="F114" i="15"/>
  <c r="S114" i="15"/>
  <c r="G114" i="15"/>
  <c r="X114" i="15"/>
  <c r="O114" i="15"/>
  <c r="H226" i="15"/>
  <c r="I225" i="15"/>
  <c r="X118" i="15"/>
  <c r="D118" i="15"/>
  <c r="R118" i="15"/>
  <c r="C118" i="15"/>
  <c r="O118" i="15"/>
  <c r="S118" i="15"/>
  <c r="P118" i="15"/>
  <c r="W118" i="15"/>
  <c r="N118" i="15"/>
  <c r="L118" i="15"/>
  <c r="F118" i="15"/>
  <c r="H118" i="15"/>
  <c r="G118" i="15"/>
  <c r="K118" i="15"/>
  <c r="B118" i="15"/>
  <c r="T118" i="15"/>
  <c r="E118" i="15"/>
  <c r="Y118" i="15"/>
  <c r="V118" i="15"/>
  <c r="J118" i="15"/>
  <c r="U118" i="15"/>
  <c r="I118" i="15"/>
  <c r="Q118" i="15"/>
  <c r="M118" i="15"/>
  <c r="R349" i="15"/>
  <c r="B349" i="15"/>
  <c r="Y349" i="15"/>
  <c r="I349" i="15"/>
  <c r="D341" i="15"/>
  <c r="K349" i="15"/>
  <c r="S70" i="15"/>
  <c r="C70" i="15"/>
  <c r="R70" i="15"/>
  <c r="K70" i="15"/>
  <c r="O70" i="15"/>
  <c r="N70" i="15"/>
  <c r="J70" i="15"/>
  <c r="Y70" i="15"/>
  <c r="W70" i="15"/>
  <c r="G70" i="15"/>
  <c r="U70" i="15"/>
  <c r="L70" i="15"/>
  <c r="D70" i="15"/>
  <c r="I70" i="15"/>
  <c r="E70" i="15"/>
  <c r="P70" i="15"/>
  <c r="Q70" i="15"/>
  <c r="T70" i="15"/>
  <c r="B70" i="15"/>
  <c r="H70" i="15"/>
  <c r="M70" i="15"/>
  <c r="V70" i="15"/>
  <c r="X70" i="15"/>
  <c r="F70" i="15"/>
  <c r="T349" i="15"/>
  <c r="C58" i="15"/>
  <c r="C290" i="15"/>
  <c r="D290" i="15" s="1"/>
  <c r="S109" i="15"/>
  <c r="P349" i="15"/>
  <c r="G109" i="15"/>
  <c r="H349" i="15"/>
  <c r="L71" i="15"/>
  <c r="O71" i="15"/>
  <c r="C71" i="15"/>
  <c r="T71" i="15"/>
  <c r="D71" i="15"/>
  <c r="W71" i="15"/>
  <c r="X71" i="15"/>
  <c r="H71" i="15"/>
  <c r="G71" i="15"/>
  <c r="Q71" i="15"/>
  <c r="P71" i="15"/>
  <c r="K71" i="15"/>
  <c r="S71" i="15"/>
  <c r="Y71" i="15"/>
  <c r="N71" i="15"/>
  <c r="M71" i="15"/>
  <c r="V71" i="15"/>
  <c r="E71" i="15"/>
  <c r="B71" i="15"/>
  <c r="R71" i="15"/>
  <c r="F71" i="15"/>
  <c r="J71" i="15"/>
  <c r="U71" i="15"/>
  <c r="I71" i="15"/>
  <c r="AD91" i="14"/>
  <c r="AD138" i="14"/>
  <c r="AD113" i="14"/>
  <c r="AC108" i="14"/>
  <c r="K155" i="14"/>
  <c r="G155" i="14"/>
  <c r="Q155" i="14"/>
  <c r="X155" i="14"/>
  <c r="M155" i="14"/>
  <c r="L155" i="14"/>
  <c r="E155" i="14"/>
  <c r="I155" i="14"/>
  <c r="H155" i="14"/>
  <c r="S155" i="14"/>
  <c r="O155" i="14"/>
  <c r="D155" i="14"/>
  <c r="C155" i="14"/>
  <c r="F155" i="14"/>
  <c r="V155" i="14"/>
  <c r="J155" i="14"/>
  <c r="R155" i="14"/>
  <c r="B155" i="14"/>
  <c r="N155" i="14"/>
  <c r="U155" i="14"/>
  <c r="AC131" i="14"/>
  <c r="AF131" i="14" s="1"/>
  <c r="AG131" i="14" s="1"/>
  <c r="T155" i="14"/>
  <c r="AD119" i="14"/>
  <c r="AC138" i="14"/>
  <c r="AE113" i="14"/>
  <c r="P155" i="14"/>
  <c r="B386" i="14"/>
  <c r="D386" i="14"/>
  <c r="J463" i="14"/>
  <c r="C386" i="14"/>
  <c r="X386" i="14"/>
  <c r="V386" i="14"/>
  <c r="G386" i="14"/>
  <c r="E386" i="14"/>
  <c r="S386" i="14"/>
  <c r="Z61" i="14"/>
  <c r="R81" i="14" s="1"/>
  <c r="R386" i="14"/>
  <c r="AD65" i="14"/>
  <c r="AF65" i="14" s="1"/>
  <c r="AG65" i="14" s="1"/>
  <c r="AE63" i="14"/>
  <c r="AE35" i="14"/>
  <c r="N386" i="14"/>
  <c r="K386" i="14"/>
  <c r="H386" i="14"/>
  <c r="I386" i="14"/>
  <c r="AE61" i="14"/>
  <c r="U386" i="14"/>
  <c r="U373" i="14"/>
  <c r="U67" i="14" s="1"/>
  <c r="AE51" i="14"/>
  <c r="Q81" i="14"/>
  <c r="L446" i="14"/>
  <c r="L142" i="14" s="1"/>
  <c r="O386" i="14"/>
  <c r="L386" i="14"/>
  <c r="M386" i="14"/>
  <c r="AD26" i="14"/>
  <c r="Y386" i="14"/>
  <c r="F386" i="14"/>
  <c r="W386" i="14"/>
  <c r="Q386" i="14"/>
  <c r="P386" i="14"/>
  <c r="U387" i="14"/>
  <c r="I387" i="14"/>
  <c r="W387" i="14"/>
  <c r="G297" i="14"/>
  <c r="H296" i="14"/>
  <c r="Y453" i="14"/>
  <c r="S388" i="14"/>
  <c r="C387" i="14"/>
  <c r="F222" i="14"/>
  <c r="G221" i="14"/>
  <c r="D387" i="14"/>
  <c r="M387" i="14"/>
  <c r="X100" i="14"/>
  <c r="T373" i="14"/>
  <c r="T67" i="14" s="1"/>
  <c r="AD328" i="14"/>
  <c r="Q446" i="14"/>
  <c r="Q142" i="14" s="1"/>
  <c r="X460" i="14"/>
  <c r="B446" i="14"/>
  <c r="C447" i="14" s="1"/>
  <c r="D447" i="14" s="1"/>
  <c r="D448" i="14" s="1"/>
  <c r="J446" i="14"/>
  <c r="J142" i="14" s="1"/>
  <c r="F142" i="14"/>
  <c r="N142" i="14"/>
  <c r="Y446" i="14"/>
  <c r="AE446" i="14" s="1"/>
  <c r="S384" i="14"/>
  <c r="AE417" i="14"/>
  <c r="S373" i="14"/>
  <c r="S67" i="14" s="1"/>
  <c r="Q67" i="14"/>
  <c r="V154" i="13"/>
  <c r="F154" i="13"/>
  <c r="X154" i="13"/>
  <c r="H154" i="13"/>
  <c r="O154" i="13"/>
  <c r="I154" i="13"/>
  <c r="C305" i="13"/>
  <c r="R154" i="13"/>
  <c r="B154" i="13"/>
  <c r="U154" i="13"/>
  <c r="E154" i="13"/>
  <c r="T154" i="13"/>
  <c r="D154" i="13"/>
  <c r="K154" i="13"/>
  <c r="P66" i="13"/>
  <c r="U301" i="13"/>
  <c r="AE128" i="13"/>
  <c r="Y154" i="13"/>
  <c r="C156" i="13"/>
  <c r="L156" i="13"/>
  <c r="Q156" i="13"/>
  <c r="O156" i="13"/>
  <c r="B156" i="13"/>
  <c r="R156" i="13"/>
  <c r="K156" i="13"/>
  <c r="P156" i="13"/>
  <c r="G156" i="13"/>
  <c r="E156" i="13"/>
  <c r="U156" i="13"/>
  <c r="F156" i="13"/>
  <c r="V156" i="13"/>
  <c r="X156" i="13"/>
  <c r="Y156" i="13"/>
  <c r="N156" i="13"/>
  <c r="W156" i="13"/>
  <c r="D156" i="13"/>
  <c r="T156" i="13"/>
  <c r="S156" i="13"/>
  <c r="I156" i="13"/>
  <c r="J156" i="13"/>
  <c r="H156" i="13"/>
  <c r="M156" i="13"/>
  <c r="G83" i="13"/>
  <c r="W83" i="13"/>
  <c r="V83" i="13"/>
  <c r="L83" i="13"/>
  <c r="B83" i="13"/>
  <c r="Q83" i="13"/>
  <c r="K83" i="13"/>
  <c r="P83" i="13"/>
  <c r="E83" i="13"/>
  <c r="U83" i="13"/>
  <c r="R83" i="13"/>
  <c r="S83" i="13"/>
  <c r="X83" i="13"/>
  <c r="M83" i="13"/>
  <c r="F83" i="13"/>
  <c r="O83" i="13"/>
  <c r="D83" i="13"/>
  <c r="T83" i="13"/>
  <c r="N83" i="13"/>
  <c r="I83" i="13"/>
  <c r="C83" i="13"/>
  <c r="J83" i="13"/>
  <c r="H83" i="13"/>
  <c r="Y83" i="13"/>
  <c r="Q301" i="13"/>
  <c r="N154" i="13"/>
  <c r="Q154" i="13"/>
  <c r="I301" i="13"/>
  <c r="C220" i="13"/>
  <c r="D220" i="13" s="1"/>
  <c r="D221" i="13" s="1"/>
  <c r="P154" i="13"/>
  <c r="W154" i="13"/>
  <c r="G154" i="13"/>
  <c r="AD51" i="13"/>
  <c r="L158" i="13"/>
  <c r="I158" i="13"/>
  <c r="S158" i="13"/>
  <c r="B158" i="13"/>
  <c r="R158" i="13"/>
  <c r="O158" i="13"/>
  <c r="P158" i="13"/>
  <c r="C158" i="13"/>
  <c r="M158" i="13"/>
  <c r="Y158" i="13"/>
  <c r="F158" i="13"/>
  <c r="V158" i="13"/>
  <c r="H158" i="13"/>
  <c r="E158" i="13"/>
  <c r="D158" i="13"/>
  <c r="T158" i="13"/>
  <c r="K158" i="13"/>
  <c r="Q158" i="13"/>
  <c r="J158" i="13"/>
  <c r="X158" i="13"/>
  <c r="W158" i="13"/>
  <c r="U158" i="13"/>
  <c r="G158" i="13"/>
  <c r="N158" i="13"/>
  <c r="AE104" i="13"/>
  <c r="AE26" i="13"/>
  <c r="D159" i="13"/>
  <c r="T159" i="13"/>
  <c r="G159" i="13"/>
  <c r="M159" i="13"/>
  <c r="Y159" i="13"/>
  <c r="J159" i="13"/>
  <c r="H159" i="13"/>
  <c r="X159" i="13"/>
  <c r="W159" i="13"/>
  <c r="Q159" i="13"/>
  <c r="K159" i="13"/>
  <c r="N159" i="13"/>
  <c r="I159" i="13"/>
  <c r="F159" i="13"/>
  <c r="C159" i="13"/>
  <c r="L159" i="13"/>
  <c r="E159" i="13"/>
  <c r="U159" i="13"/>
  <c r="S159" i="13"/>
  <c r="B159" i="13"/>
  <c r="R159" i="13"/>
  <c r="O159" i="13"/>
  <c r="P159" i="13"/>
  <c r="V159" i="13"/>
  <c r="J154" i="13"/>
  <c r="M154" i="13"/>
  <c r="Y301" i="13"/>
  <c r="E301" i="13"/>
  <c r="L154" i="13"/>
  <c r="S154" i="13"/>
  <c r="C154" i="13"/>
  <c r="AE91" i="13"/>
  <c r="AE53" i="13"/>
  <c r="AD30" i="13"/>
  <c r="AE22" i="13"/>
  <c r="AE35" i="13"/>
  <c r="AE113" i="13"/>
  <c r="I82" i="13"/>
  <c r="N82" i="13"/>
  <c r="C82" i="13"/>
  <c r="S82" i="13"/>
  <c r="H82" i="13"/>
  <c r="X82" i="13"/>
  <c r="Q82" i="13"/>
  <c r="B82" i="13"/>
  <c r="R82" i="13"/>
  <c r="E82" i="13"/>
  <c r="G82" i="13"/>
  <c r="W82" i="13"/>
  <c r="Y82" i="13"/>
  <c r="L82" i="13"/>
  <c r="O82" i="13"/>
  <c r="D82" i="13"/>
  <c r="F82" i="13"/>
  <c r="V82" i="13"/>
  <c r="U82" i="13"/>
  <c r="K82" i="13"/>
  <c r="P82" i="13"/>
  <c r="J82" i="13"/>
  <c r="M82" i="13"/>
  <c r="T82" i="13"/>
  <c r="AE13" i="13"/>
  <c r="AE119" i="13"/>
  <c r="D80" i="13"/>
  <c r="M80" i="13"/>
  <c r="R80" i="13"/>
  <c r="Q80" i="13"/>
  <c r="G80" i="13"/>
  <c r="W80" i="13"/>
  <c r="T80" i="13"/>
  <c r="F80" i="13"/>
  <c r="V80" i="13"/>
  <c r="H80" i="13"/>
  <c r="K80" i="13"/>
  <c r="X80" i="13"/>
  <c r="U80" i="13"/>
  <c r="B80" i="13"/>
  <c r="I80" i="13"/>
  <c r="S80" i="13"/>
  <c r="Y80" i="13"/>
  <c r="L80" i="13"/>
  <c r="E80" i="13"/>
  <c r="J80" i="13"/>
  <c r="P80" i="13"/>
  <c r="O80" i="13"/>
  <c r="N80" i="13"/>
  <c r="C80" i="13"/>
  <c r="AE108" i="13"/>
  <c r="AE100" i="13"/>
  <c r="W157" i="13"/>
  <c r="D157" i="13"/>
  <c r="T157" i="13"/>
  <c r="S157" i="13"/>
  <c r="E157" i="13"/>
  <c r="U157" i="13"/>
  <c r="J157" i="13"/>
  <c r="H157" i="13"/>
  <c r="X157" i="13"/>
  <c r="I157" i="13"/>
  <c r="C157" i="13"/>
  <c r="N157" i="13"/>
  <c r="G157" i="13"/>
  <c r="V157" i="13"/>
  <c r="L157" i="13"/>
  <c r="M157" i="13"/>
  <c r="Y157" i="13"/>
  <c r="O157" i="13"/>
  <c r="B157" i="13"/>
  <c r="R157" i="13"/>
  <c r="K157" i="13"/>
  <c r="P157" i="13"/>
  <c r="Q157" i="13"/>
  <c r="F157" i="13"/>
  <c r="AD119" i="13"/>
  <c r="AE30" i="13"/>
  <c r="C295" i="13"/>
  <c r="D295" i="13" s="1"/>
  <c r="D296" i="13" s="1"/>
  <c r="T305" i="13"/>
  <c r="W305" i="13"/>
  <c r="L305" i="13"/>
  <c r="S305" i="13"/>
  <c r="H305" i="13"/>
  <c r="K305" i="13"/>
  <c r="X305" i="13"/>
  <c r="D305" i="13"/>
  <c r="G305" i="13"/>
  <c r="AD100" i="13"/>
  <c r="T303" i="13"/>
  <c r="AD41" i="13"/>
  <c r="I303" i="13"/>
  <c r="U229" i="13"/>
  <c r="Y303" i="13"/>
  <c r="E303" i="13"/>
  <c r="D303" i="13"/>
  <c r="U303" i="13"/>
  <c r="M303" i="13"/>
  <c r="O230" i="13"/>
  <c r="D446" i="13"/>
  <c r="D447" i="13" s="1"/>
  <c r="I458" i="13"/>
  <c r="T460" i="13"/>
  <c r="S226" i="13"/>
  <c r="P301" i="13"/>
  <c r="S231" i="13"/>
  <c r="S303" i="13"/>
  <c r="G226" i="13"/>
  <c r="Q379" i="13"/>
  <c r="C232" i="13"/>
  <c r="T141" i="13"/>
  <c r="I379" i="13"/>
  <c r="I225" i="13"/>
  <c r="L225" i="13"/>
  <c r="AD113" i="13"/>
  <c r="G225" i="13"/>
  <c r="Y379" i="13"/>
  <c r="M225" i="13"/>
  <c r="K232" i="13"/>
  <c r="X225" i="13"/>
  <c r="O225" i="13"/>
  <c r="AD108" i="13"/>
  <c r="Y225" i="13"/>
  <c r="S232" i="13"/>
  <c r="W225" i="13"/>
  <c r="C225" i="13"/>
  <c r="O300" i="13"/>
  <c r="Q225" i="13"/>
  <c r="O232" i="13"/>
  <c r="S225" i="13"/>
  <c r="I381" i="13"/>
  <c r="O231" i="13"/>
  <c r="C231" i="13"/>
  <c r="D141" i="13"/>
  <c r="X377" i="13"/>
  <c r="Y377" i="13"/>
  <c r="W231" i="13"/>
  <c r="G231" i="13"/>
  <c r="M460" i="13"/>
  <c r="Y381" i="13"/>
  <c r="M378" i="13"/>
  <c r="Q231" i="13"/>
  <c r="Q229" i="13"/>
  <c r="X229" i="13"/>
  <c r="D460" i="13"/>
  <c r="P378" i="13"/>
  <c r="K231" i="13"/>
  <c r="M231" i="13"/>
  <c r="M229" i="13"/>
  <c r="O229" i="13"/>
  <c r="E378" i="13"/>
  <c r="D378" i="13"/>
  <c r="P305" i="13"/>
  <c r="X304" i="13"/>
  <c r="O305" i="13"/>
  <c r="W304" i="13"/>
  <c r="Q303" i="13"/>
  <c r="U302" i="13"/>
  <c r="M301" i="13"/>
  <c r="L303" i="13"/>
  <c r="C302" i="13"/>
  <c r="Y229" i="13"/>
  <c r="E229" i="13"/>
  <c r="U225" i="13"/>
  <c r="E225" i="13"/>
  <c r="U460" i="13"/>
  <c r="E460" i="13"/>
  <c r="W232" i="13"/>
  <c r="G232" i="13"/>
  <c r="W228" i="13"/>
  <c r="L460" i="13"/>
  <c r="G229" i="13"/>
  <c r="H225" i="13"/>
  <c r="F455" i="13"/>
  <c r="K225" i="13"/>
  <c r="R381" i="13"/>
  <c r="H379" i="13"/>
  <c r="AD53" i="13"/>
  <c r="U379" i="13"/>
  <c r="M379" i="13"/>
  <c r="E379" i="13"/>
  <c r="AD26" i="13"/>
  <c r="H304" i="13"/>
  <c r="G304" i="13"/>
  <c r="Q460" i="13"/>
  <c r="G228" i="13"/>
  <c r="H460" i="13"/>
  <c r="T228" i="13"/>
  <c r="X457" i="13"/>
  <c r="P457" i="13"/>
  <c r="H457" i="13"/>
  <c r="AD22" i="13"/>
  <c r="O379" i="13"/>
  <c r="Y460" i="13"/>
  <c r="I460" i="13"/>
  <c r="K230" i="13"/>
  <c r="P460" i="13"/>
  <c r="T457" i="13"/>
  <c r="L457" i="13"/>
  <c r="D457" i="13"/>
  <c r="C460" i="13"/>
  <c r="S457" i="13"/>
  <c r="C379" i="13"/>
  <c r="S300" i="13"/>
  <c r="C300" i="13"/>
  <c r="T301" i="13"/>
  <c r="D301" i="13"/>
  <c r="U231" i="13"/>
  <c r="E231" i="13"/>
  <c r="V381" i="13"/>
  <c r="M381" i="13"/>
  <c r="X378" i="13"/>
  <c r="T381" i="13"/>
  <c r="K300" i="13"/>
  <c r="L301" i="13"/>
  <c r="N381" i="13"/>
  <c r="U381" i="13"/>
  <c r="E381" i="13"/>
  <c r="H378" i="13"/>
  <c r="D381" i="13"/>
  <c r="W300" i="13"/>
  <c r="X301" i="13"/>
  <c r="H301" i="13"/>
  <c r="Y231" i="13"/>
  <c r="I231" i="13"/>
  <c r="K227" i="13"/>
  <c r="F456" i="13"/>
  <c r="J381" i="13"/>
  <c r="Q381" i="13"/>
  <c r="Y378" i="13"/>
  <c r="Q378" i="13"/>
  <c r="I378" i="13"/>
  <c r="L381" i="13"/>
  <c r="S378" i="13"/>
  <c r="W226" i="13"/>
  <c r="C226" i="13"/>
  <c r="K301" i="13"/>
  <c r="K226" i="13"/>
  <c r="P303" i="13"/>
  <c r="K303" i="13"/>
  <c r="W301" i="13"/>
  <c r="W227" i="13"/>
  <c r="G227" i="13"/>
  <c r="Y458" i="13"/>
  <c r="W229" i="13"/>
  <c r="V455" i="13"/>
  <c r="G303" i="13"/>
  <c r="S227" i="13"/>
  <c r="R376" i="13"/>
  <c r="X303" i="13"/>
  <c r="H303" i="13"/>
  <c r="W303" i="13"/>
  <c r="C303" i="13"/>
  <c r="G301" i="13"/>
  <c r="I229" i="13"/>
  <c r="O227" i="13"/>
  <c r="E458" i="13"/>
  <c r="K457" i="13"/>
  <c r="C371" i="13"/>
  <c r="D371" i="13" s="1"/>
  <c r="X379" i="13"/>
  <c r="P379" i="13"/>
  <c r="K379" i="13"/>
  <c r="T379" i="13"/>
  <c r="L379" i="13"/>
  <c r="D379" i="13"/>
  <c r="G67" i="4"/>
  <c r="Y251" i="16"/>
  <c r="I67" i="4"/>
  <c r="H67" i="4"/>
  <c r="J347" i="15"/>
  <c r="M347" i="15"/>
  <c r="W302" i="15"/>
  <c r="V347" i="15"/>
  <c r="F302" i="15"/>
  <c r="R347" i="15"/>
  <c r="Y345" i="15"/>
  <c r="L345" i="15"/>
  <c r="X345" i="15"/>
  <c r="J345" i="15"/>
  <c r="U345" i="15"/>
  <c r="E345" i="15"/>
  <c r="U302" i="15"/>
  <c r="W345" i="15"/>
  <c r="G345" i="15"/>
  <c r="Z340" i="15"/>
  <c r="AA325" i="15" s="1"/>
  <c r="G302" i="15"/>
  <c r="P345" i="15"/>
  <c r="AD16" i="15"/>
  <c r="AF16" i="15" s="1"/>
  <c r="AG16" i="15" s="1"/>
  <c r="L302" i="15"/>
  <c r="AC54" i="15"/>
  <c r="AF54" i="15" s="1"/>
  <c r="AG54" i="15" s="1"/>
  <c r="N345" i="15"/>
  <c r="I345" i="15"/>
  <c r="K345" i="15"/>
  <c r="V345" i="15"/>
  <c r="F345" i="15"/>
  <c r="V302" i="15"/>
  <c r="T345" i="15"/>
  <c r="Q347" i="15"/>
  <c r="Q345" i="15"/>
  <c r="E302" i="15"/>
  <c r="S345" i="15"/>
  <c r="C345" i="15"/>
  <c r="H345" i="15"/>
  <c r="AD37" i="15"/>
  <c r="X349" i="15"/>
  <c r="T455" i="14"/>
  <c r="W455" i="14"/>
  <c r="I455" i="14"/>
  <c r="V382" i="14"/>
  <c r="X382" i="14"/>
  <c r="L453" i="14"/>
  <c r="R455" i="14"/>
  <c r="V453" i="14"/>
  <c r="S382" i="14"/>
  <c r="B382" i="14"/>
  <c r="B453" i="14"/>
  <c r="K347" i="15"/>
  <c r="U453" i="14"/>
  <c r="H455" i="14"/>
  <c r="W453" i="14"/>
  <c r="M455" i="14"/>
  <c r="V455" i="14"/>
  <c r="N384" i="14"/>
  <c r="C455" i="14"/>
  <c r="Q460" i="14"/>
  <c r="Z91" i="14"/>
  <c r="M453" i="14"/>
  <c r="X453" i="14"/>
  <c r="G453" i="14"/>
  <c r="L455" i="14"/>
  <c r="B455" i="14"/>
  <c r="AF30" i="14"/>
  <c r="AG30" i="14" s="1"/>
  <c r="N460" i="14"/>
  <c r="T380" i="14"/>
  <c r="H453" i="14"/>
  <c r="U455" i="14"/>
  <c r="I453" i="14"/>
  <c r="P453" i="14"/>
  <c r="W460" i="14"/>
  <c r="P455" i="14"/>
  <c r="F455" i="14"/>
  <c r="M377" i="14"/>
  <c r="AF347" i="14"/>
  <c r="AG347" i="14" s="1"/>
  <c r="T460" i="14"/>
  <c r="K453" i="14"/>
  <c r="E453" i="14"/>
  <c r="F387" i="14"/>
  <c r="Y379" i="14"/>
  <c r="Y387" i="14"/>
  <c r="Q387" i="14"/>
  <c r="R387" i="14"/>
  <c r="H463" i="14"/>
  <c r="V463" i="14"/>
  <c r="K387" i="14"/>
  <c r="L387" i="14"/>
  <c r="S387" i="14"/>
  <c r="X463" i="14"/>
  <c r="I379" i="14"/>
  <c r="B387" i="14"/>
  <c r="X387" i="14"/>
  <c r="P387" i="14"/>
  <c r="I463" i="14"/>
  <c r="J387" i="14"/>
  <c r="O387" i="14"/>
  <c r="E387" i="14"/>
  <c r="AD61" i="14"/>
  <c r="B458" i="14"/>
  <c r="AC417" i="14"/>
  <c r="V387" i="14"/>
  <c r="I377" i="14"/>
  <c r="S463" i="14"/>
  <c r="T387" i="14"/>
  <c r="G387" i="14"/>
  <c r="H387" i="14"/>
  <c r="Z63" i="14"/>
  <c r="W82" i="14" s="1"/>
  <c r="Q463" i="14"/>
  <c r="R302" i="15"/>
  <c r="B302" i="15"/>
  <c r="Q302" i="15"/>
  <c r="S302" i="15"/>
  <c r="C302" i="15"/>
  <c r="N302" i="15"/>
  <c r="M302" i="15"/>
  <c r="O302" i="15"/>
  <c r="P302" i="15"/>
  <c r="X302" i="15"/>
  <c r="J302" i="15"/>
  <c r="Y302" i="15"/>
  <c r="I302" i="15"/>
  <c r="S347" i="15"/>
  <c r="K302" i="15"/>
  <c r="H302" i="15"/>
  <c r="AF435" i="14"/>
  <c r="AG435" i="14" s="1"/>
  <c r="X455" i="14"/>
  <c r="Q455" i="14"/>
  <c r="J455" i="14"/>
  <c r="Z104" i="14"/>
  <c r="U380" i="14"/>
  <c r="Y377" i="14"/>
  <c r="L388" i="14"/>
  <c r="W382" i="14"/>
  <c r="O382" i="14"/>
  <c r="N453" i="14"/>
  <c r="S453" i="14"/>
  <c r="J384" i="14"/>
  <c r="F453" i="14"/>
  <c r="R453" i="14"/>
  <c r="R458" i="14"/>
  <c r="M458" i="14"/>
  <c r="Q453" i="14"/>
  <c r="T453" i="14"/>
  <c r="G455" i="14"/>
  <c r="AC119" i="14"/>
  <c r="D455" i="14"/>
  <c r="E455" i="14"/>
  <c r="Y455" i="14"/>
  <c r="N455" i="14"/>
  <c r="M380" i="14"/>
  <c r="U377" i="14"/>
  <c r="I388" i="14"/>
  <c r="W384" i="14"/>
  <c r="O384" i="14"/>
  <c r="T384" i="14"/>
  <c r="P382" i="14"/>
  <c r="C453" i="14"/>
  <c r="R382" i="14"/>
  <c r="AD332" i="14"/>
  <c r="D453" i="14"/>
  <c r="J453" i="14"/>
  <c r="O455" i="14"/>
  <c r="N382" i="14"/>
  <c r="K455" i="14"/>
  <c r="C388" i="14"/>
  <c r="Y388" i="14"/>
  <c r="G373" i="14"/>
  <c r="G67" i="14" s="1"/>
  <c r="V388" i="14"/>
  <c r="G460" i="14"/>
  <c r="G388" i="14"/>
  <c r="W388" i="14"/>
  <c r="P388" i="14"/>
  <c r="M388" i="14"/>
  <c r="Z65" i="14"/>
  <c r="D460" i="14"/>
  <c r="E460" i="14"/>
  <c r="B460" i="14"/>
  <c r="R460" i="14"/>
  <c r="W373" i="14"/>
  <c r="F388" i="14"/>
  <c r="Y460" i="14"/>
  <c r="P460" i="14"/>
  <c r="N388" i="14"/>
  <c r="K388" i="14"/>
  <c r="D388" i="14"/>
  <c r="T388" i="14"/>
  <c r="Q388" i="14"/>
  <c r="S460" i="14"/>
  <c r="H460" i="14"/>
  <c r="I460" i="14"/>
  <c r="F460" i="14"/>
  <c r="V460" i="14"/>
  <c r="R388" i="14"/>
  <c r="U460" i="14"/>
  <c r="Q377" i="14"/>
  <c r="O388" i="14"/>
  <c r="H388" i="14"/>
  <c r="E388" i="14"/>
  <c r="U388" i="14"/>
  <c r="C460" i="14"/>
  <c r="L460" i="14"/>
  <c r="M460" i="14"/>
  <c r="J460" i="14"/>
  <c r="X388" i="14"/>
  <c r="Q382" i="14"/>
  <c r="Y463" i="14"/>
  <c r="X446" i="14"/>
  <c r="AD446" i="14" s="1"/>
  <c r="AF442" i="14"/>
  <c r="AG442" i="14" s="1"/>
  <c r="P463" i="14"/>
  <c r="C463" i="14"/>
  <c r="AD412" i="14"/>
  <c r="AF412" i="14" s="1"/>
  <c r="AG412" i="14" s="1"/>
  <c r="AF13" i="14"/>
  <c r="AG13" i="14" s="1"/>
  <c r="L463" i="14"/>
  <c r="M463" i="14"/>
  <c r="N463" i="14"/>
  <c r="K35" i="14"/>
  <c r="R463" i="14"/>
  <c r="U463" i="14"/>
  <c r="AF423" i="14"/>
  <c r="AG423" i="14" s="1"/>
  <c r="W463" i="14"/>
  <c r="Z412" i="14"/>
  <c r="X456" i="14" s="1"/>
  <c r="AD108" i="14"/>
  <c r="T463" i="14"/>
  <c r="B463" i="14"/>
  <c r="Z138" i="14"/>
  <c r="V462" i="14"/>
  <c r="G463" i="14"/>
  <c r="D463" i="14"/>
  <c r="E463" i="14"/>
  <c r="F463" i="14"/>
  <c r="K463" i="14"/>
  <c r="AC341" i="14"/>
  <c r="AF341" i="14" s="1"/>
  <c r="AG341" i="14" s="1"/>
  <c r="B388" i="14"/>
  <c r="AF369" i="14"/>
  <c r="AG369" i="14" s="1"/>
  <c r="U384" i="14"/>
  <c r="O460" i="14"/>
  <c r="K460" i="14"/>
  <c r="P377" i="14"/>
  <c r="AD41" i="14"/>
  <c r="AF319" i="14"/>
  <c r="AG319" i="14" s="1"/>
  <c r="AC51" i="14"/>
  <c r="M384" i="14"/>
  <c r="AC41" i="14"/>
  <c r="C300" i="15"/>
  <c r="N347" i="15"/>
  <c r="B294" i="15"/>
  <c r="G347" i="15"/>
  <c r="V300" i="15"/>
  <c r="B300" i="15"/>
  <c r="AC37" i="15"/>
  <c r="AF91" i="15"/>
  <c r="AG91" i="15" s="1"/>
  <c r="W347" i="15"/>
  <c r="C347" i="15"/>
  <c r="Z289" i="15"/>
  <c r="Z58" i="15" s="1"/>
  <c r="K75" i="15" s="1"/>
  <c r="Q109" i="15"/>
  <c r="M58" i="15"/>
  <c r="C109" i="15"/>
  <c r="N109" i="15"/>
  <c r="U58" i="15"/>
  <c r="AD289" i="15"/>
  <c r="U109" i="15"/>
  <c r="T109" i="15"/>
  <c r="D109" i="15"/>
  <c r="T58" i="15"/>
  <c r="R109" i="15"/>
  <c r="R353" i="15"/>
  <c r="R58" i="15"/>
  <c r="Z37" i="15"/>
  <c r="N300" i="15"/>
  <c r="J300" i="15"/>
  <c r="F300" i="15"/>
  <c r="Y300" i="15"/>
  <c r="I300" i="15"/>
  <c r="E300" i="15"/>
  <c r="W300" i="15"/>
  <c r="O300" i="15"/>
  <c r="K300" i="15"/>
  <c r="G300" i="15"/>
  <c r="T300" i="15"/>
  <c r="D300" i="15"/>
  <c r="P300" i="15"/>
  <c r="L300" i="15"/>
  <c r="X300" i="15"/>
  <c r="Z16" i="15"/>
  <c r="V294" i="15"/>
  <c r="R294" i="15"/>
  <c r="N294" i="15"/>
  <c r="J294" i="15"/>
  <c r="F294" i="15"/>
  <c r="Y294" i="15"/>
  <c r="Q294" i="15"/>
  <c r="M294" i="15"/>
  <c r="I294" i="15"/>
  <c r="E294" i="15"/>
  <c r="W294" i="15"/>
  <c r="S294" i="15"/>
  <c r="O294" i="15"/>
  <c r="K294" i="15"/>
  <c r="G294" i="15"/>
  <c r="C294" i="15"/>
  <c r="T294" i="15"/>
  <c r="D294" i="15"/>
  <c r="P294" i="15"/>
  <c r="L294" i="15"/>
  <c r="X294" i="15"/>
  <c r="H294" i="15"/>
  <c r="Q58" i="15"/>
  <c r="Z54" i="15"/>
  <c r="B74" i="15" s="1"/>
  <c r="V305" i="15"/>
  <c r="R305" i="15"/>
  <c r="N305" i="15"/>
  <c r="J305" i="15"/>
  <c r="F305" i="15"/>
  <c r="Y305" i="15"/>
  <c r="U305" i="15"/>
  <c r="Q305" i="15"/>
  <c r="M305" i="15"/>
  <c r="I305" i="15"/>
  <c r="E305" i="15"/>
  <c r="T305" i="15"/>
  <c r="W305" i="15"/>
  <c r="S305" i="15"/>
  <c r="O305" i="15"/>
  <c r="K305" i="15"/>
  <c r="G305" i="15"/>
  <c r="C305" i="15"/>
  <c r="X305" i="15"/>
  <c r="D305" i="15"/>
  <c r="P305" i="15"/>
  <c r="H305" i="15"/>
  <c r="L305" i="15"/>
  <c r="P58" i="15"/>
  <c r="M109" i="15"/>
  <c r="L109" i="15"/>
  <c r="AF322" i="15"/>
  <c r="AG322" i="15" s="1"/>
  <c r="L58" i="15"/>
  <c r="AA328" i="15"/>
  <c r="J109" i="15"/>
  <c r="Z91" i="15"/>
  <c r="F347" i="15"/>
  <c r="X347" i="15"/>
  <c r="H347" i="15"/>
  <c r="Y347" i="15"/>
  <c r="I347" i="15"/>
  <c r="E347" i="15"/>
  <c r="P347" i="15"/>
  <c r="D347" i="15"/>
  <c r="T347" i="15"/>
  <c r="L347" i="15"/>
  <c r="Z26" i="15"/>
  <c r="V297" i="15"/>
  <c r="R297" i="15"/>
  <c r="N297" i="15"/>
  <c r="J297" i="15"/>
  <c r="F297" i="15"/>
  <c r="B297" i="15"/>
  <c r="Y297" i="15"/>
  <c r="U297" i="15"/>
  <c r="Q297" i="15"/>
  <c r="M297" i="15"/>
  <c r="I297" i="15"/>
  <c r="E297" i="15"/>
  <c r="W297" i="15"/>
  <c r="S297" i="15"/>
  <c r="O297" i="15"/>
  <c r="K297" i="15"/>
  <c r="G297" i="15"/>
  <c r="C297" i="15"/>
  <c r="T297" i="15"/>
  <c r="D297" i="15"/>
  <c r="P297" i="15"/>
  <c r="L297" i="15"/>
  <c r="X297" i="15"/>
  <c r="H297" i="15"/>
  <c r="H58" i="15"/>
  <c r="P109" i="15"/>
  <c r="Z22" i="15"/>
  <c r="V296" i="15"/>
  <c r="R296" i="15"/>
  <c r="N296" i="15"/>
  <c r="J296" i="15"/>
  <c r="F296" i="15"/>
  <c r="B296" i="15"/>
  <c r="Y296" i="15"/>
  <c r="U296" i="15"/>
  <c r="Q296" i="15"/>
  <c r="M296" i="15"/>
  <c r="I296" i="15"/>
  <c r="E296" i="15"/>
  <c r="W296" i="15"/>
  <c r="S296" i="15"/>
  <c r="O296" i="15"/>
  <c r="K296" i="15"/>
  <c r="G296" i="15"/>
  <c r="C296" i="15"/>
  <c r="L296" i="15"/>
  <c r="T296" i="15"/>
  <c r="X296" i="15"/>
  <c r="H296" i="15"/>
  <c r="P296" i="15"/>
  <c r="D296" i="15"/>
  <c r="X109" i="15"/>
  <c r="H109" i="15"/>
  <c r="X58" i="15"/>
  <c r="K353" i="15"/>
  <c r="O347" i="15"/>
  <c r="V109" i="15"/>
  <c r="AD340" i="15"/>
  <c r="B109" i="15"/>
  <c r="AC340" i="15"/>
  <c r="S300" i="15"/>
  <c r="V58" i="15"/>
  <c r="Z30" i="15"/>
  <c r="V298" i="15"/>
  <c r="R298" i="15"/>
  <c r="N298" i="15"/>
  <c r="J298" i="15"/>
  <c r="F298" i="15"/>
  <c r="B298" i="15"/>
  <c r="Y298" i="15"/>
  <c r="U298" i="15"/>
  <c r="Q298" i="15"/>
  <c r="M298" i="15"/>
  <c r="I298" i="15"/>
  <c r="E298" i="15"/>
  <c r="W298" i="15"/>
  <c r="S298" i="15"/>
  <c r="O298" i="15"/>
  <c r="K298" i="15"/>
  <c r="G298" i="15"/>
  <c r="C298" i="15"/>
  <c r="L298" i="15"/>
  <c r="D298" i="15"/>
  <c r="X298" i="15"/>
  <c r="H298" i="15"/>
  <c r="P298" i="15"/>
  <c r="T298" i="15"/>
  <c r="B58" i="15"/>
  <c r="AC289" i="15"/>
  <c r="U300" i="15"/>
  <c r="Q300" i="15"/>
  <c r="H300" i="15"/>
  <c r="R67" i="14"/>
  <c r="C142" i="14"/>
  <c r="V142" i="14"/>
  <c r="L458" i="14"/>
  <c r="D458" i="14"/>
  <c r="U100" i="14"/>
  <c r="H142" i="14"/>
  <c r="N458" i="14"/>
  <c r="I142" i="14"/>
  <c r="AC404" i="14"/>
  <c r="AF404" i="14" s="1"/>
  <c r="AG404" i="14" s="1"/>
  <c r="Y458" i="14"/>
  <c r="T142" i="14"/>
  <c r="O142" i="14"/>
  <c r="Z103" i="14"/>
  <c r="Z404" i="14"/>
  <c r="L67" i="14"/>
  <c r="J35" i="14"/>
  <c r="J373" i="14"/>
  <c r="Z26" i="14"/>
  <c r="S74" i="14" s="1"/>
  <c r="Q379" i="14"/>
  <c r="M379" i="14"/>
  <c r="E379" i="14"/>
  <c r="J379" i="14"/>
  <c r="L379" i="14"/>
  <c r="H379" i="14"/>
  <c r="D379" i="14"/>
  <c r="V379" i="14"/>
  <c r="N379" i="14"/>
  <c r="B379" i="14"/>
  <c r="O379" i="14"/>
  <c r="K379" i="14"/>
  <c r="G379" i="14"/>
  <c r="C379" i="14"/>
  <c r="F379" i="14"/>
  <c r="R142" i="14"/>
  <c r="X379" i="14"/>
  <c r="H377" i="14"/>
  <c r="K67" i="14"/>
  <c r="AF371" i="14"/>
  <c r="AG371" i="14" s="1"/>
  <c r="Z30" i="14"/>
  <c r="Y380" i="14"/>
  <c r="Q380" i="14"/>
  <c r="I380" i="14"/>
  <c r="E380" i="14"/>
  <c r="V380" i="14"/>
  <c r="J380" i="14"/>
  <c r="B380" i="14"/>
  <c r="X380" i="14"/>
  <c r="P380" i="14"/>
  <c r="L380" i="14"/>
  <c r="H380" i="14"/>
  <c r="D380" i="14"/>
  <c r="N380" i="14"/>
  <c r="O380" i="14"/>
  <c r="K380" i="14"/>
  <c r="G380" i="14"/>
  <c r="C380" i="14"/>
  <c r="R380" i="14"/>
  <c r="F380" i="14"/>
  <c r="AC91" i="14"/>
  <c r="AF357" i="14"/>
  <c r="AG357" i="14" s="1"/>
  <c r="W379" i="14"/>
  <c r="W377" i="14"/>
  <c r="AD51" i="14"/>
  <c r="I67" i="14"/>
  <c r="AC59" i="14"/>
  <c r="AF59" i="14" s="1"/>
  <c r="AG59" i="14" s="1"/>
  <c r="Z114" i="14"/>
  <c r="Z417" i="14"/>
  <c r="P457" i="14" s="1"/>
  <c r="Z119" i="14"/>
  <c r="H153" i="14" s="1"/>
  <c r="O458" i="14"/>
  <c r="C458" i="14"/>
  <c r="K458" i="14"/>
  <c r="S458" i="14"/>
  <c r="W458" i="14"/>
  <c r="G458" i="14"/>
  <c r="Z37" i="14"/>
  <c r="M67" i="14"/>
  <c r="O67" i="14"/>
  <c r="Z59" i="14"/>
  <c r="S80" i="14" s="1"/>
  <c r="Y385" i="14"/>
  <c r="U385" i="14"/>
  <c r="Q385" i="14"/>
  <c r="M385" i="14"/>
  <c r="I385" i="14"/>
  <c r="E385" i="14"/>
  <c r="X385" i="14"/>
  <c r="P385" i="14"/>
  <c r="L385" i="14"/>
  <c r="H385" i="14"/>
  <c r="D385" i="14"/>
  <c r="W385" i="14"/>
  <c r="O385" i="14"/>
  <c r="K385" i="14"/>
  <c r="G385" i="14"/>
  <c r="C385" i="14"/>
  <c r="V385" i="14"/>
  <c r="F385" i="14"/>
  <c r="J385" i="14"/>
  <c r="R385" i="14"/>
  <c r="B385" i="14"/>
  <c r="N385" i="14"/>
  <c r="D142" i="14"/>
  <c r="S385" i="14"/>
  <c r="J458" i="14"/>
  <c r="U446" i="14"/>
  <c r="E142" i="14"/>
  <c r="U458" i="14"/>
  <c r="E458" i="14"/>
  <c r="P142" i="14"/>
  <c r="K142" i="14"/>
  <c r="X458" i="14"/>
  <c r="P458" i="14"/>
  <c r="H458" i="14"/>
  <c r="X67" i="14"/>
  <c r="H67" i="14"/>
  <c r="R26" i="14"/>
  <c r="R379" i="14"/>
  <c r="Z29" i="14"/>
  <c r="T379" i="14"/>
  <c r="X377" i="14"/>
  <c r="E35" i="14"/>
  <c r="E373" i="14"/>
  <c r="AF335" i="14"/>
  <c r="AG335" i="14" s="1"/>
  <c r="X384" i="14"/>
  <c r="AF336" i="14"/>
  <c r="AG336" i="14" s="1"/>
  <c r="P113" i="14"/>
  <c r="V384" i="14"/>
  <c r="S379" i="14"/>
  <c r="N67" i="14"/>
  <c r="AD63" i="14"/>
  <c r="AC63" i="14"/>
  <c r="Y384" i="14"/>
  <c r="Z41" i="14"/>
  <c r="U77" i="14" s="1"/>
  <c r="Y382" i="14"/>
  <c r="I382" i="14"/>
  <c r="E382" i="14"/>
  <c r="L382" i="14"/>
  <c r="H382" i="14"/>
  <c r="D382" i="14"/>
  <c r="G382" i="14"/>
  <c r="C382" i="14"/>
  <c r="F382" i="14"/>
  <c r="J382" i="14"/>
  <c r="AC332" i="14"/>
  <c r="AD35" i="14"/>
  <c r="M142" i="14"/>
  <c r="S142" i="14"/>
  <c r="T458" i="14"/>
  <c r="P67" i="14"/>
  <c r="B22" i="14"/>
  <c r="AC328" i="14"/>
  <c r="B373" i="14"/>
  <c r="C374" i="14" s="1"/>
  <c r="D374" i="14" s="1"/>
  <c r="D375" i="14" s="1"/>
  <c r="V67" i="14"/>
  <c r="Z24" i="14"/>
  <c r="V458" i="14"/>
  <c r="F458" i="14"/>
  <c r="AG415" i="14"/>
  <c r="Q458" i="14"/>
  <c r="W142" i="14"/>
  <c r="G142" i="14"/>
  <c r="AF418" i="14"/>
  <c r="AG418" i="14" s="1"/>
  <c r="AG407" i="14"/>
  <c r="Z136" i="14"/>
  <c r="R462" i="14"/>
  <c r="N462" i="14"/>
  <c r="J462" i="14"/>
  <c r="F462" i="14"/>
  <c r="B462" i="14"/>
  <c r="Y462" i="14"/>
  <c r="U462" i="14"/>
  <c r="Q462" i="14"/>
  <c r="M462" i="14"/>
  <c r="I462" i="14"/>
  <c r="E462" i="14"/>
  <c r="X462" i="14"/>
  <c r="T462" i="14"/>
  <c r="P462" i="14"/>
  <c r="L462" i="14"/>
  <c r="H462" i="14"/>
  <c r="D462" i="14"/>
  <c r="O462" i="14"/>
  <c r="C462" i="14"/>
  <c r="K462" i="14"/>
  <c r="S462" i="14"/>
  <c r="G462" i="14"/>
  <c r="D67" i="14"/>
  <c r="Z13" i="14"/>
  <c r="E377" i="14"/>
  <c r="V377" i="14"/>
  <c r="F377" i="14"/>
  <c r="L377" i="14"/>
  <c r="D377" i="14"/>
  <c r="R377" i="14"/>
  <c r="J377" i="14"/>
  <c r="K377" i="14"/>
  <c r="G377" i="14"/>
  <c r="C377" i="14"/>
  <c r="N377" i="14"/>
  <c r="B377" i="14"/>
  <c r="Y67" i="14"/>
  <c r="AE373" i="14"/>
  <c r="P379" i="14"/>
  <c r="T377" i="14"/>
  <c r="C67" i="14"/>
  <c r="Z51" i="14"/>
  <c r="Q79" i="14" s="1"/>
  <c r="I384" i="14"/>
  <c r="E384" i="14"/>
  <c r="L384" i="14"/>
  <c r="H384" i="14"/>
  <c r="D384" i="14"/>
  <c r="K384" i="14"/>
  <c r="G384" i="14"/>
  <c r="C384" i="14"/>
  <c r="B384" i="14"/>
  <c r="F384" i="14"/>
  <c r="R384" i="14"/>
  <c r="Z36" i="14"/>
  <c r="Z341" i="14"/>
  <c r="J381" i="14" s="1"/>
  <c r="S22" i="14"/>
  <c r="AF395" i="14"/>
  <c r="AG395" i="14" s="1"/>
  <c r="W380" i="14"/>
  <c r="O377" i="14"/>
  <c r="F67" i="14"/>
  <c r="AF367" i="14"/>
  <c r="AG367" i="14" s="1"/>
  <c r="U382" i="14"/>
  <c r="M382" i="14"/>
  <c r="Z25" i="14"/>
  <c r="Z328" i="14"/>
  <c r="AC61" i="14"/>
  <c r="P384" i="14"/>
  <c r="K382" i="14"/>
  <c r="AF331" i="14"/>
  <c r="AG331" i="14" s="1"/>
  <c r="AC108" i="13"/>
  <c r="O226" i="13"/>
  <c r="AD104" i="13"/>
  <c r="AC104" i="13"/>
  <c r="T304" i="13"/>
  <c r="D304" i="13"/>
  <c r="S304" i="13"/>
  <c r="C304" i="13"/>
  <c r="E302" i="13"/>
  <c r="T377" i="13"/>
  <c r="P304" i="13"/>
  <c r="O304" i="13"/>
  <c r="S301" i="13"/>
  <c r="C301" i="13"/>
  <c r="U458" i="13"/>
  <c r="W230" i="13"/>
  <c r="G230" i="13"/>
  <c r="F458" i="13"/>
  <c r="S460" i="13"/>
  <c r="C457" i="13"/>
  <c r="R460" i="13"/>
  <c r="B457" i="13"/>
  <c r="I377" i="13"/>
  <c r="T378" i="13"/>
  <c r="K381" i="13"/>
  <c r="K378" i="13"/>
  <c r="AC119" i="13"/>
  <c r="AC100" i="13"/>
  <c r="L304" i="13"/>
  <c r="K304" i="13"/>
  <c r="P302" i="13"/>
  <c r="S302" i="13"/>
  <c r="O301" i="13"/>
  <c r="S230" i="13"/>
  <c r="C230" i="13"/>
  <c r="K460" i="13"/>
  <c r="K453" i="13"/>
  <c r="B460" i="13"/>
  <c r="Q377" i="13"/>
  <c r="X381" i="13"/>
  <c r="P381" i="13"/>
  <c r="H381" i="13"/>
  <c r="O381" i="13"/>
  <c r="S377" i="13"/>
  <c r="Q302" i="13"/>
  <c r="L302" i="13"/>
  <c r="O302" i="13"/>
  <c r="S228" i="13"/>
  <c r="C228" i="13"/>
  <c r="P228" i="13"/>
  <c r="V454" i="13"/>
  <c r="T453" i="13"/>
  <c r="L453" i="13"/>
  <c r="D453" i="13"/>
  <c r="C453" i="13"/>
  <c r="R453" i="13"/>
  <c r="P377" i="13"/>
  <c r="U383" i="13"/>
  <c r="M383" i="13"/>
  <c r="E383" i="13"/>
  <c r="L377" i="13"/>
  <c r="K377" i="13"/>
  <c r="M302" i="13"/>
  <c r="AD130" i="13"/>
  <c r="X302" i="13"/>
  <c r="H302" i="13"/>
  <c r="K302" i="13"/>
  <c r="O228" i="13"/>
  <c r="D228" i="13"/>
  <c r="N454" i="13"/>
  <c r="J453" i="13"/>
  <c r="AC130" i="13"/>
  <c r="H377" i="13"/>
  <c r="U377" i="13"/>
  <c r="M377" i="13"/>
  <c r="E377" i="13"/>
  <c r="D377" i="13"/>
  <c r="C377" i="13"/>
  <c r="AD128" i="13"/>
  <c r="Y302" i="13"/>
  <c r="I302" i="13"/>
  <c r="T302" i="13"/>
  <c r="D302" i="13"/>
  <c r="W302" i="13"/>
  <c r="G302" i="13"/>
  <c r="K228" i="13"/>
  <c r="Z445" i="13"/>
  <c r="L465" i="13" s="1"/>
  <c r="F454" i="13"/>
  <c r="X453" i="13"/>
  <c r="P453" i="13"/>
  <c r="H453" i="13"/>
  <c r="S453" i="13"/>
  <c r="Y383" i="13"/>
  <c r="Q383" i="13"/>
  <c r="I383" i="13"/>
  <c r="F381" i="13"/>
  <c r="V379" i="13"/>
  <c r="V226" i="13"/>
  <c r="B453" i="13"/>
  <c r="N456" i="13"/>
  <c r="J460" i="13"/>
  <c r="V306" i="13"/>
  <c r="I307" i="13"/>
  <c r="F303" i="13"/>
  <c r="F302" i="13"/>
  <c r="R301" i="13"/>
  <c r="R227" i="13"/>
  <c r="B226" i="13"/>
  <c r="Q227" i="13"/>
  <c r="AC113" i="13"/>
  <c r="F230" i="13"/>
  <c r="V228" i="13"/>
  <c r="F225" i="13"/>
  <c r="Q376" i="13"/>
  <c r="F383" i="13"/>
  <c r="F307" i="13"/>
  <c r="Q307" i="13"/>
  <c r="B302" i="13"/>
  <c r="N301" i="13"/>
  <c r="V231" i="13"/>
  <c r="N231" i="13"/>
  <c r="F231" i="13"/>
  <c r="F227" i="13"/>
  <c r="R226" i="13"/>
  <c r="V230" i="13"/>
  <c r="B230" i="13"/>
  <c r="F232" i="13"/>
  <c r="R228" i="13"/>
  <c r="V225" i="13"/>
  <c r="B225" i="13"/>
  <c r="V376" i="13"/>
  <c r="B376" i="13"/>
  <c r="T376" i="13"/>
  <c r="Y376" i="13"/>
  <c r="N383" i="13"/>
  <c r="V377" i="13"/>
  <c r="N377" i="13"/>
  <c r="F377" i="13"/>
  <c r="N307" i="13"/>
  <c r="F306" i="13"/>
  <c r="Y307" i="13"/>
  <c r="V302" i="13"/>
  <c r="F301" i="13"/>
  <c r="B227" i="13"/>
  <c r="N226" i="13"/>
  <c r="R230" i="13"/>
  <c r="N232" i="13"/>
  <c r="F228" i="13"/>
  <c r="R225" i="13"/>
  <c r="L376" i="13"/>
  <c r="J376" i="13"/>
  <c r="V383" i="13"/>
  <c r="F379" i="13"/>
  <c r="V307" i="13"/>
  <c r="N306" i="13"/>
  <c r="V303" i="13"/>
  <c r="R302" i="13"/>
  <c r="V301" i="13"/>
  <c r="R231" i="13"/>
  <c r="J231" i="13"/>
  <c r="V227" i="13"/>
  <c r="F226" i="13"/>
  <c r="N230" i="13"/>
  <c r="V232" i="13"/>
  <c r="B228" i="13"/>
  <c r="F376" i="13"/>
  <c r="D376" i="13"/>
  <c r="I376" i="13"/>
  <c r="N379" i="13"/>
  <c r="R377" i="13"/>
  <c r="J377" i="13"/>
  <c r="Z294" i="13"/>
  <c r="R312" i="13" s="1"/>
  <c r="U306" i="13"/>
  <c r="M306" i="13"/>
  <c r="E306" i="13"/>
  <c r="W66" i="13"/>
  <c r="G66" i="13"/>
  <c r="T307" i="13"/>
  <c r="L307" i="13"/>
  <c r="D307" i="13"/>
  <c r="V305" i="13"/>
  <c r="F305" i="13"/>
  <c r="V304" i="13"/>
  <c r="F304" i="13"/>
  <c r="J300" i="13"/>
  <c r="S307" i="13"/>
  <c r="W306" i="13"/>
  <c r="O306" i="13"/>
  <c r="G306" i="13"/>
  <c r="U305" i="13"/>
  <c r="E305" i="13"/>
  <c r="M304" i="13"/>
  <c r="M300" i="13"/>
  <c r="M66" i="13"/>
  <c r="P300" i="13"/>
  <c r="H141" i="13"/>
  <c r="Z119" i="13"/>
  <c r="O153" i="13" s="1"/>
  <c r="S458" i="13"/>
  <c r="K458" i="13"/>
  <c r="C458" i="13"/>
  <c r="T229" i="13"/>
  <c r="D229" i="13"/>
  <c r="P229" i="13"/>
  <c r="J229" i="13"/>
  <c r="T227" i="13"/>
  <c r="H227" i="13"/>
  <c r="Q226" i="13"/>
  <c r="E141" i="13"/>
  <c r="Y456" i="13"/>
  <c r="Q456" i="13"/>
  <c r="I456" i="13"/>
  <c r="Y455" i="13"/>
  <c r="Q455" i="13"/>
  <c r="I455" i="13"/>
  <c r="Y454" i="13"/>
  <c r="Q454" i="13"/>
  <c r="I454" i="13"/>
  <c r="W141" i="13"/>
  <c r="O141" i="13"/>
  <c r="G141" i="13"/>
  <c r="U230" i="13"/>
  <c r="J458" i="13"/>
  <c r="R455" i="13"/>
  <c r="J454" i="13"/>
  <c r="Z113" i="13"/>
  <c r="K152" i="13" s="1"/>
  <c r="V457" i="13"/>
  <c r="N457" i="13"/>
  <c r="F457" i="13"/>
  <c r="R141" i="13"/>
  <c r="J141" i="13"/>
  <c r="B141" i="13"/>
  <c r="M232" i="13"/>
  <c r="H66" i="13"/>
  <c r="L229" i="13"/>
  <c r="U228" i="13"/>
  <c r="E228" i="13"/>
  <c r="W458" i="13"/>
  <c r="O457" i="13"/>
  <c r="G456" i="13"/>
  <c r="W454" i="13"/>
  <c r="Q141" i="13"/>
  <c r="U457" i="13"/>
  <c r="M457" i="13"/>
  <c r="E457" i="13"/>
  <c r="U453" i="13"/>
  <c r="M453" i="13"/>
  <c r="E453" i="13"/>
  <c r="Z35" i="13"/>
  <c r="K380" i="13"/>
  <c r="AC35" i="13"/>
  <c r="W380" i="13"/>
  <c r="Y380" i="13"/>
  <c r="Q380" i="13"/>
  <c r="I380" i="13"/>
  <c r="C380" i="13"/>
  <c r="AC41" i="13"/>
  <c r="Z26" i="13"/>
  <c r="W378" i="13"/>
  <c r="O378" i="13"/>
  <c r="G378" i="13"/>
  <c r="AC26" i="13"/>
  <c r="AG26" i="13" s="1"/>
  <c r="R307" i="13"/>
  <c r="J307" i="13"/>
  <c r="B307" i="13"/>
  <c r="R306" i="13"/>
  <c r="J306" i="13"/>
  <c r="B306" i="13"/>
  <c r="U307" i="13"/>
  <c r="M307" i="13"/>
  <c r="E307" i="13"/>
  <c r="S66" i="13"/>
  <c r="C66" i="13"/>
  <c r="X307" i="13"/>
  <c r="X306" i="13"/>
  <c r="P306" i="13"/>
  <c r="H306" i="13"/>
  <c r="R305" i="13"/>
  <c r="B305" i="13"/>
  <c r="R304" i="13"/>
  <c r="B304" i="13"/>
  <c r="V300" i="13"/>
  <c r="F300" i="13"/>
  <c r="Q305" i="13"/>
  <c r="Y304" i="13"/>
  <c r="I304" i="13"/>
  <c r="O303" i="13"/>
  <c r="Y300" i="13"/>
  <c r="I300" i="13"/>
  <c r="Y66" i="13"/>
  <c r="I66" i="13"/>
  <c r="L300" i="13"/>
  <c r="R303" i="13"/>
  <c r="B303" i="13"/>
  <c r="J301" i="13"/>
  <c r="Z51" i="13"/>
  <c r="T231" i="13"/>
  <c r="D231" i="13"/>
  <c r="L231" i="13"/>
  <c r="X231" i="13"/>
  <c r="H231" i="13"/>
  <c r="P231" i="13"/>
  <c r="AC51" i="13"/>
  <c r="C227" i="13"/>
  <c r="M458" i="13"/>
  <c r="N227" i="13"/>
  <c r="X226" i="13"/>
  <c r="J226" i="13"/>
  <c r="S229" i="13"/>
  <c r="C229" i="13"/>
  <c r="M227" i="13"/>
  <c r="V456" i="13"/>
  <c r="N455" i="13"/>
  <c r="L66" i="13"/>
  <c r="L230" i="13"/>
  <c r="T230" i="13"/>
  <c r="P230" i="13"/>
  <c r="H230" i="13"/>
  <c r="X230" i="13"/>
  <c r="J230" i="13"/>
  <c r="V229" i="13"/>
  <c r="F229" i="13"/>
  <c r="M226" i="13"/>
  <c r="R66" i="13"/>
  <c r="J66" i="13"/>
  <c r="Z219" i="13"/>
  <c r="Q230" i="13"/>
  <c r="N228" i="13"/>
  <c r="T226" i="13"/>
  <c r="T225" i="13"/>
  <c r="D225" i="13"/>
  <c r="P225" i="13"/>
  <c r="J225" i="13"/>
  <c r="B458" i="13"/>
  <c r="R456" i="13"/>
  <c r="J455" i="13"/>
  <c r="B454" i="13"/>
  <c r="Z130" i="13"/>
  <c r="X155" i="13" s="1"/>
  <c r="X460" i="13"/>
  <c r="V460" i="13"/>
  <c r="N460" i="13"/>
  <c r="F460" i="13"/>
  <c r="T458" i="13"/>
  <c r="L458" i="13"/>
  <c r="D458" i="13"/>
  <c r="X456" i="13"/>
  <c r="P456" i="13"/>
  <c r="T455" i="13"/>
  <c r="L455" i="13"/>
  <c r="D455" i="13"/>
  <c r="X454" i="13"/>
  <c r="P454" i="13"/>
  <c r="H454" i="13"/>
  <c r="Z91" i="13"/>
  <c r="X148" i="13" s="1"/>
  <c r="V453" i="13"/>
  <c r="N453" i="13"/>
  <c r="F453" i="13"/>
  <c r="AC91" i="13"/>
  <c r="Y232" i="13"/>
  <c r="D230" i="13"/>
  <c r="H229" i="13"/>
  <c r="O458" i="13"/>
  <c r="G457" i="13"/>
  <c r="I141" i="13"/>
  <c r="O453" i="13"/>
  <c r="V380" i="13"/>
  <c r="N380" i="13"/>
  <c r="F380" i="13"/>
  <c r="Z13" i="13"/>
  <c r="X376" i="13"/>
  <c r="P376" i="13"/>
  <c r="H376" i="13"/>
  <c r="Z370" i="13"/>
  <c r="AA332" i="13" s="1"/>
  <c r="W376" i="13"/>
  <c r="O376" i="13"/>
  <c r="G376" i="13"/>
  <c r="H226" i="13"/>
  <c r="G380" i="13"/>
  <c r="C378" i="13"/>
  <c r="T380" i="13"/>
  <c r="L380" i="13"/>
  <c r="D380" i="13"/>
  <c r="V378" i="13"/>
  <c r="N378" i="13"/>
  <c r="F378" i="13"/>
  <c r="Z22" i="13"/>
  <c r="W377" i="13"/>
  <c r="O377" i="13"/>
  <c r="G377" i="13"/>
  <c r="AC22" i="13"/>
  <c r="K376" i="13"/>
  <c r="AC128" i="13"/>
  <c r="Y306" i="13"/>
  <c r="Q306" i="13"/>
  <c r="I306" i="13"/>
  <c r="O66" i="13"/>
  <c r="P307" i="13"/>
  <c r="H307" i="13"/>
  <c r="N305" i="13"/>
  <c r="N304" i="13"/>
  <c r="R300" i="13"/>
  <c r="B300" i="13"/>
  <c r="W307" i="13"/>
  <c r="O307" i="13"/>
  <c r="G307" i="13"/>
  <c r="S306" i="13"/>
  <c r="K306" i="13"/>
  <c r="C306" i="13"/>
  <c r="U304" i="13"/>
  <c r="U300" i="13"/>
  <c r="E300" i="13"/>
  <c r="U66" i="13"/>
  <c r="E66" i="13"/>
  <c r="X300" i="13"/>
  <c r="H300" i="13"/>
  <c r="J302" i="13"/>
  <c r="D66" i="13"/>
  <c r="J227" i="13"/>
  <c r="P227" i="13"/>
  <c r="Y227" i="13"/>
  <c r="I227" i="13"/>
  <c r="V458" i="13"/>
  <c r="X141" i="13"/>
  <c r="Z108" i="13"/>
  <c r="J151" i="13" s="1"/>
  <c r="S456" i="13"/>
  <c r="K456" i="13"/>
  <c r="C456" i="13"/>
  <c r="Z104" i="13"/>
  <c r="D150" i="13" s="1"/>
  <c r="S455" i="13"/>
  <c r="K455" i="13"/>
  <c r="C455" i="13"/>
  <c r="Z100" i="13"/>
  <c r="R149" i="13" s="1"/>
  <c r="S454" i="13"/>
  <c r="K454" i="13"/>
  <c r="C454" i="13"/>
  <c r="R229" i="13"/>
  <c r="B229" i="13"/>
  <c r="Y226" i="13"/>
  <c r="I226" i="13"/>
  <c r="U141" i="13"/>
  <c r="U456" i="13"/>
  <c r="M456" i="13"/>
  <c r="E456" i="13"/>
  <c r="U455" i="13"/>
  <c r="M455" i="13"/>
  <c r="E455" i="13"/>
  <c r="U454" i="13"/>
  <c r="M454" i="13"/>
  <c r="E454" i="13"/>
  <c r="S141" i="13"/>
  <c r="K141" i="13"/>
  <c r="C141" i="13"/>
  <c r="L232" i="13"/>
  <c r="T232" i="13"/>
  <c r="D232" i="13"/>
  <c r="P232" i="13"/>
  <c r="X232" i="13"/>
  <c r="H232" i="13"/>
  <c r="R232" i="13"/>
  <c r="J232" i="13"/>
  <c r="B232" i="13"/>
  <c r="M230" i="13"/>
  <c r="L228" i="13"/>
  <c r="X228" i="13"/>
  <c r="H228" i="13"/>
  <c r="J228" i="13"/>
  <c r="P226" i="13"/>
  <c r="R457" i="13"/>
  <c r="J456" i="13"/>
  <c r="B455" i="13"/>
  <c r="V141" i="13"/>
  <c r="N141" i="13"/>
  <c r="F141" i="13"/>
  <c r="U232" i="13"/>
  <c r="E232" i="13"/>
  <c r="X66" i="13"/>
  <c r="M228" i="13"/>
  <c r="W460" i="13"/>
  <c r="G458" i="13"/>
  <c r="W456" i="13"/>
  <c r="O455" i="13"/>
  <c r="G454" i="13"/>
  <c r="Y457" i="13"/>
  <c r="Q457" i="13"/>
  <c r="I457" i="13"/>
  <c r="Y453" i="13"/>
  <c r="Q453" i="13"/>
  <c r="I453" i="13"/>
  <c r="G453" i="13"/>
  <c r="U380" i="13"/>
  <c r="M380" i="13"/>
  <c r="E380" i="13"/>
  <c r="U376" i="13"/>
  <c r="M376" i="13"/>
  <c r="E376" i="13"/>
  <c r="R383" i="13"/>
  <c r="J383" i="13"/>
  <c r="Z41" i="13"/>
  <c r="W381" i="13"/>
  <c r="G381" i="13"/>
  <c r="S381" i="13"/>
  <c r="C381" i="13"/>
  <c r="R379" i="13"/>
  <c r="J379" i="13"/>
  <c r="N376" i="13"/>
  <c r="C376" i="13"/>
  <c r="K66" i="13"/>
  <c r="T306" i="13"/>
  <c r="L306" i="13"/>
  <c r="D306" i="13"/>
  <c r="J305" i="13"/>
  <c r="J304" i="13"/>
  <c r="N300" i="13"/>
  <c r="C307" i="13"/>
  <c r="Y305" i="13"/>
  <c r="I305" i="13"/>
  <c r="Q304" i="13"/>
  <c r="Q300" i="13"/>
  <c r="Q66" i="13"/>
  <c r="T300" i="13"/>
  <c r="D300" i="13"/>
  <c r="J303" i="13"/>
  <c r="U227" i="13"/>
  <c r="E227" i="13"/>
  <c r="N458" i="13"/>
  <c r="P141" i="13"/>
  <c r="N229" i="13"/>
  <c r="X227" i="13"/>
  <c r="L227" i="13"/>
  <c r="U226" i="13"/>
  <c r="E226" i="13"/>
  <c r="M141" i="13"/>
  <c r="V66" i="13"/>
  <c r="N66" i="13"/>
  <c r="F66" i="13"/>
  <c r="Y230" i="13"/>
  <c r="I230" i="13"/>
  <c r="L226" i="13"/>
  <c r="R458" i="13"/>
  <c r="B456" i="13"/>
  <c r="R454" i="13"/>
  <c r="X458" i="13"/>
  <c r="P458" i="13"/>
  <c r="H458" i="13"/>
  <c r="T456" i="13"/>
  <c r="L456" i="13"/>
  <c r="D456" i="13"/>
  <c r="X455" i="13"/>
  <c r="P455" i="13"/>
  <c r="H455" i="13"/>
  <c r="T454" i="13"/>
  <c r="L454" i="13"/>
  <c r="D454" i="13"/>
  <c r="AD91" i="13"/>
  <c r="Q232" i="13"/>
  <c r="T66" i="13"/>
  <c r="Y228" i="13"/>
  <c r="I228" i="13"/>
  <c r="O460" i="13"/>
  <c r="W457" i="13"/>
  <c r="O456" i="13"/>
  <c r="G455" i="13"/>
  <c r="Y141" i="13"/>
  <c r="R380" i="13"/>
  <c r="J380" i="13"/>
  <c r="B380" i="13"/>
  <c r="AC13" i="13"/>
  <c r="AD35" i="13"/>
  <c r="AD13" i="13"/>
  <c r="L141" i="13"/>
  <c r="S380" i="13"/>
  <c r="Z53" i="13"/>
  <c r="X383" i="13"/>
  <c r="T383" i="13"/>
  <c r="P383" i="13"/>
  <c r="L383" i="13"/>
  <c r="H383" i="13"/>
  <c r="D383" i="13"/>
  <c r="O383" i="13"/>
  <c r="K383" i="13"/>
  <c r="W383" i="13"/>
  <c r="G383" i="13"/>
  <c r="S383" i="13"/>
  <c r="C383" i="13"/>
  <c r="AC53" i="13"/>
  <c r="X380" i="13"/>
  <c r="P380" i="13"/>
  <c r="H380" i="13"/>
  <c r="Z30" i="13"/>
  <c r="W379" i="13"/>
  <c r="S379" i="13"/>
  <c r="G379" i="13"/>
  <c r="AC30" i="13"/>
  <c r="R378" i="13"/>
  <c r="J378" i="13"/>
  <c r="B378" i="13"/>
  <c r="I69" i="6"/>
  <c r="H69" i="6"/>
  <c r="H127" i="4"/>
  <c r="I127" i="4"/>
  <c r="H127" i="20"/>
  <c r="U19" i="20" s="1"/>
  <c r="M153" i="20"/>
  <c r="M177" i="20"/>
  <c r="M159" i="20"/>
  <c r="M147" i="20"/>
  <c r="J187" i="20"/>
  <c r="S22" i="20" s="1"/>
  <c r="M31" i="20"/>
  <c r="M151" i="20" s="1"/>
  <c r="M14" i="19"/>
  <c r="D127" i="19"/>
  <c r="K187" i="20"/>
  <c r="S23" i="20" s="1"/>
  <c r="B127" i="20"/>
  <c r="U15" i="20" s="1"/>
  <c r="M181" i="20"/>
  <c r="B187" i="19"/>
  <c r="S14" i="19" s="1"/>
  <c r="M112" i="20"/>
  <c r="M172" i="20" s="1"/>
  <c r="M96" i="20"/>
  <c r="M185" i="20"/>
  <c r="C67" i="19"/>
  <c r="M112" i="19"/>
  <c r="J67" i="19"/>
  <c r="M59" i="20"/>
  <c r="M179" i="20" s="1"/>
  <c r="I67" i="20"/>
  <c r="Q21" i="20" s="1"/>
  <c r="D67" i="20"/>
  <c r="E127" i="20"/>
  <c r="B67" i="20"/>
  <c r="Q15" i="20" s="1"/>
  <c r="M36" i="20"/>
  <c r="M55" i="20"/>
  <c r="M175" i="20" s="1"/>
  <c r="M83" i="20"/>
  <c r="I127" i="20"/>
  <c r="U21" i="20" s="1"/>
  <c r="H67" i="20"/>
  <c r="Q19" i="20" s="1"/>
  <c r="M145" i="20"/>
  <c r="M74" i="20"/>
  <c r="M23" i="20"/>
  <c r="G67" i="20"/>
  <c r="F67" i="20"/>
  <c r="M42" i="20"/>
  <c r="M162" i="20" s="1"/>
  <c r="M14" i="20"/>
  <c r="AE232" i="16"/>
  <c r="AF232" i="16" s="1"/>
  <c r="AG232" i="16" s="1"/>
  <c r="C206" i="16"/>
  <c r="X246" i="16"/>
  <c r="B246" i="16"/>
  <c r="AC246" i="16" s="1"/>
  <c r="X251" i="16"/>
  <c r="P251" i="16"/>
  <c r="H251" i="16"/>
  <c r="W251" i="16"/>
  <c r="O251" i="16"/>
  <c r="G251" i="16"/>
  <c r="V251" i="16"/>
  <c r="N251" i="16"/>
  <c r="F251" i="16"/>
  <c r="U251" i="16"/>
  <c r="M251" i="16"/>
  <c r="E251" i="16"/>
  <c r="AE192" i="16"/>
  <c r="Y246" i="16"/>
  <c r="Z192" i="16"/>
  <c r="B212" i="16" s="1"/>
  <c r="AC192" i="16"/>
  <c r="R206" i="16"/>
  <c r="P206" i="16"/>
  <c r="T251" i="16"/>
  <c r="L251" i="16"/>
  <c r="D251" i="16"/>
  <c r="S251" i="16"/>
  <c r="K251" i="16"/>
  <c r="C251" i="16"/>
  <c r="R251" i="16"/>
  <c r="J251" i="16"/>
  <c r="B251" i="16"/>
  <c r="Q251" i="16"/>
  <c r="I251" i="16"/>
  <c r="AD236" i="16"/>
  <c r="Z180" i="16"/>
  <c r="Z13" i="16" s="1"/>
  <c r="Z236" i="16"/>
  <c r="Z69" i="16" s="1"/>
  <c r="Y206" i="16"/>
  <c r="AE206" i="16" s="1"/>
  <c r="AC180" i="16"/>
  <c r="AF180" i="16" s="1"/>
  <c r="AG180" i="16" s="1"/>
  <c r="Z232" i="16"/>
  <c r="AC196" i="16"/>
  <c r="AF196" i="16" s="1"/>
  <c r="AG196" i="16" s="1"/>
  <c r="Z196" i="16"/>
  <c r="Z29" i="16" s="1"/>
  <c r="I47" i="16" s="1"/>
  <c r="B206" i="16"/>
  <c r="M52" i="19"/>
  <c r="G67" i="19"/>
  <c r="M42" i="19"/>
  <c r="L127" i="19"/>
  <c r="I67" i="19"/>
  <c r="Q22" i="19" s="1"/>
  <c r="K187" i="19"/>
  <c r="S23" i="19" s="1"/>
  <c r="H67" i="19"/>
  <c r="Q20" i="19" s="1"/>
  <c r="M91" i="19"/>
  <c r="M102" i="19"/>
  <c r="I127" i="19"/>
  <c r="U22" i="19" s="1"/>
  <c r="H127" i="19"/>
  <c r="U20" i="19" s="1"/>
  <c r="M74" i="19"/>
  <c r="M83" i="19"/>
  <c r="E187" i="19"/>
  <c r="S18" i="19" s="1"/>
  <c r="H100" i="5"/>
  <c r="I100" i="5"/>
  <c r="I60" i="5"/>
  <c r="H60" i="5"/>
  <c r="AF91" i="14" l="1"/>
  <c r="AG91" i="14" s="1"/>
  <c r="S81" i="14"/>
  <c r="X142" i="14"/>
  <c r="AD142" i="14" s="1"/>
  <c r="B81" i="14"/>
  <c r="E81" i="14"/>
  <c r="F81" i="14"/>
  <c r="AF41" i="14"/>
  <c r="AG41" i="14" s="1"/>
  <c r="AF138" i="14"/>
  <c r="AG138" i="14" s="1"/>
  <c r="AD373" i="14"/>
  <c r="Z69" i="13"/>
  <c r="G187" i="20"/>
  <c r="S17" i="20" s="1"/>
  <c r="Q17" i="20"/>
  <c r="E187" i="20"/>
  <c r="S20" i="20" s="1"/>
  <c r="U20" i="20"/>
  <c r="D187" i="20"/>
  <c r="S16" i="20" s="1"/>
  <c r="Q16" i="20"/>
  <c r="F187" i="20"/>
  <c r="S18" i="20" s="1"/>
  <c r="Q18" i="20"/>
  <c r="G187" i="19"/>
  <c r="S19" i="19" s="1"/>
  <c r="Q19" i="19"/>
  <c r="C187" i="19"/>
  <c r="S15" i="19" s="1"/>
  <c r="Q15" i="19"/>
  <c r="D187" i="19"/>
  <c r="S16" i="19" s="1"/>
  <c r="U16" i="19"/>
  <c r="R20" i="19"/>
  <c r="R22" i="19"/>
  <c r="L187" i="19"/>
  <c r="S24" i="19" s="1"/>
  <c r="U24" i="19"/>
  <c r="J187" i="19"/>
  <c r="S21" i="19" s="1"/>
  <c r="Q21" i="19"/>
  <c r="H123" i="16"/>
  <c r="AF236" i="16"/>
  <c r="AG236" i="16" s="1"/>
  <c r="R86" i="16"/>
  <c r="G86" i="16"/>
  <c r="U86" i="16"/>
  <c r="N86" i="16"/>
  <c r="L86" i="16"/>
  <c r="Q86" i="16"/>
  <c r="O86" i="16"/>
  <c r="V86" i="16"/>
  <c r="H86" i="16"/>
  <c r="K86" i="16"/>
  <c r="T86" i="16"/>
  <c r="E86" i="16"/>
  <c r="P86" i="16"/>
  <c r="I86" i="16"/>
  <c r="J86" i="16"/>
  <c r="M86" i="16"/>
  <c r="F86" i="16"/>
  <c r="S86" i="16"/>
  <c r="D86" i="16"/>
  <c r="W86" i="16"/>
  <c r="C86" i="16"/>
  <c r="Y86" i="16"/>
  <c r="P47" i="16"/>
  <c r="N44" i="16"/>
  <c r="O44" i="16"/>
  <c r="P44" i="16"/>
  <c r="K44" i="16"/>
  <c r="D44" i="16"/>
  <c r="I44" i="16"/>
  <c r="F44" i="16"/>
  <c r="H44" i="16"/>
  <c r="V44" i="16"/>
  <c r="S44" i="16"/>
  <c r="J44" i="16"/>
  <c r="M44" i="16"/>
  <c r="W44" i="16"/>
  <c r="Q44" i="16"/>
  <c r="L44" i="16"/>
  <c r="G44" i="16"/>
  <c r="T44" i="16"/>
  <c r="U44" i="16"/>
  <c r="Y44" i="16"/>
  <c r="E44" i="16"/>
  <c r="X44" i="16"/>
  <c r="AF25" i="16"/>
  <c r="AG25" i="16" s="1"/>
  <c r="R44" i="16"/>
  <c r="B86" i="16"/>
  <c r="AC69" i="16"/>
  <c r="AF69" i="16" s="1"/>
  <c r="B79" i="16"/>
  <c r="T47" i="16"/>
  <c r="Y47" i="16"/>
  <c r="K47" i="16"/>
  <c r="E47" i="16"/>
  <c r="G47" i="16"/>
  <c r="Q47" i="16"/>
  <c r="H47" i="16"/>
  <c r="U47" i="16"/>
  <c r="J47" i="16"/>
  <c r="V47" i="16"/>
  <c r="L47" i="16"/>
  <c r="D47" i="16"/>
  <c r="F47" i="16"/>
  <c r="W47" i="16"/>
  <c r="N47" i="16"/>
  <c r="S47" i="16"/>
  <c r="D212" i="16"/>
  <c r="Z25" i="16"/>
  <c r="Z39" i="16" s="1"/>
  <c r="M51" i="16" s="1"/>
  <c r="C44" i="16"/>
  <c r="AE39" i="16"/>
  <c r="AG69" i="16"/>
  <c r="X47" i="16"/>
  <c r="X39" i="16"/>
  <c r="AD29" i="16"/>
  <c r="AF29" i="16" s="1"/>
  <c r="AC39" i="16"/>
  <c r="B47" i="16"/>
  <c r="B44" i="16"/>
  <c r="Y252" i="16"/>
  <c r="Z65" i="16"/>
  <c r="R47" i="16"/>
  <c r="O47" i="16"/>
  <c r="C40" i="16"/>
  <c r="D40" i="16" s="1"/>
  <c r="M47" i="16"/>
  <c r="C47" i="16"/>
  <c r="X86" i="16"/>
  <c r="AF37" i="15"/>
  <c r="AG37" i="15" s="1"/>
  <c r="AF108" i="14"/>
  <c r="AG108" i="14" s="1"/>
  <c r="W237" i="13"/>
  <c r="AA65" i="13"/>
  <c r="AA64" i="13"/>
  <c r="AE144" i="13"/>
  <c r="Z144" i="13"/>
  <c r="AG108" i="13"/>
  <c r="AH108" i="13" s="1"/>
  <c r="AC144" i="13"/>
  <c r="AD144" i="13"/>
  <c r="AD69" i="13"/>
  <c r="AC69" i="13"/>
  <c r="AG130" i="13"/>
  <c r="AE69" i="13"/>
  <c r="AG41" i="13"/>
  <c r="AH41" i="13" s="1"/>
  <c r="Y143" i="13"/>
  <c r="D80" i="17"/>
  <c r="E79" i="17"/>
  <c r="P153" i="14"/>
  <c r="L153" i="14"/>
  <c r="X77" i="13"/>
  <c r="E75" i="13"/>
  <c r="C72" i="13"/>
  <c r="N74" i="13"/>
  <c r="J73" i="13"/>
  <c r="U79" i="13"/>
  <c r="E76" i="13"/>
  <c r="N78" i="13"/>
  <c r="D52" i="18"/>
  <c r="E51" i="18"/>
  <c r="C212" i="16"/>
  <c r="I212" i="16"/>
  <c r="AF192" i="16"/>
  <c r="AG192" i="16" s="1"/>
  <c r="Y212" i="16"/>
  <c r="C207" i="16"/>
  <c r="D207" i="16" s="1"/>
  <c r="I123" i="16"/>
  <c r="J122" i="16"/>
  <c r="C247" i="16"/>
  <c r="D247" i="16" s="1"/>
  <c r="AD246" i="16"/>
  <c r="H164" i="16"/>
  <c r="I163" i="16"/>
  <c r="S212" i="16"/>
  <c r="W212" i="16"/>
  <c r="M212" i="16"/>
  <c r="O212" i="16"/>
  <c r="E212" i="16"/>
  <c r="L212" i="16"/>
  <c r="G212" i="16"/>
  <c r="H212" i="16"/>
  <c r="R212" i="16"/>
  <c r="U212" i="16"/>
  <c r="Q212" i="16"/>
  <c r="K212" i="16"/>
  <c r="V212" i="16"/>
  <c r="J212" i="16"/>
  <c r="T212" i="16"/>
  <c r="F212" i="16"/>
  <c r="N212" i="16"/>
  <c r="P212" i="16"/>
  <c r="AA336" i="15"/>
  <c r="S353" i="15"/>
  <c r="AA333" i="15"/>
  <c r="AA332" i="15"/>
  <c r="X353" i="15"/>
  <c r="AA338" i="15"/>
  <c r="E353" i="15"/>
  <c r="B75" i="15"/>
  <c r="V353" i="15"/>
  <c r="AA322" i="15"/>
  <c r="AA314" i="15"/>
  <c r="AA319" i="15"/>
  <c r="AA337" i="15"/>
  <c r="AA327" i="15"/>
  <c r="AA339" i="15"/>
  <c r="L353" i="15"/>
  <c r="D353" i="15"/>
  <c r="U353" i="15"/>
  <c r="N353" i="15"/>
  <c r="AA330" i="15"/>
  <c r="AA326" i="15"/>
  <c r="AA315" i="15"/>
  <c r="AA335" i="15"/>
  <c r="B353" i="15"/>
  <c r="H353" i="15"/>
  <c r="AA316" i="15"/>
  <c r="AA329" i="15"/>
  <c r="AA320" i="15"/>
  <c r="AA313" i="15"/>
  <c r="Z109" i="15"/>
  <c r="Y122" i="15" s="1"/>
  <c r="G353" i="15"/>
  <c r="Q353" i="15"/>
  <c r="Y353" i="15"/>
  <c r="I353" i="15"/>
  <c r="AA323" i="15"/>
  <c r="AA317" i="15"/>
  <c r="I75" i="15"/>
  <c r="P353" i="15"/>
  <c r="J353" i="15"/>
  <c r="AA318" i="15"/>
  <c r="AA331" i="15"/>
  <c r="AA324" i="15"/>
  <c r="AA321" i="15"/>
  <c r="M353" i="15"/>
  <c r="W353" i="15"/>
  <c r="T353" i="15"/>
  <c r="C353" i="15"/>
  <c r="O353" i="15"/>
  <c r="F353" i="15"/>
  <c r="AA334" i="15"/>
  <c r="H175" i="15"/>
  <c r="I174" i="15"/>
  <c r="F63" i="15"/>
  <c r="N63" i="15"/>
  <c r="R63" i="15"/>
  <c r="J63" i="15"/>
  <c r="O63" i="15"/>
  <c r="H63" i="15"/>
  <c r="W63" i="15"/>
  <c r="Y63" i="15"/>
  <c r="G63" i="15"/>
  <c r="V63" i="15"/>
  <c r="X63" i="15"/>
  <c r="L63" i="15"/>
  <c r="P63" i="15"/>
  <c r="K63" i="15"/>
  <c r="C63" i="15"/>
  <c r="S63" i="15"/>
  <c r="I63" i="15"/>
  <c r="D63" i="15"/>
  <c r="M63" i="15"/>
  <c r="E63" i="15"/>
  <c r="Q63" i="15"/>
  <c r="B63" i="15"/>
  <c r="T63" i="15"/>
  <c r="V75" i="15"/>
  <c r="L75" i="15"/>
  <c r="R75" i="15"/>
  <c r="C59" i="15"/>
  <c r="D59" i="15" s="1"/>
  <c r="C75" i="15"/>
  <c r="N75" i="15"/>
  <c r="I226" i="15"/>
  <c r="J225" i="15"/>
  <c r="P65" i="15"/>
  <c r="H65" i="15"/>
  <c r="B65" i="15"/>
  <c r="L65" i="15"/>
  <c r="X65" i="15"/>
  <c r="S65" i="15"/>
  <c r="T65" i="15"/>
  <c r="D65" i="15"/>
  <c r="C65" i="15"/>
  <c r="M65" i="15"/>
  <c r="O65" i="15"/>
  <c r="Q65" i="15"/>
  <c r="V65" i="15"/>
  <c r="K65" i="15"/>
  <c r="R65" i="15"/>
  <c r="N65" i="15"/>
  <c r="I65" i="15"/>
  <c r="J65" i="15"/>
  <c r="U65" i="15"/>
  <c r="F65" i="15"/>
  <c r="Y65" i="15"/>
  <c r="W65" i="15"/>
  <c r="E65" i="15"/>
  <c r="G65" i="15"/>
  <c r="L122" i="15"/>
  <c r="Q75" i="15"/>
  <c r="E69" i="15"/>
  <c r="D69" i="15"/>
  <c r="Y69" i="15"/>
  <c r="I69" i="15"/>
  <c r="O69" i="15"/>
  <c r="W69" i="15"/>
  <c r="F69" i="15"/>
  <c r="G69" i="15"/>
  <c r="N69" i="15"/>
  <c r="J69" i="15"/>
  <c r="K69" i="15"/>
  <c r="R69" i="15"/>
  <c r="S69" i="15"/>
  <c r="T69" i="15"/>
  <c r="V69" i="15"/>
  <c r="L69" i="15"/>
  <c r="X69" i="15"/>
  <c r="M69" i="15"/>
  <c r="B69" i="15"/>
  <c r="C69" i="15"/>
  <c r="P69" i="15"/>
  <c r="D291" i="15"/>
  <c r="E290" i="15"/>
  <c r="Q69" i="15"/>
  <c r="S75" i="15"/>
  <c r="T75" i="15"/>
  <c r="U75" i="15"/>
  <c r="C110" i="15"/>
  <c r="D110" i="15" s="1"/>
  <c r="Y75" i="15"/>
  <c r="D75" i="15"/>
  <c r="J75" i="15"/>
  <c r="W75" i="15"/>
  <c r="D342" i="15"/>
  <c r="E341" i="15"/>
  <c r="E75" i="15"/>
  <c r="H69" i="15"/>
  <c r="X67" i="15"/>
  <c r="W67" i="15"/>
  <c r="G67" i="15"/>
  <c r="P67" i="15"/>
  <c r="O67" i="15"/>
  <c r="T67" i="15"/>
  <c r="S67" i="15"/>
  <c r="C67" i="15"/>
  <c r="L67" i="15"/>
  <c r="K67" i="15"/>
  <c r="Q67" i="15"/>
  <c r="H67" i="15"/>
  <c r="N67" i="15"/>
  <c r="D67" i="15"/>
  <c r="J67" i="15"/>
  <c r="B67" i="15"/>
  <c r="E67" i="15"/>
  <c r="V67" i="15"/>
  <c r="I67" i="15"/>
  <c r="Y67" i="15"/>
  <c r="M67" i="15"/>
  <c r="R67" i="15"/>
  <c r="U67" i="15"/>
  <c r="F67" i="15"/>
  <c r="M66" i="15"/>
  <c r="U66" i="15"/>
  <c r="Y66" i="15"/>
  <c r="I66" i="15"/>
  <c r="E66" i="15"/>
  <c r="Q66" i="15"/>
  <c r="O66" i="15"/>
  <c r="F66" i="15"/>
  <c r="L66" i="15"/>
  <c r="C66" i="15"/>
  <c r="V66" i="15"/>
  <c r="H66" i="15"/>
  <c r="G66" i="15"/>
  <c r="J66" i="15"/>
  <c r="K66" i="15"/>
  <c r="R66" i="15"/>
  <c r="T66" i="15"/>
  <c r="X66" i="15"/>
  <c r="B66" i="15"/>
  <c r="P66" i="15"/>
  <c r="S66" i="15"/>
  <c r="N66" i="15"/>
  <c r="W66" i="15"/>
  <c r="D66" i="15"/>
  <c r="Y116" i="15"/>
  <c r="I116" i="15"/>
  <c r="F116" i="15"/>
  <c r="E116" i="15"/>
  <c r="K116" i="15"/>
  <c r="T116" i="15"/>
  <c r="R116" i="15"/>
  <c r="Q116" i="15"/>
  <c r="D116" i="15"/>
  <c r="O116" i="15"/>
  <c r="G116" i="15"/>
  <c r="X116" i="15"/>
  <c r="B116" i="15"/>
  <c r="U116" i="15"/>
  <c r="W116" i="15"/>
  <c r="N116" i="15"/>
  <c r="S116" i="15"/>
  <c r="L116" i="15"/>
  <c r="C116" i="15"/>
  <c r="H116" i="15"/>
  <c r="V116" i="15"/>
  <c r="P116" i="15"/>
  <c r="J116" i="15"/>
  <c r="M116" i="15"/>
  <c r="X75" i="15"/>
  <c r="H75" i="15"/>
  <c r="P75" i="15"/>
  <c r="W74" i="15"/>
  <c r="G74" i="15"/>
  <c r="N74" i="15"/>
  <c r="T74" i="15"/>
  <c r="D74" i="15"/>
  <c r="O74" i="15"/>
  <c r="R74" i="15"/>
  <c r="S74" i="15"/>
  <c r="Y74" i="15"/>
  <c r="P74" i="15"/>
  <c r="K74" i="15"/>
  <c r="X74" i="15"/>
  <c r="L74" i="15"/>
  <c r="J74" i="15"/>
  <c r="H74" i="15"/>
  <c r="C74" i="15"/>
  <c r="U74" i="15"/>
  <c r="E74" i="15"/>
  <c r="M74" i="15"/>
  <c r="V74" i="15"/>
  <c r="I74" i="15"/>
  <c r="F74" i="15"/>
  <c r="Q74" i="15"/>
  <c r="M75" i="15"/>
  <c r="U63" i="15"/>
  <c r="G75" i="15"/>
  <c r="F75" i="15"/>
  <c r="U69" i="15"/>
  <c r="O75" i="15"/>
  <c r="I157" i="14"/>
  <c r="B157" i="14"/>
  <c r="O157" i="14"/>
  <c r="M157" i="14"/>
  <c r="N157" i="14"/>
  <c r="E157" i="14"/>
  <c r="S157" i="14"/>
  <c r="R157" i="14"/>
  <c r="K157" i="14"/>
  <c r="J157" i="14"/>
  <c r="U157" i="14"/>
  <c r="C157" i="14"/>
  <c r="Y157" i="14"/>
  <c r="Q157" i="14"/>
  <c r="G157" i="14"/>
  <c r="F157" i="14"/>
  <c r="L157" i="14"/>
  <c r="H157" i="14"/>
  <c r="P157" i="14"/>
  <c r="D157" i="14"/>
  <c r="X157" i="14"/>
  <c r="T157" i="14"/>
  <c r="V157" i="14"/>
  <c r="W157" i="14"/>
  <c r="E148" i="14"/>
  <c r="K148" i="14"/>
  <c r="D148" i="14"/>
  <c r="C148" i="14"/>
  <c r="G148" i="14"/>
  <c r="B148" i="14"/>
  <c r="F148" i="14"/>
  <c r="J148" i="14"/>
  <c r="I148" i="14"/>
  <c r="P148" i="14"/>
  <c r="M148" i="14"/>
  <c r="Y148" i="14"/>
  <c r="O148" i="14"/>
  <c r="T148" i="14"/>
  <c r="Q148" i="14"/>
  <c r="W148" i="14"/>
  <c r="S148" i="14"/>
  <c r="X148" i="14"/>
  <c r="U148" i="14"/>
  <c r="L148" i="14"/>
  <c r="G81" i="14"/>
  <c r="V81" i="14"/>
  <c r="C81" i="14"/>
  <c r="J81" i="14"/>
  <c r="P81" i="14"/>
  <c r="H148" i="14"/>
  <c r="V148" i="14"/>
  <c r="AD100" i="14"/>
  <c r="AC113" i="14"/>
  <c r="AF113" i="14" s="1"/>
  <c r="G158" i="14"/>
  <c r="M158" i="14"/>
  <c r="B158" i="14"/>
  <c r="H158" i="14"/>
  <c r="O158" i="14"/>
  <c r="I158" i="14"/>
  <c r="K158" i="14"/>
  <c r="D158" i="14"/>
  <c r="C158" i="14"/>
  <c r="E158" i="14"/>
  <c r="T158" i="14"/>
  <c r="L158" i="14"/>
  <c r="J158" i="14"/>
  <c r="F158" i="14"/>
  <c r="N158" i="14"/>
  <c r="Y158" i="14"/>
  <c r="R158" i="14"/>
  <c r="P158" i="14"/>
  <c r="S158" i="14"/>
  <c r="W158" i="14"/>
  <c r="U158" i="14"/>
  <c r="X158" i="14"/>
  <c r="AF119" i="14"/>
  <c r="AG119" i="14" s="1"/>
  <c r="Y150" i="14"/>
  <c r="O150" i="14"/>
  <c r="Q150" i="14"/>
  <c r="R150" i="14"/>
  <c r="I150" i="14"/>
  <c r="K150" i="14"/>
  <c r="E150" i="14"/>
  <c r="N150" i="14"/>
  <c r="M150" i="14"/>
  <c r="S150" i="14"/>
  <c r="F150" i="14"/>
  <c r="W150" i="14"/>
  <c r="G150" i="14"/>
  <c r="J150" i="14"/>
  <c r="C150" i="14"/>
  <c r="V150" i="14"/>
  <c r="B150" i="14"/>
  <c r="P150" i="14"/>
  <c r="X150" i="14"/>
  <c r="D150" i="14"/>
  <c r="L150" i="14"/>
  <c r="T150" i="14"/>
  <c r="H150" i="14"/>
  <c r="U150" i="14"/>
  <c r="W81" i="14"/>
  <c r="H81" i="14"/>
  <c r="D81" i="14"/>
  <c r="N81" i="14"/>
  <c r="I81" i="14"/>
  <c r="T81" i="14"/>
  <c r="R148" i="14"/>
  <c r="G153" i="14"/>
  <c r="W153" i="14"/>
  <c r="B153" i="14"/>
  <c r="Q153" i="14"/>
  <c r="M153" i="14"/>
  <c r="K153" i="14"/>
  <c r="R153" i="14"/>
  <c r="J153" i="14"/>
  <c r="E153" i="14"/>
  <c r="U153" i="14"/>
  <c r="Y153" i="14"/>
  <c r="F153" i="14"/>
  <c r="O153" i="14"/>
  <c r="V153" i="14"/>
  <c r="I153" i="14"/>
  <c r="N153" i="14"/>
  <c r="C153" i="14"/>
  <c r="S153" i="14"/>
  <c r="AC100" i="14"/>
  <c r="AF100" i="14" s="1"/>
  <c r="AG100" i="14" s="1"/>
  <c r="U81" i="14"/>
  <c r="K81" i="14"/>
  <c r="X81" i="14"/>
  <c r="L81" i="14"/>
  <c r="M81" i="14"/>
  <c r="Q158" i="14"/>
  <c r="X153" i="14"/>
  <c r="D153" i="14"/>
  <c r="N148" i="14"/>
  <c r="V158" i="14"/>
  <c r="T153" i="14"/>
  <c r="T82" i="14"/>
  <c r="W74" i="14"/>
  <c r="AF332" i="14"/>
  <c r="AG332" i="14" s="1"/>
  <c r="Q77" i="14"/>
  <c r="X79" i="14"/>
  <c r="M77" i="14"/>
  <c r="Y79" i="14"/>
  <c r="P79" i="14"/>
  <c r="Y81" i="14"/>
  <c r="O81" i="14"/>
  <c r="P77" i="14"/>
  <c r="AC26" i="14"/>
  <c r="AF26" i="14" s="1"/>
  <c r="AG26" i="14" s="1"/>
  <c r="R74" i="14"/>
  <c r="L75" i="14"/>
  <c r="C75" i="14"/>
  <c r="R75" i="14"/>
  <c r="P75" i="14"/>
  <c r="G75" i="14"/>
  <c r="V75" i="14"/>
  <c r="H75" i="14"/>
  <c r="O75" i="14"/>
  <c r="J75" i="14"/>
  <c r="X75" i="14"/>
  <c r="D75" i="14"/>
  <c r="K75" i="14"/>
  <c r="F75" i="14"/>
  <c r="Y75" i="14"/>
  <c r="E75" i="14"/>
  <c r="I75" i="14"/>
  <c r="Q75" i="14"/>
  <c r="T75" i="14"/>
  <c r="S75" i="14"/>
  <c r="N75" i="14"/>
  <c r="B75" i="14"/>
  <c r="M75" i="14"/>
  <c r="W75" i="14"/>
  <c r="U75" i="14"/>
  <c r="H82" i="14"/>
  <c r="G82" i="14"/>
  <c r="I82" i="14"/>
  <c r="K82" i="14"/>
  <c r="O82" i="14"/>
  <c r="J82" i="14"/>
  <c r="L82" i="14"/>
  <c r="N82" i="14"/>
  <c r="B82" i="14"/>
  <c r="D82" i="14"/>
  <c r="E82" i="14"/>
  <c r="F82" i="14"/>
  <c r="C82" i="14"/>
  <c r="R82" i="14"/>
  <c r="V82" i="14"/>
  <c r="M79" i="14"/>
  <c r="X77" i="14"/>
  <c r="O77" i="14"/>
  <c r="X82" i="14"/>
  <c r="T74" i="14"/>
  <c r="S77" i="14"/>
  <c r="B79" i="14"/>
  <c r="F79" i="14"/>
  <c r="L79" i="14"/>
  <c r="E79" i="14"/>
  <c r="D79" i="14"/>
  <c r="I79" i="14"/>
  <c r="C79" i="14"/>
  <c r="K79" i="14"/>
  <c r="H79" i="14"/>
  <c r="G79" i="14"/>
  <c r="J79" i="14"/>
  <c r="N79" i="14"/>
  <c r="R79" i="14"/>
  <c r="V79" i="14"/>
  <c r="F80" i="14"/>
  <c r="C80" i="14"/>
  <c r="U80" i="14"/>
  <c r="P80" i="14"/>
  <c r="J80" i="14"/>
  <c r="E80" i="14"/>
  <c r="W80" i="14"/>
  <c r="O80" i="14"/>
  <c r="N80" i="14"/>
  <c r="G80" i="14"/>
  <c r="B80" i="14"/>
  <c r="D80" i="14"/>
  <c r="V80" i="14"/>
  <c r="X80" i="14"/>
  <c r="I80" i="14"/>
  <c r="Q80" i="14"/>
  <c r="K80" i="14"/>
  <c r="Y80" i="14"/>
  <c r="R80" i="14"/>
  <c r="H80" i="14"/>
  <c r="M80" i="14"/>
  <c r="L80" i="14"/>
  <c r="G74" i="14"/>
  <c r="H74" i="14"/>
  <c r="Q74" i="14"/>
  <c r="B74" i="14"/>
  <c r="L74" i="14"/>
  <c r="K74" i="14"/>
  <c r="F74" i="14"/>
  <c r="D74" i="14"/>
  <c r="E74" i="14"/>
  <c r="J74" i="14"/>
  <c r="O74" i="14"/>
  <c r="M74" i="14"/>
  <c r="C74" i="14"/>
  <c r="U74" i="14"/>
  <c r="X74" i="14"/>
  <c r="N74" i="14"/>
  <c r="Y74" i="14"/>
  <c r="I74" i="14"/>
  <c r="P74" i="14"/>
  <c r="V74" i="14"/>
  <c r="B83" i="14"/>
  <c r="K83" i="14"/>
  <c r="L83" i="14"/>
  <c r="Y83" i="14"/>
  <c r="Q83" i="14"/>
  <c r="N83" i="14"/>
  <c r="O83" i="14"/>
  <c r="F83" i="14"/>
  <c r="P83" i="14"/>
  <c r="J83" i="14"/>
  <c r="E83" i="14"/>
  <c r="U83" i="14"/>
  <c r="G83" i="14"/>
  <c r="W83" i="14"/>
  <c r="M83" i="14"/>
  <c r="C83" i="14"/>
  <c r="S83" i="14"/>
  <c r="R83" i="14"/>
  <c r="D83" i="14"/>
  <c r="T83" i="14"/>
  <c r="V83" i="14"/>
  <c r="I83" i="14"/>
  <c r="H83" i="14"/>
  <c r="T77" i="14"/>
  <c r="W77" i="14"/>
  <c r="O79" i="14"/>
  <c r="T80" i="14"/>
  <c r="T79" i="14"/>
  <c r="U79" i="14"/>
  <c r="X83" i="14"/>
  <c r="P82" i="14"/>
  <c r="K72" i="14"/>
  <c r="F72" i="14"/>
  <c r="L72" i="14"/>
  <c r="G72" i="14"/>
  <c r="D72" i="14"/>
  <c r="C72" i="14"/>
  <c r="B72" i="14"/>
  <c r="J72" i="14"/>
  <c r="E72" i="14"/>
  <c r="I72" i="14"/>
  <c r="V72" i="14"/>
  <c r="O72" i="14"/>
  <c r="Q72" i="14"/>
  <c r="U72" i="14"/>
  <c r="T72" i="14"/>
  <c r="H72" i="14"/>
  <c r="X72" i="14"/>
  <c r="M72" i="14"/>
  <c r="Y72" i="14"/>
  <c r="S72" i="14"/>
  <c r="P72" i="14"/>
  <c r="N72" i="14"/>
  <c r="W72" i="14"/>
  <c r="R72" i="14"/>
  <c r="AE67" i="14"/>
  <c r="F77" i="14"/>
  <c r="J77" i="14"/>
  <c r="C77" i="14"/>
  <c r="D77" i="14"/>
  <c r="L77" i="14"/>
  <c r="I77" i="14"/>
  <c r="Y77" i="14"/>
  <c r="G77" i="14"/>
  <c r="H77" i="14"/>
  <c r="E77" i="14"/>
  <c r="R77" i="14"/>
  <c r="V77" i="14"/>
  <c r="N77" i="14"/>
  <c r="B77" i="14"/>
  <c r="W79" i="14"/>
  <c r="Q82" i="14"/>
  <c r="K77" i="14"/>
  <c r="M82" i="14"/>
  <c r="U82" i="14"/>
  <c r="S82" i="14"/>
  <c r="Y82" i="14"/>
  <c r="S79" i="14"/>
  <c r="W67" i="14"/>
  <c r="H297" i="14"/>
  <c r="I296" i="14"/>
  <c r="G222" i="14"/>
  <c r="H221" i="14"/>
  <c r="Y142" i="14"/>
  <c r="B142" i="14"/>
  <c r="C143" i="14" s="1"/>
  <c r="D143" i="14" s="1"/>
  <c r="D144" i="14" s="1"/>
  <c r="AF417" i="14"/>
  <c r="AG417" i="14" s="1"/>
  <c r="AF328" i="14"/>
  <c r="AG328" i="14" s="1"/>
  <c r="E374" i="14"/>
  <c r="AF61" i="14"/>
  <c r="AG61" i="14" s="1"/>
  <c r="E447" i="14"/>
  <c r="U237" i="13"/>
  <c r="M73" i="13"/>
  <c r="O149" i="13"/>
  <c r="U73" i="13"/>
  <c r="F78" i="13"/>
  <c r="R151" i="13"/>
  <c r="X151" i="13"/>
  <c r="F155" i="13"/>
  <c r="G79" i="13"/>
  <c r="M151" i="13"/>
  <c r="P149" i="13"/>
  <c r="L151" i="13"/>
  <c r="B150" i="13"/>
  <c r="C79" i="13"/>
  <c r="F149" i="13"/>
  <c r="E151" i="13"/>
  <c r="B149" i="13"/>
  <c r="I150" i="13"/>
  <c r="G77" i="13"/>
  <c r="AG53" i="13"/>
  <c r="E220" i="13"/>
  <c r="E221" i="13" s="1"/>
  <c r="O76" i="13"/>
  <c r="J149" i="13"/>
  <c r="R73" i="13"/>
  <c r="N149" i="13"/>
  <c r="F73" i="13"/>
  <c r="Q73" i="13"/>
  <c r="F148" i="13"/>
  <c r="O148" i="13"/>
  <c r="N151" i="13"/>
  <c r="G155" i="13"/>
  <c r="B79" i="13"/>
  <c r="Y73" i="13"/>
  <c r="I148" i="13"/>
  <c r="H150" i="13"/>
  <c r="U151" i="13"/>
  <c r="G150" i="13"/>
  <c r="Y150" i="13"/>
  <c r="V78" i="13"/>
  <c r="W150" i="13"/>
  <c r="E73" i="13"/>
  <c r="N77" i="13"/>
  <c r="N76" i="13"/>
  <c r="U76" i="13"/>
  <c r="L155" i="13"/>
  <c r="J155" i="13"/>
  <c r="P76" i="13"/>
  <c r="L150" i="13"/>
  <c r="Q150" i="13"/>
  <c r="P155" i="13"/>
  <c r="C150" i="13"/>
  <c r="V73" i="13"/>
  <c r="Q79" i="13"/>
  <c r="H149" i="13"/>
  <c r="W148" i="13"/>
  <c r="H155" i="13"/>
  <c r="W155" i="13"/>
  <c r="I76" i="13"/>
  <c r="S148" i="13"/>
  <c r="B78" i="13"/>
  <c r="R150" i="13"/>
  <c r="V155" i="13"/>
  <c r="E79" i="13"/>
  <c r="C155" i="13"/>
  <c r="E148" i="13"/>
  <c r="AA257" i="13"/>
  <c r="E295" i="13"/>
  <c r="E296" i="13" s="1"/>
  <c r="J150" i="13"/>
  <c r="G73" i="13"/>
  <c r="D151" i="13"/>
  <c r="N150" i="13"/>
  <c r="N155" i="13"/>
  <c r="D76" i="13"/>
  <c r="Q148" i="13"/>
  <c r="X149" i="13"/>
  <c r="U150" i="13"/>
  <c r="F150" i="13"/>
  <c r="S73" i="13"/>
  <c r="B148" i="13"/>
  <c r="E149" i="13"/>
  <c r="W151" i="13"/>
  <c r="O73" i="13"/>
  <c r="U148" i="13"/>
  <c r="D155" i="13"/>
  <c r="K149" i="13"/>
  <c r="Q149" i="13"/>
  <c r="S152" i="13"/>
  <c r="D72" i="13"/>
  <c r="E72" i="13"/>
  <c r="L75" i="13"/>
  <c r="Y75" i="13"/>
  <c r="E152" i="13"/>
  <c r="X153" i="13"/>
  <c r="J152" i="13"/>
  <c r="G152" i="13"/>
  <c r="C153" i="13"/>
  <c r="Y72" i="13"/>
  <c r="P75" i="13"/>
  <c r="R72" i="13"/>
  <c r="W75" i="13"/>
  <c r="O152" i="13"/>
  <c r="W153" i="13"/>
  <c r="R74" i="13"/>
  <c r="U75" i="13"/>
  <c r="Q152" i="13"/>
  <c r="D153" i="13"/>
  <c r="X152" i="13"/>
  <c r="S75" i="13"/>
  <c r="X72" i="13"/>
  <c r="M72" i="13"/>
  <c r="S72" i="13"/>
  <c r="T152" i="13"/>
  <c r="P152" i="13"/>
  <c r="N152" i="13"/>
  <c r="C74" i="13"/>
  <c r="B75" i="13"/>
  <c r="D152" i="13"/>
  <c r="Y77" i="13"/>
  <c r="I77" i="13"/>
  <c r="M77" i="13"/>
  <c r="U77" i="13"/>
  <c r="Q77" i="13"/>
  <c r="E77" i="13"/>
  <c r="J77" i="13"/>
  <c r="S79" i="13"/>
  <c r="B77" i="13"/>
  <c r="B76" i="13"/>
  <c r="H79" i="13"/>
  <c r="I153" i="13"/>
  <c r="W152" i="13"/>
  <c r="W79" i="13"/>
  <c r="T76" i="13"/>
  <c r="L153" i="13"/>
  <c r="B152" i="13"/>
  <c r="G74" i="13"/>
  <c r="N72" i="13"/>
  <c r="R79" i="13"/>
  <c r="D77" i="13"/>
  <c r="J76" i="13"/>
  <c r="C75" i="13"/>
  <c r="H75" i="13"/>
  <c r="P72" i="13"/>
  <c r="M74" i="13"/>
  <c r="AG13" i="13"/>
  <c r="AH13" i="13" s="1"/>
  <c r="AE141" i="13"/>
  <c r="D78" i="13"/>
  <c r="T78" i="13"/>
  <c r="G78" i="13"/>
  <c r="W78" i="13"/>
  <c r="Q78" i="13"/>
  <c r="H78" i="13"/>
  <c r="X78" i="13"/>
  <c r="K78" i="13"/>
  <c r="E78" i="13"/>
  <c r="U78" i="13"/>
  <c r="L78" i="13"/>
  <c r="I78" i="13"/>
  <c r="P78" i="13"/>
  <c r="C78" i="13"/>
  <c r="M78" i="13"/>
  <c r="O78" i="13"/>
  <c r="S78" i="13"/>
  <c r="Y78" i="13"/>
  <c r="AG119" i="13"/>
  <c r="AH119" i="13" s="1"/>
  <c r="T79" i="13"/>
  <c r="V152" i="13"/>
  <c r="E153" i="13"/>
  <c r="O151" i="13"/>
  <c r="C77" i="13"/>
  <c r="O150" i="13"/>
  <c r="W73" i="13"/>
  <c r="C149" i="13"/>
  <c r="T72" i="13"/>
  <c r="V74" i="13"/>
  <c r="F79" i="13"/>
  <c r="M76" i="13"/>
  <c r="R76" i="13"/>
  <c r="O72" i="13"/>
  <c r="U74" i="13"/>
  <c r="M79" i="13"/>
  <c r="D149" i="13"/>
  <c r="T151" i="13"/>
  <c r="I149" i="13"/>
  <c r="I151" i="13"/>
  <c r="F151" i="13"/>
  <c r="C76" i="13"/>
  <c r="Y153" i="13"/>
  <c r="C151" i="13"/>
  <c r="O74" i="13"/>
  <c r="G153" i="13"/>
  <c r="S150" i="13"/>
  <c r="K73" i="13"/>
  <c r="G149" i="13"/>
  <c r="J74" i="13"/>
  <c r="J79" i="13"/>
  <c r="Q76" i="13"/>
  <c r="V76" i="13"/>
  <c r="I74" i="13"/>
  <c r="I152" i="13"/>
  <c r="N148" i="13"/>
  <c r="P150" i="13"/>
  <c r="B155" i="13"/>
  <c r="M149" i="13"/>
  <c r="D148" i="13"/>
  <c r="R152" i="13"/>
  <c r="V77" i="13"/>
  <c r="V150" i="13"/>
  <c r="W74" i="13"/>
  <c r="V149" i="13"/>
  <c r="S153" i="13"/>
  <c r="X74" i="13"/>
  <c r="N73" i="13"/>
  <c r="V75" i="13"/>
  <c r="J72" i="13"/>
  <c r="T77" i="13"/>
  <c r="Q74" i="13"/>
  <c r="I79" i="13"/>
  <c r="Y148" i="13"/>
  <c r="J148" i="13"/>
  <c r="X150" i="13"/>
  <c r="C148" i="13"/>
  <c r="U149" i="13"/>
  <c r="L148" i="13"/>
  <c r="R78" i="13"/>
  <c r="J78" i="13"/>
  <c r="M153" i="13"/>
  <c r="S74" i="13"/>
  <c r="S155" i="13"/>
  <c r="T74" i="13"/>
  <c r="X76" i="13"/>
  <c r="P77" i="13"/>
  <c r="Y74" i="13"/>
  <c r="L149" i="13"/>
  <c r="P148" i="13"/>
  <c r="L79" i="13"/>
  <c r="G76" i="13"/>
  <c r="G151" i="13"/>
  <c r="D74" i="13"/>
  <c r="F77" i="13"/>
  <c r="T75" i="13"/>
  <c r="Q75" i="13"/>
  <c r="T150" i="13"/>
  <c r="Q151" i="13"/>
  <c r="AG30" i="13"/>
  <c r="AH30" i="13" s="1"/>
  <c r="AE66" i="13"/>
  <c r="R153" i="13"/>
  <c r="F153" i="13"/>
  <c r="N153" i="13"/>
  <c r="B153" i="13"/>
  <c r="V153" i="13"/>
  <c r="J153" i="13"/>
  <c r="D79" i="13"/>
  <c r="F152" i="13"/>
  <c r="K74" i="13"/>
  <c r="L72" i="13"/>
  <c r="F74" i="13"/>
  <c r="U72" i="13"/>
  <c r="G72" i="13"/>
  <c r="E74" i="13"/>
  <c r="U152" i="13"/>
  <c r="O75" i="13"/>
  <c r="W77" i="13"/>
  <c r="F76" i="13"/>
  <c r="K76" i="13"/>
  <c r="H74" i="13"/>
  <c r="F75" i="13"/>
  <c r="Y76" i="13"/>
  <c r="T153" i="13"/>
  <c r="W76" i="13"/>
  <c r="R75" i="13"/>
  <c r="H76" i="13"/>
  <c r="V72" i="13"/>
  <c r="M152" i="13"/>
  <c r="AA272" i="13"/>
  <c r="D312" i="13"/>
  <c r="C142" i="13"/>
  <c r="D142" i="13" s="1"/>
  <c r="AG22" i="13"/>
  <c r="AH22" i="13" s="1"/>
  <c r="X73" i="13"/>
  <c r="D73" i="13"/>
  <c r="L73" i="13"/>
  <c r="T73" i="13"/>
  <c r="P73" i="13"/>
  <c r="H73" i="13"/>
  <c r="E155" i="13"/>
  <c r="Y155" i="13"/>
  <c r="M155" i="13"/>
  <c r="I155" i="13"/>
  <c r="U155" i="13"/>
  <c r="Q155" i="13"/>
  <c r="AG51" i="13"/>
  <c r="AH51" i="13" s="1"/>
  <c r="AG35" i="13"/>
  <c r="AH35" i="13" s="1"/>
  <c r="AG113" i="13"/>
  <c r="AH113" i="13" s="1"/>
  <c r="B151" i="13"/>
  <c r="K75" i="13"/>
  <c r="U153" i="13"/>
  <c r="C152" i="13"/>
  <c r="S77" i="13"/>
  <c r="K155" i="13"/>
  <c r="L74" i="13"/>
  <c r="S149" i="13"/>
  <c r="B73" i="13"/>
  <c r="J75" i="13"/>
  <c r="V79" i="13"/>
  <c r="B72" i="13"/>
  <c r="H77" i="13"/>
  <c r="W72" i="13"/>
  <c r="I75" i="13"/>
  <c r="M148" i="13"/>
  <c r="T149" i="13"/>
  <c r="H153" i="13"/>
  <c r="Y149" i="13"/>
  <c r="Y151" i="13"/>
  <c r="V151" i="13"/>
  <c r="S76" i="13"/>
  <c r="S151" i="13"/>
  <c r="D75" i="13"/>
  <c r="R155" i="13"/>
  <c r="O155" i="13"/>
  <c r="P74" i="13"/>
  <c r="W149" i="13"/>
  <c r="N75" i="13"/>
  <c r="I72" i="13"/>
  <c r="F72" i="13"/>
  <c r="L77" i="13"/>
  <c r="M75" i="13"/>
  <c r="Y152" i="13"/>
  <c r="V148" i="13"/>
  <c r="H151" i="13"/>
  <c r="G148" i="13"/>
  <c r="E150" i="13"/>
  <c r="P79" i="13"/>
  <c r="G75" i="13"/>
  <c r="Q153" i="13"/>
  <c r="K151" i="13"/>
  <c r="O77" i="13"/>
  <c r="K150" i="13"/>
  <c r="C73" i="13"/>
  <c r="O79" i="13"/>
  <c r="B74" i="13"/>
  <c r="L76" i="13"/>
  <c r="Q72" i="13"/>
  <c r="X75" i="13"/>
  <c r="I73" i="13"/>
  <c r="Y79" i="13"/>
  <c r="R148" i="13"/>
  <c r="P151" i="13"/>
  <c r="K148" i="13"/>
  <c r="M150" i="13"/>
  <c r="H152" i="13"/>
  <c r="X79" i="13"/>
  <c r="T155" i="13"/>
  <c r="K77" i="13"/>
  <c r="K153" i="13"/>
  <c r="H72" i="13"/>
  <c r="N79" i="13"/>
  <c r="K72" i="13"/>
  <c r="H148" i="13"/>
  <c r="L152" i="13"/>
  <c r="T148" i="13"/>
  <c r="R77" i="13"/>
  <c r="K79" i="13"/>
  <c r="P153" i="13"/>
  <c r="C67" i="13"/>
  <c r="D67" i="13" s="1"/>
  <c r="D68" i="13" s="1"/>
  <c r="E446" i="13"/>
  <c r="E447" i="13" s="1"/>
  <c r="AG100" i="13"/>
  <c r="AH100" i="13" s="1"/>
  <c r="AG104" i="13"/>
  <c r="AH104" i="13" s="1"/>
  <c r="AA414" i="13"/>
  <c r="P465" i="13"/>
  <c r="AA442" i="13"/>
  <c r="AA411" i="13"/>
  <c r="AA428" i="13"/>
  <c r="K465" i="13"/>
  <c r="AA426" i="13"/>
  <c r="AA419" i="13"/>
  <c r="AA441" i="13"/>
  <c r="AA403" i="13"/>
  <c r="AA429" i="13"/>
  <c r="AA440" i="13"/>
  <c r="N465" i="13"/>
  <c r="AA432" i="13"/>
  <c r="I465" i="13"/>
  <c r="AA395" i="13"/>
  <c r="AA434" i="13"/>
  <c r="G465" i="13"/>
  <c r="AA437" i="13"/>
  <c r="AA401" i="13"/>
  <c r="AA438" i="13"/>
  <c r="AA404" i="13"/>
  <c r="AA430" i="13"/>
  <c r="AA427" i="13"/>
  <c r="AA409" i="13"/>
  <c r="AA436" i="13"/>
  <c r="X388" i="13"/>
  <c r="AA416" i="13"/>
  <c r="AA444" i="13"/>
  <c r="X465" i="13"/>
  <c r="J465" i="13"/>
  <c r="N237" i="13"/>
  <c r="Q237" i="13"/>
  <c r="AD141" i="13"/>
  <c r="F60" i="32" s="1"/>
  <c r="T237" i="13"/>
  <c r="K237" i="13"/>
  <c r="AA206" i="13"/>
  <c r="AA179" i="13"/>
  <c r="Y312" i="13"/>
  <c r="AH26" i="13"/>
  <c r="AA261" i="13"/>
  <c r="N312" i="13"/>
  <c r="D372" i="13"/>
  <c r="E371" i="13"/>
  <c r="AC206" i="16"/>
  <c r="AF206" i="16" s="1"/>
  <c r="AG206" i="16" s="1"/>
  <c r="AA257" i="15"/>
  <c r="K456" i="14"/>
  <c r="B456" i="14"/>
  <c r="I456" i="14"/>
  <c r="V456" i="14"/>
  <c r="D456" i="14"/>
  <c r="Y456" i="14"/>
  <c r="H456" i="14"/>
  <c r="F456" i="14"/>
  <c r="S456" i="14"/>
  <c r="E456" i="14"/>
  <c r="R456" i="14"/>
  <c r="AA260" i="15"/>
  <c r="AC35" i="14"/>
  <c r="AF35" i="14" s="1"/>
  <c r="C456" i="14"/>
  <c r="L456" i="14"/>
  <c r="M456" i="14"/>
  <c r="J456" i="14"/>
  <c r="Z108" i="14"/>
  <c r="G456" i="14"/>
  <c r="O456" i="14"/>
  <c r="P456" i="14"/>
  <c r="Q456" i="14"/>
  <c r="N456" i="14"/>
  <c r="I306" i="15"/>
  <c r="AD109" i="15"/>
  <c r="W306" i="15"/>
  <c r="AF51" i="14"/>
  <c r="AG51" i="14" s="1"/>
  <c r="W456" i="14"/>
  <c r="T456" i="14"/>
  <c r="U456" i="14"/>
  <c r="T306" i="15"/>
  <c r="U306" i="15"/>
  <c r="C306" i="15"/>
  <c r="AA249" i="15"/>
  <c r="AA264" i="15"/>
  <c r="J306" i="15"/>
  <c r="AA57" i="15"/>
  <c r="AA17" i="15"/>
  <c r="AA42" i="15"/>
  <c r="AA23" i="15"/>
  <c r="AA44" i="15"/>
  <c r="AA29" i="15"/>
  <c r="AA55" i="15"/>
  <c r="AA54" i="15"/>
  <c r="AA276" i="15"/>
  <c r="AA267" i="15"/>
  <c r="AA278" i="15"/>
  <c r="AA246" i="15"/>
  <c r="AA250" i="15"/>
  <c r="AA266" i="15"/>
  <c r="B306" i="15"/>
  <c r="AF340" i="15"/>
  <c r="AG340" i="15" s="1"/>
  <c r="AA253" i="15"/>
  <c r="H306" i="15"/>
  <c r="AA26" i="15"/>
  <c r="P306" i="15"/>
  <c r="AA247" i="15"/>
  <c r="AA268" i="15"/>
  <c r="AA248" i="15"/>
  <c r="N306" i="15"/>
  <c r="Y306" i="15"/>
  <c r="AA255" i="15"/>
  <c r="AA281" i="15"/>
  <c r="AA283" i="15"/>
  <c r="AA265" i="15"/>
  <c r="AA256" i="15"/>
  <c r="AA277" i="15"/>
  <c r="AC58" i="15"/>
  <c r="V306" i="15"/>
  <c r="L306" i="15"/>
  <c r="AA285" i="15"/>
  <c r="R306" i="15"/>
  <c r="F306" i="15"/>
  <c r="AA286" i="15"/>
  <c r="AA284" i="15"/>
  <c r="S306" i="15"/>
  <c r="AA269" i="15"/>
  <c r="AA288" i="15"/>
  <c r="AA279" i="15"/>
  <c r="AA252" i="15"/>
  <c r="AA259" i="15"/>
  <c r="AA287" i="15"/>
  <c r="AA270" i="15"/>
  <c r="AA258" i="15"/>
  <c r="AA280" i="15"/>
  <c r="AA22" i="15"/>
  <c r="AA261" i="15"/>
  <c r="AA30" i="15"/>
  <c r="X306" i="15"/>
  <c r="Q306" i="15"/>
  <c r="AA37" i="15"/>
  <c r="K306" i="15"/>
  <c r="AA254" i="15"/>
  <c r="G306" i="15"/>
  <c r="AA251" i="15"/>
  <c r="AA16" i="15"/>
  <c r="M306" i="15"/>
  <c r="E306" i="15"/>
  <c r="AA272" i="15"/>
  <c r="AA273" i="15"/>
  <c r="AA271" i="15"/>
  <c r="AA275" i="15"/>
  <c r="AA244" i="15"/>
  <c r="O306" i="15"/>
  <c r="AA245" i="15"/>
  <c r="AA263" i="15"/>
  <c r="AA274" i="15"/>
  <c r="D306" i="15"/>
  <c r="AA282" i="15"/>
  <c r="AA262" i="15"/>
  <c r="AA89" i="15"/>
  <c r="AA97" i="15"/>
  <c r="AA102" i="15"/>
  <c r="AA93" i="15"/>
  <c r="AA90" i="15"/>
  <c r="AA82" i="15"/>
  <c r="AA105" i="15"/>
  <c r="AA107" i="15"/>
  <c r="AA104" i="15"/>
  <c r="AA101" i="15"/>
  <c r="AA84" i="15"/>
  <c r="AA86" i="15"/>
  <c r="AA95" i="15"/>
  <c r="AC109" i="15"/>
  <c r="AD58" i="15"/>
  <c r="AF289" i="15"/>
  <c r="AG289" i="15" s="1"/>
  <c r="AA58" i="15"/>
  <c r="AA21" i="15"/>
  <c r="AA47" i="15"/>
  <c r="AA28" i="15"/>
  <c r="AA31" i="15"/>
  <c r="AA56" i="15"/>
  <c r="AA46" i="15"/>
  <c r="AA36" i="15"/>
  <c r="AA51" i="15"/>
  <c r="AA14" i="15"/>
  <c r="AA39" i="15"/>
  <c r="AA25" i="15"/>
  <c r="AA19" i="15"/>
  <c r="AA15" i="15"/>
  <c r="AA48" i="15"/>
  <c r="AA34" i="15"/>
  <c r="AA43" i="15"/>
  <c r="AA27" i="15"/>
  <c r="AA20" i="15"/>
  <c r="AA50" i="15"/>
  <c r="AA35" i="15"/>
  <c r="AA53" i="15"/>
  <c r="AA52" i="15"/>
  <c r="AA18" i="15"/>
  <c r="AA41" i="15"/>
  <c r="AA40" i="15"/>
  <c r="AA32" i="15"/>
  <c r="AA13" i="15"/>
  <c r="AA38" i="15"/>
  <c r="AA24" i="15"/>
  <c r="AA49" i="15"/>
  <c r="AA33" i="15"/>
  <c r="AA45" i="15"/>
  <c r="Z22" i="14"/>
  <c r="S73" i="14" s="1"/>
  <c r="M378" i="14"/>
  <c r="I378" i="14"/>
  <c r="E378" i="14"/>
  <c r="V378" i="14"/>
  <c r="F378" i="14"/>
  <c r="P378" i="14"/>
  <c r="L378" i="14"/>
  <c r="H378" i="14"/>
  <c r="D378" i="14"/>
  <c r="N378" i="14"/>
  <c r="K378" i="14"/>
  <c r="G378" i="14"/>
  <c r="C378" i="14"/>
  <c r="R378" i="14"/>
  <c r="J378" i="14"/>
  <c r="W378" i="14"/>
  <c r="U378" i="14"/>
  <c r="Y378" i="14"/>
  <c r="Q378" i="14"/>
  <c r="T378" i="14"/>
  <c r="O378" i="14"/>
  <c r="X378" i="14"/>
  <c r="E67" i="14"/>
  <c r="Z35" i="14"/>
  <c r="E76" i="14" s="1"/>
  <c r="R381" i="14"/>
  <c r="B381" i="14"/>
  <c r="K381" i="14"/>
  <c r="G381" i="14"/>
  <c r="D381" i="14"/>
  <c r="L381" i="14"/>
  <c r="T381" i="14"/>
  <c r="N381" i="14"/>
  <c r="M381" i="14"/>
  <c r="C381" i="14"/>
  <c r="Q381" i="14"/>
  <c r="Y381" i="14"/>
  <c r="O381" i="14"/>
  <c r="U381" i="14"/>
  <c r="F381" i="14"/>
  <c r="W381" i="14"/>
  <c r="H381" i="14"/>
  <c r="P381" i="14"/>
  <c r="X381" i="14"/>
  <c r="I381" i="14"/>
  <c r="V381" i="14"/>
  <c r="S381" i="14"/>
  <c r="B67" i="14"/>
  <c r="C68" i="14" s="1"/>
  <c r="D68" i="14" s="1"/>
  <c r="D69" i="14" s="1"/>
  <c r="AC373" i="14"/>
  <c r="U142" i="14"/>
  <c r="Z100" i="14"/>
  <c r="X149" i="14" s="1"/>
  <c r="R454" i="14"/>
  <c r="N454" i="14"/>
  <c r="J454" i="14"/>
  <c r="F454" i="14"/>
  <c r="Y454" i="14"/>
  <c r="Q454" i="14"/>
  <c r="M454" i="14"/>
  <c r="I454" i="14"/>
  <c r="E454" i="14"/>
  <c r="T454" i="14"/>
  <c r="P454" i="14"/>
  <c r="L454" i="14"/>
  <c r="H454" i="14"/>
  <c r="D454" i="14"/>
  <c r="O454" i="14"/>
  <c r="C454" i="14"/>
  <c r="K454" i="14"/>
  <c r="W454" i="14"/>
  <c r="G454" i="14"/>
  <c r="S454" i="14"/>
  <c r="X454" i="14"/>
  <c r="V454" i="14"/>
  <c r="Z446" i="14"/>
  <c r="AA417" i="14" s="1"/>
  <c r="B454" i="14"/>
  <c r="B378" i="14"/>
  <c r="AF63" i="14"/>
  <c r="AG63" i="14" s="1"/>
  <c r="Z113" i="14"/>
  <c r="P152" i="14" s="1"/>
  <c r="W457" i="14"/>
  <c r="G457" i="14"/>
  <c r="S457" i="14"/>
  <c r="C457" i="14"/>
  <c r="O457" i="14"/>
  <c r="K457" i="14"/>
  <c r="D457" i="14"/>
  <c r="L457" i="14"/>
  <c r="I457" i="14"/>
  <c r="Y457" i="14"/>
  <c r="N457" i="14"/>
  <c r="E457" i="14"/>
  <c r="X457" i="14"/>
  <c r="M457" i="14"/>
  <c r="B457" i="14"/>
  <c r="R457" i="14"/>
  <c r="U457" i="14"/>
  <c r="J457" i="14"/>
  <c r="H457" i="14"/>
  <c r="Q457" i="14"/>
  <c r="F457" i="14"/>
  <c r="V457" i="14"/>
  <c r="T457" i="14"/>
  <c r="U454" i="14"/>
  <c r="Z373" i="14"/>
  <c r="J389" i="14" s="1"/>
  <c r="AC22" i="14"/>
  <c r="AF22" i="14" s="1"/>
  <c r="AG22" i="14" s="1"/>
  <c r="S378" i="14"/>
  <c r="E381" i="14"/>
  <c r="AC446" i="14"/>
  <c r="AF446" i="14" s="1"/>
  <c r="AG446" i="14" s="1"/>
  <c r="J67" i="14"/>
  <c r="K388" i="13"/>
  <c r="L312" i="13"/>
  <c r="X237" i="13"/>
  <c r="AA183" i="13"/>
  <c r="D237" i="13"/>
  <c r="C312" i="13"/>
  <c r="V312" i="13"/>
  <c r="AA253" i="13"/>
  <c r="G312" i="13"/>
  <c r="H312" i="13"/>
  <c r="E465" i="13"/>
  <c r="S388" i="13"/>
  <c r="F237" i="13"/>
  <c r="V237" i="13"/>
  <c r="K312" i="13"/>
  <c r="AA266" i="13"/>
  <c r="T312" i="13"/>
  <c r="I312" i="13"/>
  <c r="AA281" i="13"/>
  <c r="O312" i="13"/>
  <c r="P312" i="13"/>
  <c r="AA417" i="13"/>
  <c r="W465" i="13"/>
  <c r="AA423" i="13"/>
  <c r="AA336" i="13"/>
  <c r="S312" i="13"/>
  <c r="P388" i="13"/>
  <c r="AA347" i="13"/>
  <c r="Q312" i="13"/>
  <c r="F312" i="13"/>
  <c r="W312" i="13"/>
  <c r="AA283" i="13"/>
  <c r="U312" i="13"/>
  <c r="R388" i="13"/>
  <c r="Y465" i="13"/>
  <c r="AA418" i="13"/>
  <c r="AA421" i="13"/>
  <c r="AA397" i="13"/>
  <c r="AA405" i="13"/>
  <c r="AA413" i="13"/>
  <c r="AA439" i="13"/>
  <c r="AA431" i="13"/>
  <c r="AA443" i="13"/>
  <c r="AA435" i="13"/>
  <c r="AA422" i="13"/>
  <c r="AA408" i="13"/>
  <c r="AG128" i="13"/>
  <c r="AH128" i="13" s="1"/>
  <c r="AA396" i="13"/>
  <c r="D465" i="13"/>
  <c r="AA398" i="13"/>
  <c r="B465" i="13"/>
  <c r="R465" i="13"/>
  <c r="H465" i="13"/>
  <c r="AA359" i="13"/>
  <c r="C388" i="13"/>
  <c r="AA400" i="13"/>
  <c r="M465" i="13"/>
  <c r="AA420" i="13"/>
  <c r="AA424" i="13"/>
  <c r="AA399" i="13"/>
  <c r="AA407" i="13"/>
  <c r="AA415" i="13"/>
  <c r="AA425" i="13"/>
  <c r="AA433" i="13"/>
  <c r="Z141" i="13"/>
  <c r="AA118" i="13" s="1"/>
  <c r="AA402" i="13"/>
  <c r="F465" i="13"/>
  <c r="V465" i="13"/>
  <c r="C465" i="13"/>
  <c r="S465" i="13"/>
  <c r="U465" i="13"/>
  <c r="AA412" i="13"/>
  <c r="E237" i="13"/>
  <c r="AA406" i="13"/>
  <c r="T465" i="13"/>
  <c r="AA410" i="13"/>
  <c r="Q465" i="13"/>
  <c r="O465" i="13"/>
  <c r="AA244" i="13"/>
  <c r="X312" i="13"/>
  <c r="H388" i="13"/>
  <c r="AA175" i="13"/>
  <c r="J312" i="13"/>
  <c r="W388" i="13"/>
  <c r="O237" i="13"/>
  <c r="AA166" i="13"/>
  <c r="J237" i="13"/>
  <c r="C237" i="13"/>
  <c r="AA328" i="13"/>
  <c r="N388" i="13"/>
  <c r="AA204" i="13"/>
  <c r="Y237" i="13"/>
  <c r="O388" i="13"/>
  <c r="E312" i="13"/>
  <c r="AA341" i="13"/>
  <c r="J388" i="13"/>
  <c r="AA319" i="13"/>
  <c r="B388" i="13"/>
  <c r="AG91" i="13"/>
  <c r="AH91" i="13" s="1"/>
  <c r="AD221" i="13"/>
  <c r="AA192" i="13"/>
  <c r="AA184" i="13"/>
  <c r="AA177" i="13"/>
  <c r="AA173" i="13"/>
  <c r="AA171" i="13"/>
  <c r="AA169" i="13"/>
  <c r="AA167" i="13"/>
  <c r="AC221" i="13"/>
  <c r="AA190" i="13"/>
  <c r="AA174" i="13"/>
  <c r="AA182" i="13"/>
  <c r="AA168" i="13"/>
  <c r="AA180" i="13"/>
  <c r="AA176" i="13"/>
  <c r="AA205" i="13"/>
  <c r="AA198" i="13"/>
  <c r="AA191" i="13"/>
  <c r="AA195" i="13"/>
  <c r="AA207" i="13"/>
  <c r="AA187" i="13"/>
  <c r="AA212" i="13"/>
  <c r="AA201" i="13"/>
  <c r="AA213" i="13"/>
  <c r="AA172" i="13"/>
  <c r="AA186" i="13"/>
  <c r="AA202" i="13"/>
  <c r="AA185" i="13"/>
  <c r="AA189" i="13"/>
  <c r="AA203" i="13"/>
  <c r="AA200" i="13"/>
  <c r="AA216" i="13"/>
  <c r="AA215" i="13"/>
  <c r="AA193" i="13"/>
  <c r="P237" i="13"/>
  <c r="AA181" i="13"/>
  <c r="AA214" i="13"/>
  <c r="AA197" i="13"/>
  <c r="AA209" i="13"/>
  <c r="AA178" i="13"/>
  <c r="AA170" i="13"/>
  <c r="AA217" i="13"/>
  <c r="AA210" i="13"/>
  <c r="AA196" i="13"/>
  <c r="AA208" i="13"/>
  <c r="AA218" i="13"/>
  <c r="AA199" i="13"/>
  <c r="AA211" i="13"/>
  <c r="AA194" i="13"/>
  <c r="S237" i="13"/>
  <c r="D388" i="13"/>
  <c r="AA252" i="13"/>
  <c r="AA269" i="13"/>
  <c r="AA289" i="13"/>
  <c r="AA254" i="13"/>
  <c r="AA271" i="13"/>
  <c r="AA255" i="13"/>
  <c r="AA282" i="13"/>
  <c r="AA291" i="13"/>
  <c r="AA276" i="13"/>
  <c r="AA290" i="13"/>
  <c r="AA256" i="13"/>
  <c r="AA274" i="13"/>
  <c r="AA265" i="13"/>
  <c r="AA293" i="13"/>
  <c r="AA258" i="13"/>
  <c r="AA280" i="13"/>
  <c r="AA259" i="13"/>
  <c r="AA273" i="13"/>
  <c r="AA270" i="13"/>
  <c r="AA278" i="13"/>
  <c r="AA292" i="13"/>
  <c r="AA260" i="13"/>
  <c r="AA284" i="13"/>
  <c r="AA245" i="13"/>
  <c r="AA279" i="13"/>
  <c r="AA246" i="13"/>
  <c r="AA262" i="13"/>
  <c r="AA247" i="13"/>
  <c r="AA263" i="13"/>
  <c r="AA275" i="13"/>
  <c r="AA286" i="13"/>
  <c r="AA248" i="13"/>
  <c r="AA264" i="13"/>
  <c r="AA249" i="13"/>
  <c r="AA285" i="13"/>
  <c r="AA250" i="13"/>
  <c r="AA267" i="13"/>
  <c r="AA251" i="13"/>
  <c r="AA268" i="13"/>
  <c r="AA277" i="13"/>
  <c r="AA287" i="13"/>
  <c r="AA288" i="13"/>
  <c r="AD66" i="13"/>
  <c r="E60" i="32" s="1"/>
  <c r="Z66" i="13"/>
  <c r="AA41" i="13" s="1"/>
  <c r="AA355" i="13"/>
  <c r="AA352" i="13"/>
  <c r="AA364" i="13"/>
  <c r="AA357" i="13"/>
  <c r="AA351" i="13"/>
  <c r="AA367" i="13"/>
  <c r="AA358" i="13"/>
  <c r="AA349" i="13"/>
  <c r="AA369" i="13"/>
  <c r="AA363" i="13"/>
  <c r="AA360" i="13"/>
  <c r="AA354" i="13"/>
  <c r="AA345" i="13"/>
  <c r="AA362" i="13"/>
  <c r="AA353" i="13"/>
  <c r="AA365" i="13"/>
  <c r="AA350" i="13"/>
  <c r="E388" i="13"/>
  <c r="V388" i="13"/>
  <c r="AA320" i="13"/>
  <c r="AA330" i="13"/>
  <c r="AA342" i="13"/>
  <c r="I388" i="13"/>
  <c r="AA323" i="13"/>
  <c r="AA331" i="13"/>
  <c r="AA339" i="13"/>
  <c r="M388" i="13"/>
  <c r="AA322" i="13"/>
  <c r="AA334" i="13"/>
  <c r="AA366" i="13"/>
  <c r="Q388" i="13"/>
  <c r="AA325" i="13"/>
  <c r="AA333" i="13"/>
  <c r="AA343" i="13"/>
  <c r="AA361" i="13"/>
  <c r="U388" i="13"/>
  <c r="AA344" i="13"/>
  <c r="AA368" i="13"/>
  <c r="AA324" i="13"/>
  <c r="AA338" i="13"/>
  <c r="AA348" i="13"/>
  <c r="Y388" i="13"/>
  <c r="AA327" i="13"/>
  <c r="AA335" i="13"/>
  <c r="F388" i="13"/>
  <c r="AA326" i="13"/>
  <c r="AA340" i="13"/>
  <c r="AA356" i="13"/>
  <c r="AA321" i="13"/>
  <c r="AA329" i="13"/>
  <c r="AA337" i="13"/>
  <c r="AA346" i="13"/>
  <c r="G388" i="13"/>
  <c r="B237" i="13"/>
  <c r="R237" i="13"/>
  <c r="L237" i="13"/>
  <c r="I237" i="13"/>
  <c r="L388" i="13"/>
  <c r="M237" i="13"/>
  <c r="G237" i="13"/>
  <c r="M312" i="13"/>
  <c r="B312" i="13"/>
  <c r="AC66" i="13"/>
  <c r="T388" i="13"/>
  <c r="H237" i="13"/>
  <c r="AC141" i="13"/>
  <c r="AA188" i="13"/>
  <c r="H187" i="20"/>
  <c r="S19" i="20" s="1"/>
  <c r="M156" i="20"/>
  <c r="M134" i="20"/>
  <c r="I187" i="20"/>
  <c r="S21" i="20" s="1"/>
  <c r="B187" i="20"/>
  <c r="S15" i="20" s="1"/>
  <c r="M67" i="19"/>
  <c r="M143" i="20"/>
  <c r="I187" i="19"/>
  <c r="S22" i="19" s="1"/>
  <c r="M127" i="19"/>
  <c r="U25" i="19" s="1"/>
  <c r="V20" i="19" s="1"/>
  <c r="M127" i="20"/>
  <c r="U25" i="20" s="1"/>
  <c r="V16" i="20" s="1"/>
  <c r="M67" i="20"/>
  <c r="Y253" i="16"/>
  <c r="E253" i="16"/>
  <c r="M253" i="16"/>
  <c r="U253" i="16"/>
  <c r="J253" i="16"/>
  <c r="R253" i="16"/>
  <c r="C253" i="16"/>
  <c r="K253" i="16"/>
  <c r="S253" i="16"/>
  <c r="D253" i="16"/>
  <c r="L253" i="16"/>
  <c r="I253" i="16"/>
  <c r="Q253" i="16"/>
  <c r="F253" i="16"/>
  <c r="N253" i="16"/>
  <c r="V253" i="16"/>
  <c r="G253" i="16"/>
  <c r="O253" i="16"/>
  <c r="W253" i="16"/>
  <c r="H253" i="16"/>
  <c r="P253" i="16"/>
  <c r="T253" i="16"/>
  <c r="B213" i="16"/>
  <c r="B210" i="16"/>
  <c r="Z246" i="16"/>
  <c r="B257" i="16" s="1"/>
  <c r="G210" i="16"/>
  <c r="X212" i="16"/>
  <c r="B253" i="16"/>
  <c r="X253" i="16"/>
  <c r="D252" i="16"/>
  <c r="L252" i="16"/>
  <c r="T252" i="16"/>
  <c r="B252" i="16"/>
  <c r="J252" i="16"/>
  <c r="R252" i="16"/>
  <c r="G252" i="16"/>
  <c r="O252" i="16"/>
  <c r="E252" i="16"/>
  <c r="U252" i="16"/>
  <c r="H252" i="16"/>
  <c r="P252" i="16"/>
  <c r="X252" i="16"/>
  <c r="F252" i="16"/>
  <c r="N252" i="16"/>
  <c r="V252" i="16"/>
  <c r="C252" i="16"/>
  <c r="K252" i="16"/>
  <c r="S252" i="16"/>
  <c r="I252" i="16"/>
  <c r="Q252" i="16"/>
  <c r="W252" i="16"/>
  <c r="M252" i="16"/>
  <c r="AE246" i="16"/>
  <c r="F210" i="16"/>
  <c r="N210" i="16"/>
  <c r="W210" i="16"/>
  <c r="R210" i="16"/>
  <c r="V210" i="16"/>
  <c r="M210" i="16"/>
  <c r="H210" i="16"/>
  <c r="I210" i="16"/>
  <c r="C210" i="16"/>
  <c r="D210" i="16"/>
  <c r="Q210" i="16"/>
  <c r="K210" i="16"/>
  <c r="L210" i="16"/>
  <c r="U210" i="16"/>
  <c r="O210" i="16"/>
  <c r="P210" i="16"/>
  <c r="E210" i="16"/>
  <c r="Y210" i="16"/>
  <c r="S210" i="16"/>
  <c r="T210" i="16"/>
  <c r="X210" i="16"/>
  <c r="J210" i="16"/>
  <c r="X213" i="16"/>
  <c r="Y213" i="16"/>
  <c r="J213" i="16"/>
  <c r="O213" i="16"/>
  <c r="P213" i="16"/>
  <c r="E213" i="16"/>
  <c r="N213" i="16"/>
  <c r="S213" i="16"/>
  <c r="U213" i="16"/>
  <c r="Q213" i="16"/>
  <c r="M213" i="16"/>
  <c r="R213" i="16"/>
  <c r="Z206" i="16"/>
  <c r="G213" i="16"/>
  <c r="W213" i="16"/>
  <c r="D213" i="16"/>
  <c r="T213" i="16"/>
  <c r="I213" i="16"/>
  <c r="F213" i="16"/>
  <c r="V213" i="16"/>
  <c r="K213" i="16"/>
  <c r="H213" i="16"/>
  <c r="L213" i="16"/>
  <c r="C213" i="16"/>
  <c r="H187" i="19"/>
  <c r="S20" i="19" s="1"/>
  <c r="AF373" i="14" l="1"/>
  <c r="AG373" i="14" s="1"/>
  <c r="AH114" i="14"/>
  <c r="F61" i="32"/>
  <c r="G60" i="32"/>
  <c r="R18" i="20"/>
  <c r="T20" i="20"/>
  <c r="V18" i="20"/>
  <c r="Q25" i="20"/>
  <c r="S25" i="20"/>
  <c r="T18" i="20" s="1"/>
  <c r="V19" i="20"/>
  <c r="R16" i="20"/>
  <c r="R17" i="20"/>
  <c r="V25" i="20"/>
  <c r="V14" i="20"/>
  <c r="V24" i="20"/>
  <c r="V23" i="20"/>
  <c r="V22" i="20"/>
  <c r="V17" i="20"/>
  <c r="V15" i="20"/>
  <c r="T16" i="20"/>
  <c r="T19" i="20"/>
  <c r="V21" i="20"/>
  <c r="V20" i="20"/>
  <c r="V24" i="19"/>
  <c r="V22" i="19"/>
  <c r="V17" i="19"/>
  <c r="V25" i="19"/>
  <c r="V21" i="19"/>
  <c r="V14" i="19"/>
  <c r="V19" i="19"/>
  <c r="V18" i="19"/>
  <c r="V15" i="19"/>
  <c r="V23" i="19"/>
  <c r="V16" i="19"/>
  <c r="R21" i="19"/>
  <c r="R15" i="19"/>
  <c r="R19" i="19"/>
  <c r="AG29" i="16"/>
  <c r="X51" i="16"/>
  <c r="AD39" i="16"/>
  <c r="AA24" i="16"/>
  <c r="AA22" i="16"/>
  <c r="AA23" i="16"/>
  <c r="AA33" i="16"/>
  <c r="AA37" i="16"/>
  <c r="AA34" i="16"/>
  <c r="AA35" i="16"/>
  <c r="AA14" i="16"/>
  <c r="AA28" i="16"/>
  <c r="AA19" i="16"/>
  <c r="AA17" i="16"/>
  <c r="AA31" i="16"/>
  <c r="AA15" i="16"/>
  <c r="AA16" i="16"/>
  <c r="AA18" i="16"/>
  <c r="AA21" i="16"/>
  <c r="S51" i="16"/>
  <c r="N51" i="16"/>
  <c r="D51" i="16"/>
  <c r="AA38" i="16"/>
  <c r="E51" i="16"/>
  <c r="T51" i="16"/>
  <c r="V51" i="16"/>
  <c r="AA26" i="16"/>
  <c r="H51" i="16"/>
  <c r="AA20" i="16"/>
  <c r="Q51" i="16"/>
  <c r="U51" i="16"/>
  <c r="L51" i="16"/>
  <c r="W51" i="16"/>
  <c r="AA36" i="16"/>
  <c r="AA30" i="16"/>
  <c r="F51" i="16"/>
  <c r="J51" i="16"/>
  <c r="K51" i="16"/>
  <c r="AA32" i="16"/>
  <c r="AA27" i="16"/>
  <c r="G51" i="16"/>
  <c r="I51" i="16"/>
  <c r="AA29" i="16"/>
  <c r="R51" i="16"/>
  <c r="AC79" i="16"/>
  <c r="AF79" i="16" s="1"/>
  <c r="AG79" i="16" s="1"/>
  <c r="Z79" i="16"/>
  <c r="B90" i="16" s="1"/>
  <c r="C80" i="16"/>
  <c r="D80" i="16" s="1"/>
  <c r="P51" i="16"/>
  <c r="Y51" i="16"/>
  <c r="C51" i="16"/>
  <c r="O51" i="16"/>
  <c r="B51" i="16"/>
  <c r="AA13" i="16"/>
  <c r="D41" i="16"/>
  <c r="E40" i="16"/>
  <c r="J85" i="16"/>
  <c r="D85" i="16"/>
  <c r="F85" i="16"/>
  <c r="I85" i="16"/>
  <c r="O85" i="16"/>
  <c r="V85" i="16"/>
  <c r="H85" i="16"/>
  <c r="L85" i="16"/>
  <c r="N85" i="16"/>
  <c r="E85" i="16"/>
  <c r="R85" i="16"/>
  <c r="T85" i="16"/>
  <c r="P85" i="16"/>
  <c r="M85" i="16"/>
  <c r="X85" i="16"/>
  <c r="G85" i="16"/>
  <c r="U85" i="16"/>
  <c r="Q85" i="16"/>
  <c r="K85" i="16"/>
  <c r="S85" i="16"/>
  <c r="W85" i="16"/>
  <c r="C85" i="16"/>
  <c r="B85" i="16"/>
  <c r="Y85" i="16"/>
  <c r="AF39" i="16"/>
  <c r="AA25" i="16"/>
  <c r="H46" i="16"/>
  <c r="E46" i="16"/>
  <c r="T46" i="16"/>
  <c r="N46" i="16"/>
  <c r="R46" i="16"/>
  <c r="L46" i="16"/>
  <c r="P46" i="16"/>
  <c r="F46" i="16"/>
  <c r="O46" i="16"/>
  <c r="S46" i="16"/>
  <c r="Q46" i="16"/>
  <c r="G46" i="16"/>
  <c r="J46" i="16"/>
  <c r="K46" i="16"/>
  <c r="U46" i="16"/>
  <c r="X46" i="16"/>
  <c r="M46" i="16"/>
  <c r="V46" i="16"/>
  <c r="W46" i="16"/>
  <c r="B46" i="16"/>
  <c r="I46" i="16"/>
  <c r="D46" i="16"/>
  <c r="Y46" i="16"/>
  <c r="C46" i="16"/>
  <c r="AA448" i="13"/>
  <c r="AG144" i="13"/>
  <c r="AH130" i="13"/>
  <c r="AH53" i="13"/>
  <c r="AG69" i="13"/>
  <c r="AA26" i="13"/>
  <c r="AA30" i="13"/>
  <c r="AA53" i="13"/>
  <c r="AG35" i="14"/>
  <c r="AG113" i="14"/>
  <c r="F79" i="17"/>
  <c r="E80" i="17"/>
  <c r="AA51" i="13"/>
  <c r="AA35" i="13"/>
  <c r="AA22" i="13"/>
  <c r="AA13" i="13"/>
  <c r="P84" i="13"/>
  <c r="AA66" i="13"/>
  <c r="AA16" i="13"/>
  <c r="AA36" i="13"/>
  <c r="AA61" i="13"/>
  <c r="AA58" i="13"/>
  <c r="AA20" i="13"/>
  <c r="AA44" i="13"/>
  <c r="AA59" i="13"/>
  <c r="AA46" i="13"/>
  <c r="AA25" i="13"/>
  <c r="AA48" i="13"/>
  <c r="AA63" i="13"/>
  <c r="AA31" i="13"/>
  <c r="AA62" i="13"/>
  <c r="AA47" i="13"/>
  <c r="AA24" i="13"/>
  <c r="AA56" i="13"/>
  <c r="AA29" i="13"/>
  <c r="AA21" i="13"/>
  <c r="AA54" i="13"/>
  <c r="AA37" i="13"/>
  <c r="AA43" i="13"/>
  <c r="AA39" i="13"/>
  <c r="AA40" i="13"/>
  <c r="AA15" i="13"/>
  <c r="AA45" i="13"/>
  <c r="AA28" i="13"/>
  <c r="AA57" i="13"/>
  <c r="AA33" i="13"/>
  <c r="AA17" i="13"/>
  <c r="AA34" i="13"/>
  <c r="AA19" i="13"/>
  <c r="AA60" i="13"/>
  <c r="AA23" i="13"/>
  <c r="AA55" i="13"/>
  <c r="AA18" i="13"/>
  <c r="AA38" i="13"/>
  <c r="AA14" i="13"/>
  <c r="AA50" i="13"/>
  <c r="AA27" i="13"/>
  <c r="AA42" i="13"/>
  <c r="AA32" i="13"/>
  <c r="AA49" i="13"/>
  <c r="AA52" i="13"/>
  <c r="E52" i="18"/>
  <c r="F51" i="18"/>
  <c r="AF246" i="16"/>
  <c r="AG246" i="16" s="1"/>
  <c r="E207" i="16"/>
  <c r="D208" i="16"/>
  <c r="I164" i="16"/>
  <c r="J163" i="16"/>
  <c r="D248" i="16"/>
  <c r="E247" i="16"/>
  <c r="J123" i="16"/>
  <c r="K122" i="16"/>
  <c r="F122" i="15"/>
  <c r="C122" i="15"/>
  <c r="M122" i="15"/>
  <c r="W122" i="15"/>
  <c r="S122" i="15"/>
  <c r="AA91" i="15"/>
  <c r="D122" i="15"/>
  <c r="I122" i="15"/>
  <c r="X122" i="15"/>
  <c r="U122" i="15"/>
  <c r="O122" i="15"/>
  <c r="AA340" i="15"/>
  <c r="E122" i="15"/>
  <c r="AA92" i="15"/>
  <c r="AA103" i="15"/>
  <c r="AA96" i="15"/>
  <c r="AA108" i="15"/>
  <c r="AA106" i="15"/>
  <c r="AA83" i="15"/>
  <c r="AA98" i="15"/>
  <c r="K122" i="15"/>
  <c r="J122" i="15"/>
  <c r="H122" i="15"/>
  <c r="N122" i="15"/>
  <c r="V122" i="15"/>
  <c r="AA99" i="15"/>
  <c r="AA94" i="15"/>
  <c r="AA88" i="15"/>
  <c r="AA100" i="15"/>
  <c r="AA85" i="15"/>
  <c r="AA87" i="15"/>
  <c r="AA109" i="15"/>
  <c r="R122" i="15"/>
  <c r="G122" i="15"/>
  <c r="T122" i="15"/>
  <c r="P122" i="15"/>
  <c r="Q122" i="15"/>
  <c r="B122" i="15"/>
  <c r="AF109" i="15"/>
  <c r="AG109" i="15" s="1"/>
  <c r="I175" i="15"/>
  <c r="J174" i="15"/>
  <c r="D60" i="15"/>
  <c r="E59" i="15"/>
  <c r="D111" i="15"/>
  <c r="E110" i="15"/>
  <c r="J226" i="15"/>
  <c r="K225" i="15"/>
  <c r="E342" i="15"/>
  <c r="F341" i="15"/>
  <c r="E291" i="15"/>
  <c r="F290" i="15"/>
  <c r="E143" i="14"/>
  <c r="AE142" i="14"/>
  <c r="P149" i="14"/>
  <c r="K149" i="14"/>
  <c r="N149" i="14"/>
  <c r="R149" i="14"/>
  <c r="Y149" i="14"/>
  <c r="L149" i="14"/>
  <c r="G149" i="14"/>
  <c r="J149" i="14"/>
  <c r="T149" i="14"/>
  <c r="D149" i="14"/>
  <c r="O149" i="14"/>
  <c r="E149" i="14"/>
  <c r="M149" i="14"/>
  <c r="H149" i="14"/>
  <c r="I149" i="14"/>
  <c r="Q149" i="14"/>
  <c r="F149" i="14"/>
  <c r="C149" i="14"/>
  <c r="V149" i="14"/>
  <c r="W149" i="14"/>
  <c r="S149" i="14"/>
  <c r="B149" i="14"/>
  <c r="O151" i="14"/>
  <c r="V151" i="14"/>
  <c r="C151" i="14"/>
  <c r="J151" i="14"/>
  <c r="Y151" i="14"/>
  <c r="K151" i="14"/>
  <c r="R151" i="14"/>
  <c r="Q151" i="14"/>
  <c r="M151" i="14"/>
  <c r="G151" i="14"/>
  <c r="I151" i="14"/>
  <c r="N151" i="14"/>
  <c r="E151" i="14"/>
  <c r="P151" i="14"/>
  <c r="F151" i="14"/>
  <c r="D151" i="14"/>
  <c r="H151" i="14"/>
  <c r="L151" i="14"/>
  <c r="T151" i="14"/>
  <c r="S151" i="14"/>
  <c r="U151" i="14"/>
  <c r="W151" i="14"/>
  <c r="B151" i="14"/>
  <c r="X151" i="14"/>
  <c r="U149" i="14"/>
  <c r="I152" i="14"/>
  <c r="R152" i="14"/>
  <c r="C152" i="14"/>
  <c r="W152" i="14"/>
  <c r="E152" i="14"/>
  <c r="N152" i="14"/>
  <c r="O152" i="14"/>
  <c r="V152" i="14"/>
  <c r="G152" i="14"/>
  <c r="U152" i="14"/>
  <c r="F152" i="14"/>
  <c r="M152" i="14"/>
  <c r="K152" i="14"/>
  <c r="S152" i="14"/>
  <c r="L152" i="14"/>
  <c r="X152" i="14"/>
  <c r="Y152" i="14"/>
  <c r="B152" i="14"/>
  <c r="D152" i="14"/>
  <c r="J152" i="14"/>
  <c r="Q152" i="14"/>
  <c r="T152" i="14"/>
  <c r="H152" i="14"/>
  <c r="AC142" i="14"/>
  <c r="C76" i="14"/>
  <c r="N76" i="14"/>
  <c r="B76" i="14"/>
  <c r="I76" i="14"/>
  <c r="R76" i="14"/>
  <c r="F76" i="14"/>
  <c r="V76" i="14"/>
  <c r="L76" i="14"/>
  <c r="W76" i="14"/>
  <c r="T76" i="14"/>
  <c r="Q76" i="14"/>
  <c r="P76" i="14"/>
  <c r="G76" i="14"/>
  <c r="H76" i="14"/>
  <c r="S76" i="14"/>
  <c r="U76" i="14"/>
  <c r="D76" i="14"/>
  <c r="M76" i="14"/>
  <c r="Y76" i="14"/>
  <c r="X76" i="14"/>
  <c r="O76" i="14"/>
  <c r="L73" i="14"/>
  <c r="G73" i="14"/>
  <c r="H73" i="14"/>
  <c r="C73" i="14"/>
  <c r="R73" i="14"/>
  <c r="F73" i="14"/>
  <c r="D73" i="14"/>
  <c r="J73" i="14"/>
  <c r="P73" i="14"/>
  <c r="K73" i="14"/>
  <c r="E73" i="14"/>
  <c r="M73" i="14"/>
  <c r="I73" i="14"/>
  <c r="Y73" i="14"/>
  <c r="W73" i="14"/>
  <c r="Q73" i="14"/>
  <c r="N73" i="14"/>
  <c r="X73" i="14"/>
  <c r="T73" i="14"/>
  <c r="V73" i="14"/>
  <c r="O73" i="14"/>
  <c r="U73" i="14"/>
  <c r="K76" i="14"/>
  <c r="J76" i="14"/>
  <c r="E68" i="14"/>
  <c r="B73" i="14"/>
  <c r="AD67" i="14"/>
  <c r="I297" i="14"/>
  <c r="J296" i="14"/>
  <c r="H222" i="14"/>
  <c r="I221" i="14"/>
  <c r="E375" i="14"/>
  <c r="F374" i="14"/>
  <c r="E448" i="14"/>
  <c r="F447" i="14"/>
  <c r="F220" i="13"/>
  <c r="F221" i="13" s="1"/>
  <c r="AG66" i="13"/>
  <c r="AH66" i="13" s="1"/>
  <c r="B60" i="32" s="1"/>
  <c r="F295" i="13"/>
  <c r="F296" i="13" s="1"/>
  <c r="Q84" i="13"/>
  <c r="E84" i="13"/>
  <c r="J84" i="13"/>
  <c r="H84" i="13"/>
  <c r="I84" i="13"/>
  <c r="N84" i="13"/>
  <c r="G84" i="13"/>
  <c r="Y84" i="13"/>
  <c r="X84" i="13"/>
  <c r="R84" i="13"/>
  <c r="D143" i="13"/>
  <c r="E142" i="13"/>
  <c r="R160" i="13"/>
  <c r="G160" i="13"/>
  <c r="T160" i="13"/>
  <c r="W160" i="13"/>
  <c r="C160" i="13"/>
  <c r="S160" i="13"/>
  <c r="X160" i="13"/>
  <c r="V160" i="13"/>
  <c r="S84" i="13"/>
  <c r="D84" i="13"/>
  <c r="F84" i="13"/>
  <c r="C84" i="13"/>
  <c r="W84" i="13"/>
  <c r="O84" i="13"/>
  <c r="L84" i="13"/>
  <c r="K84" i="13"/>
  <c r="Y160" i="13"/>
  <c r="H160" i="13"/>
  <c r="T84" i="13"/>
  <c r="P160" i="13"/>
  <c r="E160" i="13"/>
  <c r="B160" i="13"/>
  <c r="M84" i="13"/>
  <c r="J160" i="13"/>
  <c r="U160" i="13"/>
  <c r="N160" i="13"/>
  <c r="L160" i="13"/>
  <c r="U84" i="13"/>
  <c r="M160" i="13"/>
  <c r="Q160" i="13"/>
  <c r="B84" i="13"/>
  <c r="K160" i="13"/>
  <c r="V84" i="13"/>
  <c r="O160" i="13"/>
  <c r="F160" i="13"/>
  <c r="I160" i="13"/>
  <c r="D160" i="13"/>
  <c r="F446" i="13"/>
  <c r="F447" i="13" s="1"/>
  <c r="AG141" i="13"/>
  <c r="AH141" i="13" s="1"/>
  <c r="C60" i="32" s="1"/>
  <c r="E67" i="13"/>
  <c r="AA108" i="13"/>
  <c r="AA110" i="13"/>
  <c r="E372" i="13"/>
  <c r="F371" i="13"/>
  <c r="AA225" i="16"/>
  <c r="AA246" i="16"/>
  <c r="AA242" i="16"/>
  <c r="AA236" i="16"/>
  <c r="AA240" i="16"/>
  <c r="AA232" i="16"/>
  <c r="AA244" i="16"/>
  <c r="Y257" i="16"/>
  <c r="X257" i="16"/>
  <c r="AF58" i="15"/>
  <c r="AG58" i="15" s="1"/>
  <c r="AF142" i="14"/>
  <c r="AG142" i="14" s="1"/>
  <c r="C61" i="32" s="1"/>
  <c r="AC67" i="14"/>
  <c r="AA289" i="15"/>
  <c r="Z67" i="14"/>
  <c r="B84" i="14" s="1"/>
  <c r="AA372" i="14"/>
  <c r="AA368" i="14"/>
  <c r="AA364" i="14"/>
  <c r="AA360" i="14"/>
  <c r="AA355" i="14"/>
  <c r="AA353" i="14"/>
  <c r="AA350" i="14"/>
  <c r="AA344" i="14"/>
  <c r="AA333" i="14"/>
  <c r="AA324" i="14"/>
  <c r="AA320" i="14"/>
  <c r="AA371" i="14"/>
  <c r="AA367" i="14"/>
  <c r="AA361" i="14"/>
  <c r="AA349" i="14"/>
  <c r="AA338" i="14"/>
  <c r="AA323" i="14"/>
  <c r="AA363" i="14"/>
  <c r="AA327" i="14"/>
  <c r="AA362" i="14"/>
  <c r="AA354" i="14"/>
  <c r="AA370" i="14"/>
  <c r="AA352" i="14"/>
  <c r="AA359" i="14"/>
  <c r="Q389" i="14"/>
  <c r="AA321" i="14"/>
  <c r="AA334" i="14"/>
  <c r="AA339" i="14"/>
  <c r="AA351" i="14"/>
  <c r="AA366" i="14"/>
  <c r="AA326" i="14"/>
  <c r="AA322" i="14"/>
  <c r="AA369" i="14"/>
  <c r="AA356" i="14"/>
  <c r="AA329" i="14"/>
  <c r="AA340" i="14"/>
  <c r="AA346" i="14"/>
  <c r="AA348" i="14"/>
  <c r="AA325" i="14"/>
  <c r="AA345" i="14"/>
  <c r="AA358" i="14"/>
  <c r="AA337" i="14"/>
  <c r="L389" i="14"/>
  <c r="AA343" i="14"/>
  <c r="O389" i="14"/>
  <c r="AA365" i="14"/>
  <c r="P389" i="14"/>
  <c r="V389" i="14"/>
  <c r="T389" i="14"/>
  <c r="Y389" i="14"/>
  <c r="S389" i="14"/>
  <c r="AA357" i="14"/>
  <c r="N389" i="14"/>
  <c r="R389" i="14"/>
  <c r="U389" i="14"/>
  <c r="K389" i="14"/>
  <c r="X389" i="14"/>
  <c r="AA335" i="14"/>
  <c r="G389" i="14"/>
  <c r="AA347" i="14"/>
  <c r="AA342" i="14"/>
  <c r="F389" i="14"/>
  <c r="W389" i="14"/>
  <c r="AA332" i="14"/>
  <c r="AA336" i="14"/>
  <c r="I389" i="14"/>
  <c r="M389" i="14"/>
  <c r="AA330" i="14"/>
  <c r="D389" i="14"/>
  <c r="AA319" i="14"/>
  <c r="C389" i="14"/>
  <c r="AA331" i="14"/>
  <c r="H389" i="14"/>
  <c r="Z142" i="14"/>
  <c r="Y160" i="14" s="1"/>
  <c r="AA445" i="14"/>
  <c r="AA437" i="14"/>
  <c r="AA432" i="14"/>
  <c r="AA419" i="14"/>
  <c r="AA411" i="14"/>
  <c r="AA402" i="14"/>
  <c r="AA400" i="14"/>
  <c r="AA397" i="14"/>
  <c r="AA444" i="14"/>
  <c r="AA439" i="14"/>
  <c r="AA434" i="14"/>
  <c r="AA430" i="14"/>
  <c r="AA427" i="14"/>
  <c r="AA424" i="14"/>
  <c r="AA414" i="14"/>
  <c r="AA410" i="14"/>
  <c r="AA438" i="14"/>
  <c r="AA433" i="14"/>
  <c r="AA429" i="14"/>
  <c r="AA413" i="14"/>
  <c r="AA443" i="14"/>
  <c r="AA409" i="14"/>
  <c r="AA396" i="14"/>
  <c r="AA422" i="14"/>
  <c r="AA436" i="14"/>
  <c r="AA416" i="14"/>
  <c r="AA405" i="14"/>
  <c r="AA426" i="14"/>
  <c r="AA431" i="14"/>
  <c r="AA428" i="14"/>
  <c r="AA395" i="14"/>
  <c r="AA435" i="14"/>
  <c r="AA408" i="14"/>
  <c r="AA425" i="14"/>
  <c r="AA420" i="14"/>
  <c r="N465" i="14"/>
  <c r="AA401" i="14"/>
  <c r="J465" i="14"/>
  <c r="AA441" i="14"/>
  <c r="AA421" i="14"/>
  <c r="AA442" i="14"/>
  <c r="AA415" i="14"/>
  <c r="AA403" i="14"/>
  <c r="F465" i="14"/>
  <c r="AA398" i="14"/>
  <c r="AA399" i="14"/>
  <c r="AA406" i="14"/>
  <c r="X465" i="14"/>
  <c r="V465" i="14"/>
  <c r="I465" i="14"/>
  <c r="R465" i="14"/>
  <c r="AA423" i="14"/>
  <c r="E465" i="14"/>
  <c r="P465" i="14"/>
  <c r="AA412" i="14"/>
  <c r="W465" i="14"/>
  <c r="K465" i="14"/>
  <c r="Y465" i="14"/>
  <c r="T465" i="14"/>
  <c r="AA407" i="14"/>
  <c r="S465" i="14"/>
  <c r="AA440" i="14"/>
  <c r="B465" i="14"/>
  <c r="M465" i="14"/>
  <c r="C465" i="14"/>
  <c r="AA418" i="14"/>
  <c r="D465" i="14"/>
  <c r="Q465" i="14"/>
  <c r="L465" i="14"/>
  <c r="G465" i="14"/>
  <c r="H465" i="14"/>
  <c r="O465" i="14"/>
  <c r="AA341" i="14"/>
  <c r="E389" i="14"/>
  <c r="AA328" i="14"/>
  <c r="U465" i="14"/>
  <c r="B389" i="14"/>
  <c r="AA404" i="14"/>
  <c r="AA138" i="13"/>
  <c r="AA135" i="13"/>
  <c r="AA114" i="13"/>
  <c r="AA125" i="13"/>
  <c r="AA137" i="13"/>
  <c r="AA139" i="13"/>
  <c r="AA107" i="13"/>
  <c r="AA103" i="13"/>
  <c r="AA131" i="13"/>
  <c r="AA133" i="13"/>
  <c r="AA109" i="13"/>
  <c r="AA129" i="13"/>
  <c r="AA445" i="13"/>
  <c r="AA113" i="13"/>
  <c r="AA134" i="13"/>
  <c r="AA121" i="13"/>
  <c r="AA101" i="13"/>
  <c r="AA136" i="13"/>
  <c r="AA106" i="13"/>
  <c r="AA99" i="13"/>
  <c r="AA96" i="13"/>
  <c r="AA124" i="13"/>
  <c r="AA94" i="13"/>
  <c r="AA95" i="13"/>
  <c r="AA119" i="13"/>
  <c r="AA122" i="13"/>
  <c r="AA112" i="13"/>
  <c r="AA93" i="13"/>
  <c r="AA116" i="13"/>
  <c r="AA102" i="13"/>
  <c r="AA123" i="13"/>
  <c r="AA105" i="13"/>
  <c r="AA127" i="13"/>
  <c r="AA115" i="13"/>
  <c r="AA141" i="13"/>
  <c r="AA128" i="13"/>
  <c r="AA91" i="13"/>
  <c r="AA130" i="13"/>
  <c r="AA104" i="13"/>
  <c r="AA100" i="13"/>
  <c r="AA132" i="13"/>
  <c r="AA92" i="13"/>
  <c r="AA120" i="13"/>
  <c r="AA140" i="13"/>
  <c r="AA98" i="13"/>
  <c r="AA117" i="13"/>
  <c r="AA97" i="13"/>
  <c r="AA126" i="13"/>
  <c r="AA111" i="13"/>
  <c r="AA219" i="13"/>
  <c r="AA370" i="13"/>
  <c r="AA294" i="13"/>
  <c r="M187" i="19"/>
  <c r="S25" i="19" s="1"/>
  <c r="T19" i="19" s="1"/>
  <c r="M187" i="20"/>
  <c r="M257" i="16"/>
  <c r="F257" i="16"/>
  <c r="T257" i="16"/>
  <c r="K257" i="16"/>
  <c r="L257" i="16"/>
  <c r="W257" i="16"/>
  <c r="D257" i="16"/>
  <c r="Q257" i="16"/>
  <c r="I257" i="16"/>
  <c r="N257" i="16"/>
  <c r="U257" i="16"/>
  <c r="S257" i="16"/>
  <c r="P257" i="16"/>
  <c r="C257" i="16"/>
  <c r="V257" i="16"/>
  <c r="E257" i="16"/>
  <c r="R257" i="16"/>
  <c r="G257" i="16"/>
  <c r="J257" i="16"/>
  <c r="H257" i="16"/>
  <c r="O257" i="16"/>
  <c r="AA186" i="16"/>
  <c r="AA188" i="16"/>
  <c r="X217" i="16"/>
  <c r="H217" i="16"/>
  <c r="AA180" i="16"/>
  <c r="AA198" i="16"/>
  <c r="S217" i="16"/>
  <c r="C217" i="16"/>
  <c r="AA193" i="16"/>
  <c r="AA181" i="16"/>
  <c r="J217" i="16"/>
  <c r="U217" i="16"/>
  <c r="AA199" i="16"/>
  <c r="AA200" i="16"/>
  <c r="T217" i="16"/>
  <c r="D217" i="16"/>
  <c r="Y217" i="16"/>
  <c r="AA196" i="16"/>
  <c r="O217" i="16"/>
  <c r="AA204" i="16"/>
  <c r="AA190" i="16"/>
  <c r="V217" i="16"/>
  <c r="F217" i="16"/>
  <c r="M217" i="16"/>
  <c r="AA183" i="16"/>
  <c r="AA203" i="16"/>
  <c r="AA197" i="16"/>
  <c r="P217" i="16"/>
  <c r="AA206" i="16"/>
  <c r="Q217" i="16"/>
  <c r="AA185" i="16"/>
  <c r="K217" i="16"/>
  <c r="AA201" i="16"/>
  <c r="AA187" i="16"/>
  <c r="R217" i="16"/>
  <c r="B217" i="16"/>
  <c r="E217" i="16"/>
  <c r="AA192" i="16"/>
  <c r="AA202" i="16"/>
  <c r="AA182" i="16"/>
  <c r="L217" i="16"/>
  <c r="AA191" i="16"/>
  <c r="I217" i="16"/>
  <c r="W217" i="16"/>
  <c r="G217" i="16"/>
  <c r="AA194" i="16"/>
  <c r="AA184" i="16"/>
  <c r="N217" i="16"/>
  <c r="AA189" i="16"/>
  <c r="AA205" i="16"/>
  <c r="AA195" i="16"/>
  <c r="AH36" i="14" l="1"/>
  <c r="E61" i="32"/>
  <c r="G61" i="32" s="1"/>
  <c r="D61" i="32" s="1"/>
  <c r="D60" i="32"/>
  <c r="T17" i="20"/>
  <c r="T25" i="20"/>
  <c r="T14" i="20"/>
  <c r="T24" i="20"/>
  <c r="T23" i="20"/>
  <c r="T22" i="20"/>
  <c r="T15" i="20"/>
  <c r="R25" i="20"/>
  <c r="R14" i="20"/>
  <c r="R24" i="20"/>
  <c r="R20" i="20"/>
  <c r="R22" i="20"/>
  <c r="R23" i="20"/>
  <c r="R15" i="20"/>
  <c r="R19" i="20"/>
  <c r="R21" i="20"/>
  <c r="T21" i="20"/>
  <c r="T22" i="19"/>
  <c r="T17" i="19"/>
  <c r="T25" i="19"/>
  <c r="T23" i="19"/>
  <c r="T14" i="19"/>
  <c r="T18" i="19"/>
  <c r="T24" i="19"/>
  <c r="T20" i="19"/>
  <c r="T15" i="19"/>
  <c r="T16" i="19"/>
  <c r="T21" i="19"/>
  <c r="E41" i="16"/>
  <c r="F40" i="16"/>
  <c r="D81" i="16"/>
  <c r="E80" i="16"/>
  <c r="AA71" i="16"/>
  <c r="AA63" i="16"/>
  <c r="AA59" i="16"/>
  <c r="AA78" i="16"/>
  <c r="AA64" i="16"/>
  <c r="AA70" i="16"/>
  <c r="AA76" i="16"/>
  <c r="AA60" i="16"/>
  <c r="AA74" i="16"/>
  <c r="AA61" i="16"/>
  <c r="AA62" i="16"/>
  <c r="AA67" i="16"/>
  <c r="AA75" i="16"/>
  <c r="AA77" i="16"/>
  <c r="AA73" i="16"/>
  <c r="AA66" i="16"/>
  <c r="AA68" i="16"/>
  <c r="AA72" i="16"/>
  <c r="AA58" i="16"/>
  <c r="AA69" i="16"/>
  <c r="AG39" i="16"/>
  <c r="AA65" i="16"/>
  <c r="AA39" i="16"/>
  <c r="G220" i="13"/>
  <c r="G221" i="13" s="1"/>
  <c r="F80" i="17"/>
  <c r="G79" i="17"/>
  <c r="AH113" i="14"/>
  <c r="F52" i="18"/>
  <c r="G51" i="18"/>
  <c r="X90" i="16"/>
  <c r="D90" i="16"/>
  <c r="L90" i="16"/>
  <c r="V90" i="16"/>
  <c r="W90" i="16"/>
  <c r="J90" i="16"/>
  <c r="R90" i="16"/>
  <c r="O90" i="16"/>
  <c r="M90" i="16"/>
  <c r="F90" i="16"/>
  <c r="C90" i="16"/>
  <c r="U90" i="16"/>
  <c r="E90" i="16"/>
  <c r="G90" i="16"/>
  <c r="Q90" i="16"/>
  <c r="P90" i="16"/>
  <c r="I90" i="16"/>
  <c r="Y90" i="16"/>
  <c r="N90" i="16"/>
  <c r="K90" i="16"/>
  <c r="H90" i="16"/>
  <c r="S90" i="16"/>
  <c r="T90" i="16"/>
  <c r="J164" i="16"/>
  <c r="K163" i="16"/>
  <c r="E248" i="16"/>
  <c r="F247" i="16"/>
  <c r="K123" i="16"/>
  <c r="L122" i="16"/>
  <c r="E208" i="16"/>
  <c r="F207" i="16"/>
  <c r="J175" i="15"/>
  <c r="K174" i="15"/>
  <c r="F291" i="15"/>
  <c r="G290" i="15"/>
  <c r="E111" i="15"/>
  <c r="F110" i="15"/>
  <c r="F342" i="15"/>
  <c r="G341" i="15"/>
  <c r="K226" i="15"/>
  <c r="L225" i="15"/>
  <c r="E60" i="15"/>
  <c r="F59" i="15"/>
  <c r="U160" i="14"/>
  <c r="AA100" i="14"/>
  <c r="G160" i="14"/>
  <c r="S160" i="14"/>
  <c r="F160" i="14"/>
  <c r="H160" i="14"/>
  <c r="P160" i="14"/>
  <c r="O160" i="14"/>
  <c r="T160" i="14"/>
  <c r="K160" i="14"/>
  <c r="J160" i="14"/>
  <c r="X160" i="14"/>
  <c r="E160" i="14"/>
  <c r="L160" i="14"/>
  <c r="M160" i="14"/>
  <c r="W160" i="14"/>
  <c r="R160" i="14"/>
  <c r="Q160" i="14"/>
  <c r="V160" i="14"/>
  <c r="I160" i="14"/>
  <c r="C160" i="14"/>
  <c r="N160" i="14"/>
  <c r="D160" i="14"/>
  <c r="B160" i="14"/>
  <c r="E144" i="14"/>
  <c r="F143" i="14"/>
  <c r="AA35" i="14"/>
  <c r="M84" i="14"/>
  <c r="T84" i="14"/>
  <c r="I84" i="14"/>
  <c r="G84" i="14"/>
  <c r="C84" i="14"/>
  <c r="X84" i="14"/>
  <c r="K84" i="14"/>
  <c r="V84" i="14"/>
  <c r="L84" i="14"/>
  <c r="P84" i="14"/>
  <c r="N84" i="14"/>
  <c r="Q84" i="14"/>
  <c r="D84" i="14"/>
  <c r="S84" i="14"/>
  <c r="F84" i="14"/>
  <c r="H84" i="14"/>
  <c r="U84" i="14"/>
  <c r="Y84" i="14"/>
  <c r="O84" i="14"/>
  <c r="R84" i="14"/>
  <c r="E69" i="14"/>
  <c r="F68" i="14"/>
  <c r="J84" i="14"/>
  <c r="AF67" i="14"/>
  <c r="W84" i="14"/>
  <c r="E84" i="14"/>
  <c r="J297" i="14"/>
  <c r="K296" i="14"/>
  <c r="I222" i="14"/>
  <c r="J221" i="14"/>
  <c r="F375" i="14"/>
  <c r="G374" i="14"/>
  <c r="F448" i="14"/>
  <c r="G447" i="14"/>
  <c r="G295" i="13"/>
  <c r="G296" i="13" s="1"/>
  <c r="E143" i="13"/>
  <c r="F142" i="13"/>
  <c r="G446" i="13"/>
  <c r="G447" i="13" s="1"/>
  <c r="E68" i="13"/>
  <c r="F67" i="13"/>
  <c r="G371" i="13"/>
  <c r="F372" i="13"/>
  <c r="AA22" i="14"/>
  <c r="AA113" i="14"/>
  <c r="AA96" i="14"/>
  <c r="AA125" i="14"/>
  <c r="AA101" i="14"/>
  <c r="AA135" i="14"/>
  <c r="AA129" i="14"/>
  <c r="AA124" i="14"/>
  <c r="AA110" i="14"/>
  <c r="AA107" i="14"/>
  <c r="AA141" i="14"/>
  <c r="AA106" i="14"/>
  <c r="AA130" i="14"/>
  <c r="AA98" i="14"/>
  <c r="AA126" i="14"/>
  <c r="AA109" i="14"/>
  <c r="AA134" i="14"/>
  <c r="AA140" i="14"/>
  <c r="AA123" i="14"/>
  <c r="AA127" i="14"/>
  <c r="AA139" i="14"/>
  <c r="AA120" i="14"/>
  <c r="AA115" i="14"/>
  <c r="AA92" i="14"/>
  <c r="AA122" i="14"/>
  <c r="AA94" i="14"/>
  <c r="AA116" i="14"/>
  <c r="AA93" i="14"/>
  <c r="AA112" i="14"/>
  <c r="AA118" i="14"/>
  <c r="AA128" i="14"/>
  <c r="AA102" i="14"/>
  <c r="AA133" i="14"/>
  <c r="AA132" i="14"/>
  <c r="AA105" i="14"/>
  <c r="AA138" i="14"/>
  <c r="AA95" i="14"/>
  <c r="AA91" i="14"/>
  <c r="AA131" i="14"/>
  <c r="AA117" i="14"/>
  <c r="AA99" i="14"/>
  <c r="AA111" i="14"/>
  <c r="AA137" i="14"/>
  <c r="AA97" i="14"/>
  <c r="AA104" i="14"/>
  <c r="AA121" i="14"/>
  <c r="AA136" i="14"/>
  <c r="AA114" i="14"/>
  <c r="AA103" i="14"/>
  <c r="AA108" i="14"/>
  <c r="AA119" i="14"/>
  <c r="AA373" i="14"/>
  <c r="AA446" i="14"/>
  <c r="AA67" i="14"/>
  <c r="AA56" i="14"/>
  <c r="AA58" i="14"/>
  <c r="AA32" i="14"/>
  <c r="AA55" i="14"/>
  <c r="AA48" i="14"/>
  <c r="AA57" i="14"/>
  <c r="AA54" i="14"/>
  <c r="AA15" i="14"/>
  <c r="AA31" i="14"/>
  <c r="AA40" i="14"/>
  <c r="AA62" i="14"/>
  <c r="AA43" i="14"/>
  <c r="AA45" i="14"/>
  <c r="AA60" i="14"/>
  <c r="AA44" i="14"/>
  <c r="AA23" i="14"/>
  <c r="AA53" i="14"/>
  <c r="AA33" i="14"/>
  <c r="AA39" i="14"/>
  <c r="AA50" i="14"/>
  <c r="AA42" i="14"/>
  <c r="AA18" i="14"/>
  <c r="AA38" i="14"/>
  <c r="AA47" i="14"/>
  <c r="AA17" i="14"/>
  <c r="AA64" i="14"/>
  <c r="AA14" i="14"/>
  <c r="AA27" i="14"/>
  <c r="AA34" i="14"/>
  <c r="AA19" i="14"/>
  <c r="AA28" i="14"/>
  <c r="AA46" i="14"/>
  <c r="AA49" i="14"/>
  <c r="AA16" i="14"/>
  <c r="AA21" i="14"/>
  <c r="AA52" i="14"/>
  <c r="AA20" i="14"/>
  <c r="AA66" i="14"/>
  <c r="AA61" i="14"/>
  <c r="AA63" i="14"/>
  <c r="AA65" i="14"/>
  <c r="AA51" i="14"/>
  <c r="AA59" i="14"/>
  <c r="AA37" i="14"/>
  <c r="AA26" i="14"/>
  <c r="AA29" i="14"/>
  <c r="AA41" i="14"/>
  <c r="AA24" i="14"/>
  <c r="AA13" i="14"/>
  <c r="AA30" i="14"/>
  <c r="AA36" i="14"/>
  <c r="AA25" i="14"/>
  <c r="G66" i="32" l="1"/>
  <c r="G67" i="32" s="1"/>
  <c r="E81" i="16"/>
  <c r="F80" i="16"/>
  <c r="AA79" i="16"/>
  <c r="F41" i="16"/>
  <c r="G40" i="16"/>
  <c r="H220" i="13"/>
  <c r="I220" i="13" s="1"/>
  <c r="AG67" i="14"/>
  <c r="B61" i="32" s="1"/>
  <c r="AH35" i="14"/>
  <c r="G80" i="17"/>
  <c r="H79" i="17"/>
  <c r="H295" i="13"/>
  <c r="H296" i="13" s="1"/>
  <c r="G52" i="18"/>
  <c r="H51" i="18"/>
  <c r="L123" i="16"/>
  <c r="M122" i="16"/>
  <c r="K164" i="16"/>
  <c r="L163" i="16"/>
  <c r="F208" i="16"/>
  <c r="G207" i="16"/>
  <c r="F248" i="16"/>
  <c r="G247" i="16"/>
  <c r="K175" i="15"/>
  <c r="L174" i="15"/>
  <c r="F60" i="15"/>
  <c r="G59" i="15"/>
  <c r="F111" i="15"/>
  <c r="G110" i="15"/>
  <c r="L226" i="15"/>
  <c r="M225" i="15"/>
  <c r="G291" i="15"/>
  <c r="H290" i="15"/>
  <c r="G342" i="15"/>
  <c r="H341" i="15"/>
  <c r="F144" i="14"/>
  <c r="G143" i="14"/>
  <c r="F69" i="14"/>
  <c r="G68" i="14"/>
  <c r="K297" i="14"/>
  <c r="L296" i="14"/>
  <c r="J222" i="14"/>
  <c r="K221" i="14"/>
  <c r="G448" i="14"/>
  <c r="H447" i="14"/>
  <c r="G375" i="14"/>
  <c r="H374" i="14"/>
  <c r="H446" i="13"/>
  <c r="H447" i="13" s="1"/>
  <c r="F143" i="13"/>
  <c r="G142" i="13"/>
  <c r="F68" i="13"/>
  <c r="G67" i="13"/>
  <c r="G372" i="13"/>
  <c r="H371" i="13"/>
  <c r="AA142" i="14"/>
  <c r="N85" i="24"/>
  <c r="N86" i="24" s="1"/>
  <c r="N87" i="24" s="1"/>
  <c r="N88" i="24" s="1"/>
  <c r="N89" i="24" s="1"/>
  <c r="N90" i="24" s="1"/>
  <c r="N91" i="24" s="1"/>
  <c r="N92" i="24" s="1"/>
  <c r="N93" i="24" s="1"/>
  <c r="N94" i="24" s="1"/>
  <c r="N95" i="24" s="1"/>
  <c r="N96" i="24" s="1"/>
  <c r="N97" i="24" s="1"/>
  <c r="N98" i="24" s="1"/>
  <c r="N99" i="24" s="1"/>
  <c r="N100" i="24" s="1"/>
  <c r="N101" i="24" s="1"/>
  <c r="N102" i="24" s="1"/>
  <c r="N103" i="24" s="1"/>
  <c r="N104" i="24" s="1"/>
  <c r="N105" i="24" s="1"/>
  <c r="N106" i="24" s="1"/>
  <c r="N107" i="24" s="1"/>
  <c r="N108" i="24" s="1"/>
  <c r="N109" i="24" s="1"/>
  <c r="N110" i="24" s="1"/>
  <c r="N111" i="24" s="1"/>
  <c r="N112" i="24" s="1"/>
  <c r="N84" i="24"/>
  <c r="G41" i="16" l="1"/>
  <c r="H40" i="16"/>
  <c r="F81" i="16"/>
  <c r="G80" i="16"/>
  <c r="H221" i="13"/>
  <c r="I295" i="13"/>
  <c r="I296" i="13" s="1"/>
  <c r="H80" i="17"/>
  <c r="I79" i="17"/>
  <c r="H52" i="18"/>
  <c r="I51" i="18"/>
  <c r="G248" i="16"/>
  <c r="H247" i="16"/>
  <c r="L164" i="16"/>
  <c r="M163" i="16"/>
  <c r="G208" i="16"/>
  <c r="H207" i="16"/>
  <c r="M123" i="16"/>
  <c r="N122" i="16"/>
  <c r="M174" i="15"/>
  <c r="L175" i="15"/>
  <c r="H291" i="15"/>
  <c r="I290" i="15"/>
  <c r="M226" i="15"/>
  <c r="N225" i="15"/>
  <c r="G60" i="15"/>
  <c r="H59" i="15"/>
  <c r="H342" i="15"/>
  <c r="I341" i="15"/>
  <c r="G111" i="15"/>
  <c r="H110" i="15"/>
  <c r="G144" i="14"/>
  <c r="H143" i="14"/>
  <c r="G69" i="14"/>
  <c r="H68" i="14"/>
  <c r="L297" i="14"/>
  <c r="M296" i="14"/>
  <c r="K222" i="14"/>
  <c r="L221" i="14"/>
  <c r="H375" i="14"/>
  <c r="I374" i="14"/>
  <c r="H448" i="14"/>
  <c r="I447" i="14"/>
  <c r="I446" i="13"/>
  <c r="G143" i="13"/>
  <c r="H142" i="13"/>
  <c r="G68" i="13"/>
  <c r="H67" i="13"/>
  <c r="I221" i="13"/>
  <c r="J220" i="13"/>
  <c r="H372" i="13"/>
  <c r="I371" i="13"/>
  <c r="J295" i="13" l="1"/>
  <c r="J296" i="13" s="1"/>
  <c r="G81" i="16"/>
  <c r="H80" i="16"/>
  <c r="H41" i="16"/>
  <c r="I40" i="16"/>
  <c r="I80" i="17"/>
  <c r="J79" i="17"/>
  <c r="I52" i="18"/>
  <c r="J51" i="18"/>
  <c r="N123" i="16"/>
  <c r="O122" i="16"/>
  <c r="M164" i="16"/>
  <c r="N163" i="16"/>
  <c r="H208" i="16"/>
  <c r="I207" i="16"/>
  <c r="H248" i="16"/>
  <c r="I247" i="16"/>
  <c r="M175" i="15"/>
  <c r="N174" i="15"/>
  <c r="I291" i="15"/>
  <c r="J290" i="15"/>
  <c r="I342" i="15"/>
  <c r="J341" i="15"/>
  <c r="H111" i="15"/>
  <c r="I110" i="15"/>
  <c r="H60" i="15"/>
  <c r="I59" i="15"/>
  <c r="N226" i="15"/>
  <c r="O225" i="15"/>
  <c r="H144" i="14"/>
  <c r="I143" i="14"/>
  <c r="H69" i="14"/>
  <c r="I68" i="14"/>
  <c r="M297" i="14"/>
  <c r="N296" i="14"/>
  <c r="L222" i="14"/>
  <c r="M221" i="14"/>
  <c r="I375" i="14"/>
  <c r="J374" i="14"/>
  <c r="I448" i="14"/>
  <c r="J447" i="14"/>
  <c r="J446" i="13"/>
  <c r="I447" i="13"/>
  <c r="H143" i="13"/>
  <c r="I142" i="13"/>
  <c r="H68" i="13"/>
  <c r="I67" i="13"/>
  <c r="J221" i="13"/>
  <c r="K220" i="13"/>
  <c r="I372" i="13"/>
  <c r="J371" i="13"/>
  <c r="K295" i="13" l="1"/>
  <c r="L295" i="13" s="1"/>
  <c r="I41" i="16"/>
  <c r="J40" i="16"/>
  <c r="H81" i="16"/>
  <c r="I80" i="16"/>
  <c r="J80" i="17"/>
  <c r="K79" i="17"/>
  <c r="J52" i="18"/>
  <c r="K51" i="18"/>
  <c r="I208" i="16"/>
  <c r="J207" i="16"/>
  <c r="O123" i="16"/>
  <c r="P122" i="16"/>
  <c r="I248" i="16"/>
  <c r="J247" i="16"/>
  <c r="N164" i="16"/>
  <c r="O163" i="16"/>
  <c r="N175" i="15"/>
  <c r="O174" i="15"/>
  <c r="I60" i="15"/>
  <c r="J59" i="15"/>
  <c r="O226" i="15"/>
  <c r="P225" i="15"/>
  <c r="I111" i="15"/>
  <c r="J110" i="15"/>
  <c r="J291" i="15"/>
  <c r="K290" i="15"/>
  <c r="J342" i="15"/>
  <c r="K341" i="15"/>
  <c r="I144" i="14"/>
  <c r="J143" i="14"/>
  <c r="I69" i="14"/>
  <c r="J68" i="14"/>
  <c r="N297" i="14"/>
  <c r="O296" i="14"/>
  <c r="M222" i="14"/>
  <c r="N221" i="14"/>
  <c r="J375" i="14"/>
  <c r="K374" i="14"/>
  <c r="J448" i="14"/>
  <c r="K447" i="14"/>
  <c r="J447" i="13"/>
  <c r="K446" i="13"/>
  <c r="I143" i="13"/>
  <c r="J142" i="13"/>
  <c r="I68" i="13"/>
  <c r="J67" i="13"/>
  <c r="K221" i="13"/>
  <c r="L220" i="13"/>
  <c r="J372" i="13"/>
  <c r="K371" i="13"/>
  <c r="K296" i="13" l="1"/>
  <c r="J41" i="16"/>
  <c r="K40" i="16"/>
  <c r="I81" i="16"/>
  <c r="J80" i="16"/>
  <c r="K80" i="17"/>
  <c r="L79" i="17"/>
  <c r="K52" i="18"/>
  <c r="L51" i="18"/>
  <c r="O164" i="16"/>
  <c r="P163" i="16"/>
  <c r="P123" i="16"/>
  <c r="Q122" i="16"/>
  <c r="J248" i="16"/>
  <c r="K247" i="16"/>
  <c r="J208" i="16"/>
  <c r="K207" i="16"/>
  <c r="O175" i="15"/>
  <c r="P174" i="15"/>
  <c r="K342" i="15"/>
  <c r="L341" i="15"/>
  <c r="J60" i="15"/>
  <c r="K59" i="15"/>
  <c r="P226" i="15"/>
  <c r="Q225" i="15"/>
  <c r="J111" i="15"/>
  <c r="K110" i="15"/>
  <c r="K291" i="15"/>
  <c r="L290" i="15"/>
  <c r="J144" i="14"/>
  <c r="K143" i="14"/>
  <c r="J69" i="14"/>
  <c r="K68" i="14"/>
  <c r="O297" i="14"/>
  <c r="P296" i="14"/>
  <c r="N222" i="14"/>
  <c r="O221" i="14"/>
  <c r="K448" i="14"/>
  <c r="L447" i="14"/>
  <c r="K375" i="14"/>
  <c r="L374" i="14"/>
  <c r="K447" i="13"/>
  <c r="L446" i="13"/>
  <c r="J143" i="13"/>
  <c r="K142" i="13"/>
  <c r="L296" i="13"/>
  <c r="M295" i="13"/>
  <c r="J68" i="13"/>
  <c r="K67" i="13"/>
  <c r="L221" i="13"/>
  <c r="M220" i="13"/>
  <c r="K372" i="13"/>
  <c r="L371" i="13"/>
  <c r="K41" i="16" l="1"/>
  <c r="L40" i="16"/>
  <c r="J81" i="16"/>
  <c r="K80" i="16"/>
  <c r="L80" i="17"/>
  <c r="M79" i="17"/>
  <c r="L52" i="18"/>
  <c r="M51" i="18"/>
  <c r="K208" i="16"/>
  <c r="L207" i="16"/>
  <c r="Q123" i="16"/>
  <c r="R122" i="16"/>
  <c r="K248" i="16"/>
  <c r="L247" i="16"/>
  <c r="P164" i="16"/>
  <c r="Q163" i="16"/>
  <c r="P175" i="15"/>
  <c r="Q174" i="15"/>
  <c r="L291" i="15"/>
  <c r="M290" i="15"/>
  <c r="Q226" i="15"/>
  <c r="R225" i="15"/>
  <c r="L342" i="15"/>
  <c r="M341" i="15"/>
  <c r="K111" i="15"/>
  <c r="L110" i="15"/>
  <c r="K60" i="15"/>
  <c r="L59" i="15"/>
  <c r="K144" i="14"/>
  <c r="L143" i="14"/>
  <c r="K69" i="14"/>
  <c r="L68" i="14"/>
  <c r="P297" i="14"/>
  <c r="Q296" i="14"/>
  <c r="O222" i="14"/>
  <c r="P221" i="14"/>
  <c r="L448" i="14"/>
  <c r="M447" i="14"/>
  <c r="L375" i="14"/>
  <c r="M374" i="14"/>
  <c r="L447" i="13"/>
  <c r="M446" i="13"/>
  <c r="K143" i="13"/>
  <c r="L142" i="13"/>
  <c r="M296" i="13"/>
  <c r="N295" i="13"/>
  <c r="K68" i="13"/>
  <c r="L67" i="13"/>
  <c r="M221" i="13"/>
  <c r="N220" i="13"/>
  <c r="L372" i="13"/>
  <c r="M371" i="13"/>
  <c r="K81" i="16" l="1"/>
  <c r="L80" i="16"/>
  <c r="L41" i="16"/>
  <c r="M40" i="16"/>
  <c r="M80" i="17"/>
  <c r="N79" i="17"/>
  <c r="M52" i="18"/>
  <c r="N51" i="18"/>
  <c r="Q164" i="16"/>
  <c r="R163" i="16"/>
  <c r="R123" i="16"/>
  <c r="S122" i="16"/>
  <c r="L248" i="16"/>
  <c r="M247" i="16"/>
  <c r="L208" i="16"/>
  <c r="M207" i="16"/>
  <c r="Q175" i="15"/>
  <c r="R174" i="15"/>
  <c r="L60" i="15"/>
  <c r="M59" i="15"/>
  <c r="R226" i="15"/>
  <c r="S225" i="15"/>
  <c r="L111" i="15"/>
  <c r="M110" i="15"/>
  <c r="M342" i="15"/>
  <c r="N341" i="15"/>
  <c r="M291" i="15"/>
  <c r="N290" i="15"/>
  <c r="L144" i="14"/>
  <c r="M143" i="14"/>
  <c r="L69" i="14"/>
  <c r="M68" i="14"/>
  <c r="Q297" i="14"/>
  <c r="R296" i="14"/>
  <c r="P222" i="14"/>
  <c r="Q221" i="14"/>
  <c r="M448" i="14"/>
  <c r="N447" i="14"/>
  <c r="M375" i="14"/>
  <c r="N374" i="14"/>
  <c r="M447" i="13"/>
  <c r="N446" i="13"/>
  <c r="L143" i="13"/>
  <c r="M142" i="13"/>
  <c r="N296" i="13"/>
  <c r="O295" i="13"/>
  <c r="L68" i="13"/>
  <c r="M67" i="13"/>
  <c r="N221" i="13"/>
  <c r="O220" i="13"/>
  <c r="M372" i="13"/>
  <c r="N371" i="13"/>
  <c r="M41" i="16" l="1"/>
  <c r="N40" i="16"/>
  <c r="L81" i="16"/>
  <c r="M80" i="16"/>
  <c r="N80" i="17"/>
  <c r="O79" i="17"/>
  <c r="N52" i="18"/>
  <c r="O51" i="18"/>
  <c r="M208" i="16"/>
  <c r="N207" i="16"/>
  <c r="S123" i="16"/>
  <c r="T122" i="16"/>
  <c r="M248" i="16"/>
  <c r="N247" i="16"/>
  <c r="R164" i="16"/>
  <c r="S163" i="16"/>
  <c r="R175" i="15"/>
  <c r="S174" i="15"/>
  <c r="M111" i="15"/>
  <c r="N110" i="15"/>
  <c r="N291" i="15"/>
  <c r="O290" i="15"/>
  <c r="N342" i="15"/>
  <c r="O341" i="15"/>
  <c r="S226" i="15"/>
  <c r="T225" i="15"/>
  <c r="M60" i="15"/>
  <c r="N59" i="15"/>
  <c r="M144" i="14"/>
  <c r="N143" i="14"/>
  <c r="M69" i="14"/>
  <c r="N68" i="14"/>
  <c r="R297" i="14"/>
  <c r="S296" i="14"/>
  <c r="Q222" i="14"/>
  <c r="R221" i="14"/>
  <c r="N448" i="14"/>
  <c r="O447" i="14"/>
  <c r="N375" i="14"/>
  <c r="O374" i="14"/>
  <c r="N447" i="13"/>
  <c r="O446" i="13"/>
  <c r="M143" i="13"/>
  <c r="N142" i="13"/>
  <c r="O296" i="13"/>
  <c r="P295" i="13"/>
  <c r="M68" i="13"/>
  <c r="N67" i="13"/>
  <c r="O221" i="13"/>
  <c r="P220" i="13"/>
  <c r="N372" i="13"/>
  <c r="O371" i="13"/>
  <c r="M81" i="16" l="1"/>
  <c r="N80" i="16"/>
  <c r="N41" i="16"/>
  <c r="O40" i="16"/>
  <c r="O80" i="17"/>
  <c r="P79" i="17"/>
  <c r="O52" i="18"/>
  <c r="P51" i="18"/>
  <c r="T123" i="16"/>
  <c r="U122" i="16"/>
  <c r="S164" i="16"/>
  <c r="T163" i="16"/>
  <c r="N248" i="16"/>
  <c r="O247" i="16"/>
  <c r="N208" i="16"/>
  <c r="O207" i="16"/>
  <c r="S175" i="15"/>
  <c r="T174" i="15"/>
  <c r="O342" i="15"/>
  <c r="P341" i="15"/>
  <c r="N60" i="15"/>
  <c r="O59" i="15"/>
  <c r="O291" i="15"/>
  <c r="P290" i="15"/>
  <c r="T226" i="15"/>
  <c r="U225" i="15"/>
  <c r="N111" i="15"/>
  <c r="O110" i="15"/>
  <c r="N144" i="14"/>
  <c r="O143" i="14"/>
  <c r="N69" i="14"/>
  <c r="O68" i="14"/>
  <c r="S297" i="14"/>
  <c r="T296" i="14"/>
  <c r="R222" i="14"/>
  <c r="S221" i="14"/>
  <c r="O375" i="14"/>
  <c r="P374" i="14"/>
  <c r="O448" i="14"/>
  <c r="P447" i="14"/>
  <c r="O447" i="13"/>
  <c r="P446" i="13"/>
  <c r="N143" i="13"/>
  <c r="O142" i="13"/>
  <c r="P296" i="13"/>
  <c r="Q295" i="13"/>
  <c r="N68" i="13"/>
  <c r="O67" i="13"/>
  <c r="P221" i="13"/>
  <c r="Q220" i="13"/>
  <c r="O372" i="13"/>
  <c r="P371" i="13"/>
  <c r="N81" i="16" l="1"/>
  <c r="O80" i="16"/>
  <c r="O41" i="16"/>
  <c r="P40" i="16"/>
  <c r="P80" i="17"/>
  <c r="Q79" i="17"/>
  <c r="P52" i="18"/>
  <c r="Q51" i="18"/>
  <c r="O208" i="16"/>
  <c r="P207" i="16"/>
  <c r="T164" i="16"/>
  <c r="U163" i="16"/>
  <c r="O248" i="16"/>
  <c r="P247" i="16"/>
  <c r="U123" i="16"/>
  <c r="V122" i="16"/>
  <c r="T175" i="15"/>
  <c r="U174" i="15"/>
  <c r="O111" i="15"/>
  <c r="P110" i="15"/>
  <c r="U226" i="15"/>
  <c r="V225" i="15"/>
  <c r="O60" i="15"/>
  <c r="P59" i="15"/>
  <c r="P291" i="15"/>
  <c r="Q290" i="15"/>
  <c r="P342" i="15"/>
  <c r="Q341" i="15"/>
  <c r="O144" i="14"/>
  <c r="P143" i="14"/>
  <c r="O69" i="14"/>
  <c r="P68" i="14"/>
  <c r="T297" i="14"/>
  <c r="U296" i="14"/>
  <c r="S222" i="14"/>
  <c r="T221" i="14"/>
  <c r="P375" i="14"/>
  <c r="Q374" i="14"/>
  <c r="P448" i="14"/>
  <c r="Q447" i="14"/>
  <c r="P447" i="13"/>
  <c r="Q446" i="13"/>
  <c r="O143" i="13"/>
  <c r="P142" i="13"/>
  <c r="Q296" i="13"/>
  <c r="R295" i="13"/>
  <c r="O68" i="13"/>
  <c r="P67" i="13"/>
  <c r="Q221" i="13"/>
  <c r="R220" i="13"/>
  <c r="P372" i="13"/>
  <c r="Q371" i="13"/>
  <c r="P41" i="16" l="1"/>
  <c r="Q40" i="16"/>
  <c r="O81" i="16"/>
  <c r="P80" i="16"/>
  <c r="Q80" i="17"/>
  <c r="R79" i="17"/>
  <c r="Q52" i="18"/>
  <c r="R51" i="18"/>
  <c r="V123" i="16"/>
  <c r="W122" i="16"/>
  <c r="U164" i="16"/>
  <c r="V163" i="16"/>
  <c r="P248" i="16"/>
  <c r="Q247" i="16"/>
  <c r="P208" i="16"/>
  <c r="Q207" i="16"/>
  <c r="U175" i="15"/>
  <c r="V174" i="15"/>
  <c r="P60" i="15"/>
  <c r="Q59" i="15"/>
  <c r="P111" i="15"/>
  <c r="Q110" i="15"/>
  <c r="Q342" i="15"/>
  <c r="R341" i="15"/>
  <c r="V226" i="15"/>
  <c r="W225" i="15"/>
  <c r="Q291" i="15"/>
  <c r="R290" i="15"/>
  <c r="P144" i="14"/>
  <c r="Q143" i="14"/>
  <c r="P69" i="14"/>
  <c r="Q68" i="14"/>
  <c r="U297" i="14"/>
  <c r="V296" i="14"/>
  <c r="T222" i="14"/>
  <c r="U221" i="14"/>
  <c r="Q375" i="14"/>
  <c r="R374" i="14"/>
  <c r="Q448" i="14"/>
  <c r="R447" i="14"/>
  <c r="Q447" i="13"/>
  <c r="R446" i="13"/>
  <c r="P143" i="13"/>
  <c r="Q142" i="13"/>
  <c r="R296" i="13"/>
  <c r="S295" i="13"/>
  <c r="P68" i="13"/>
  <c r="Q67" i="13"/>
  <c r="R221" i="13"/>
  <c r="S220" i="13"/>
  <c r="Q372" i="13"/>
  <c r="R371" i="13"/>
  <c r="P81" i="16" l="1"/>
  <c r="Q80" i="16"/>
  <c r="Q41" i="16"/>
  <c r="R40" i="16"/>
  <c r="R80" i="17"/>
  <c r="S79" i="17"/>
  <c r="R52" i="18"/>
  <c r="S51" i="18"/>
  <c r="Q208" i="16"/>
  <c r="R207" i="16"/>
  <c r="V164" i="16"/>
  <c r="W163" i="16"/>
  <c r="Q248" i="16"/>
  <c r="R247" i="16"/>
  <c r="W123" i="16"/>
  <c r="X122" i="16"/>
  <c r="X123" i="16" s="1"/>
  <c r="V175" i="15"/>
  <c r="W174" i="15"/>
  <c r="R291" i="15"/>
  <c r="S290" i="15"/>
  <c r="Q60" i="15"/>
  <c r="R59" i="15"/>
  <c r="R342" i="15"/>
  <c r="S341" i="15"/>
  <c r="W226" i="15"/>
  <c r="X225" i="15"/>
  <c r="X226" i="15" s="1"/>
  <c r="Q111" i="15"/>
  <c r="R110" i="15"/>
  <c r="Q144" i="14"/>
  <c r="R143" i="14"/>
  <c r="Q69" i="14"/>
  <c r="R68" i="14"/>
  <c r="V297" i="14"/>
  <c r="W296" i="14"/>
  <c r="U222" i="14"/>
  <c r="V221" i="14"/>
  <c r="R375" i="14"/>
  <c r="S374" i="14"/>
  <c r="R448" i="14"/>
  <c r="S447" i="14"/>
  <c r="R447" i="13"/>
  <c r="S446" i="13"/>
  <c r="Q143" i="13"/>
  <c r="R142" i="13"/>
  <c r="S296" i="13"/>
  <c r="T295" i="13"/>
  <c r="Q68" i="13"/>
  <c r="R67" i="13"/>
  <c r="S221" i="13"/>
  <c r="T220" i="13"/>
  <c r="R372" i="13"/>
  <c r="S371" i="13"/>
  <c r="R41" i="16" l="1"/>
  <c r="S40" i="16"/>
  <c r="Q81" i="16"/>
  <c r="R80" i="16"/>
  <c r="S80" i="17"/>
  <c r="T79" i="17"/>
  <c r="S52" i="18"/>
  <c r="T51" i="18"/>
  <c r="W164" i="16"/>
  <c r="X163" i="16"/>
  <c r="X164" i="16" s="1"/>
  <c r="R248" i="16"/>
  <c r="S247" i="16"/>
  <c r="R208" i="16"/>
  <c r="S207" i="16"/>
  <c r="W175" i="15"/>
  <c r="X174" i="15"/>
  <c r="X175" i="15" s="1"/>
  <c r="R60" i="15"/>
  <c r="S59" i="15"/>
  <c r="S342" i="15"/>
  <c r="T341" i="15"/>
  <c r="S291" i="15"/>
  <c r="T290" i="15"/>
  <c r="R111" i="15"/>
  <c r="S110" i="15"/>
  <c r="R144" i="14"/>
  <c r="S143" i="14"/>
  <c r="R69" i="14"/>
  <c r="S68" i="14"/>
  <c r="W297" i="14"/>
  <c r="X296" i="14"/>
  <c r="X297" i="14" s="1"/>
  <c r="V222" i="14"/>
  <c r="W221" i="14"/>
  <c r="S375" i="14"/>
  <c r="T374" i="14"/>
  <c r="S448" i="14"/>
  <c r="T447" i="14"/>
  <c r="S447" i="13"/>
  <c r="T446" i="13"/>
  <c r="R143" i="13"/>
  <c r="S142" i="13"/>
  <c r="T296" i="13"/>
  <c r="U295" i="13"/>
  <c r="R68" i="13"/>
  <c r="S67" i="13"/>
  <c r="T221" i="13"/>
  <c r="U220" i="13"/>
  <c r="S372" i="13"/>
  <c r="T371" i="13"/>
  <c r="R81" i="16" l="1"/>
  <c r="S80" i="16"/>
  <c r="S41" i="16"/>
  <c r="T40" i="16"/>
  <c r="T80" i="17"/>
  <c r="U79" i="17"/>
  <c r="T52" i="18"/>
  <c r="U51" i="18"/>
  <c r="S248" i="16"/>
  <c r="T247" i="16"/>
  <c r="S208" i="16"/>
  <c r="T207" i="16"/>
  <c r="T342" i="15"/>
  <c r="U341" i="15"/>
  <c r="T291" i="15"/>
  <c r="U290" i="15"/>
  <c r="S60" i="15"/>
  <c r="T59" i="15"/>
  <c r="S111" i="15"/>
  <c r="T110" i="15"/>
  <c r="S144" i="14"/>
  <c r="T143" i="14"/>
  <c r="S69" i="14"/>
  <c r="T68" i="14"/>
  <c r="W222" i="14"/>
  <c r="X221" i="14"/>
  <c r="X222" i="14" s="1"/>
  <c r="T375" i="14"/>
  <c r="U374" i="14"/>
  <c r="T448" i="14"/>
  <c r="U447" i="14"/>
  <c r="U446" i="13"/>
  <c r="T447" i="13"/>
  <c r="S143" i="13"/>
  <c r="T142" i="13"/>
  <c r="U296" i="13"/>
  <c r="V295" i="13"/>
  <c r="S68" i="13"/>
  <c r="T67" i="13"/>
  <c r="U221" i="13"/>
  <c r="V220" i="13"/>
  <c r="T372" i="13"/>
  <c r="U371" i="13"/>
  <c r="S81" i="16" l="1"/>
  <c r="T80" i="16"/>
  <c r="T41" i="16"/>
  <c r="U40" i="16"/>
  <c r="U80" i="17"/>
  <c r="V79" i="17"/>
  <c r="U52" i="18"/>
  <c r="V51" i="18"/>
  <c r="T208" i="16"/>
  <c r="U207" i="16"/>
  <c r="T248" i="16"/>
  <c r="U247" i="16"/>
  <c r="T111" i="15"/>
  <c r="U110" i="15"/>
  <c r="U291" i="15"/>
  <c r="V290" i="15"/>
  <c r="T60" i="15"/>
  <c r="U59" i="15"/>
  <c r="U342" i="15"/>
  <c r="V341" i="15"/>
  <c r="T144" i="14"/>
  <c r="U143" i="14"/>
  <c r="T69" i="14"/>
  <c r="U68" i="14"/>
  <c r="U375" i="14"/>
  <c r="V374" i="14"/>
  <c r="U448" i="14"/>
  <c r="V447" i="14"/>
  <c r="V446" i="13"/>
  <c r="U447" i="13"/>
  <c r="T143" i="13"/>
  <c r="U142" i="13"/>
  <c r="V296" i="13"/>
  <c r="W295" i="13"/>
  <c r="T68" i="13"/>
  <c r="U67" i="13"/>
  <c r="V221" i="13"/>
  <c r="W220" i="13"/>
  <c r="U372" i="13"/>
  <c r="V371" i="13"/>
  <c r="U41" i="16" l="1"/>
  <c r="V40" i="16"/>
  <c r="T81" i="16"/>
  <c r="U80" i="16"/>
  <c r="V80" i="17"/>
  <c r="W79" i="17"/>
  <c r="V52" i="18"/>
  <c r="W51" i="18"/>
  <c r="U208" i="16"/>
  <c r="V207" i="16"/>
  <c r="U248" i="16"/>
  <c r="V247" i="16"/>
  <c r="V342" i="15"/>
  <c r="W341" i="15"/>
  <c r="V291" i="15"/>
  <c r="W290" i="15"/>
  <c r="U60" i="15"/>
  <c r="V59" i="15"/>
  <c r="U111" i="15"/>
  <c r="V110" i="15"/>
  <c r="U144" i="14"/>
  <c r="V143" i="14"/>
  <c r="U69" i="14"/>
  <c r="V68" i="14"/>
  <c r="V448" i="14"/>
  <c r="W447" i="14"/>
  <c r="V375" i="14"/>
  <c r="W374" i="14"/>
  <c r="V447" i="13"/>
  <c r="W446" i="13"/>
  <c r="U143" i="13"/>
  <c r="V142" i="13"/>
  <c r="W296" i="13"/>
  <c r="X295" i="13"/>
  <c r="X296" i="13" s="1"/>
  <c r="U68" i="13"/>
  <c r="V67" i="13"/>
  <c r="W221" i="13"/>
  <c r="X220" i="13"/>
  <c r="X221" i="13" s="1"/>
  <c r="V372" i="13"/>
  <c r="W371" i="13"/>
  <c r="U81" i="16" l="1"/>
  <c r="V80" i="16"/>
  <c r="V41" i="16"/>
  <c r="W40" i="16"/>
  <c r="W80" i="17"/>
  <c r="X79" i="17"/>
  <c r="X80" i="17" s="1"/>
  <c r="W52" i="18"/>
  <c r="X51" i="18"/>
  <c r="X52" i="18" s="1"/>
  <c r="V248" i="16"/>
  <c r="W247" i="16"/>
  <c r="V208" i="16"/>
  <c r="W207" i="16"/>
  <c r="V111" i="15"/>
  <c r="W110" i="15"/>
  <c r="W291" i="15"/>
  <c r="X290" i="15"/>
  <c r="X291" i="15" s="1"/>
  <c r="V60" i="15"/>
  <c r="W59" i="15"/>
  <c r="W342" i="15"/>
  <c r="X341" i="15"/>
  <c r="X342" i="15" s="1"/>
  <c r="V144" i="14"/>
  <c r="W143" i="14"/>
  <c r="V69" i="14"/>
  <c r="W68" i="14"/>
  <c r="W375" i="14"/>
  <c r="X374" i="14"/>
  <c r="X375" i="14" s="1"/>
  <c r="W448" i="14"/>
  <c r="X447" i="14"/>
  <c r="X448" i="14" s="1"/>
  <c r="W447" i="13"/>
  <c r="X446" i="13"/>
  <c r="X447" i="13" s="1"/>
  <c r="V143" i="13"/>
  <c r="W142" i="13"/>
  <c r="V68" i="13"/>
  <c r="W67" i="13"/>
  <c r="W372" i="13"/>
  <c r="X371" i="13"/>
  <c r="X372" i="13" s="1"/>
  <c r="W41" i="16" l="1"/>
  <c r="X40" i="16"/>
  <c r="X41" i="16" s="1"/>
  <c r="V81" i="16"/>
  <c r="W80" i="16"/>
  <c r="W208" i="16"/>
  <c r="X207" i="16"/>
  <c r="X208" i="16" s="1"/>
  <c r="W248" i="16"/>
  <c r="X247" i="16"/>
  <c r="X248" i="16" s="1"/>
  <c r="W60" i="15"/>
  <c r="X59" i="15"/>
  <c r="X60" i="15" s="1"/>
  <c r="W111" i="15"/>
  <c r="X110" i="15"/>
  <c r="X111" i="15" s="1"/>
  <c r="W144" i="14"/>
  <c r="X143" i="14"/>
  <c r="X144" i="14" s="1"/>
  <c r="W69" i="14"/>
  <c r="X68" i="14"/>
  <c r="X69" i="14" s="1"/>
  <c r="W143" i="13"/>
  <c r="X142" i="13"/>
  <c r="X143" i="13" s="1"/>
  <c r="W68" i="13"/>
  <c r="X67" i="13"/>
  <c r="X68" i="13" s="1"/>
  <c r="W81" i="16" l="1"/>
  <c r="X80" i="16"/>
  <c r="X81"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tc={68726631-E5C8-4518-905B-BE60BB8C5C75}</author>
  </authors>
  <commentList>
    <comment ref="V17" authorId="0" shapeId="0" xr:uid="{68726631-E5C8-4518-905B-BE60BB8C5C75}">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dato no me cuadra mucho, ya tiene en cuenta las superficies de REGEPA de CAT de 2020??? Es raro...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tc={40849C84-EB20-4E60-830B-E8257248B82F}</author>
    <author>tc={FE07B272-C8DE-484C-B85B-487BD480D6F0}</author>
    <author>tc={376DB22E-188E-4CB1-868D-632AB8EAB906}</author>
    <author>tc={918156C9-75ED-4163-9E45-ACE4F1035593}</author>
  </authors>
  <commentList>
    <comment ref="M69" authorId="0" shapeId="0" xr:uid="{40849C84-EB20-4E60-830B-E8257248B82F}">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las CCAA no coincide con el total de ES que se basa en la suma de eco + convencional.</t>
      </text>
    </comment>
    <comment ref="N69" authorId="1" shapeId="0" xr:uid="{FE07B272-C8DE-484C-B85B-487BD480D6F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las CCAA no coincide con el total de ES que se basa en la suma de eco + convencional.</t>
      </text>
    </comment>
    <comment ref="AC69" authorId="2" shapeId="0" xr:uid="{376DB22E-188E-4CB1-868D-632AB8EAB906}">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las CCAA no coincide con el total de ES que se basa en la suma de eco + convencional.</t>
      </text>
    </comment>
    <comment ref="AG69" authorId="3" shapeId="0" xr:uid="{918156C9-75ED-4163-9E45-ACE4F1035593}">
      <text>
        <t>[Comentario encadenado]
Su versión de Excel le permite leer este comentario encadenado; sin embargo, las ediciones que se apliquen se quitarán si el archivo se abre en una versión más reciente de Excel. Más información: https://go.microsoft.com/fwlink/?linkid=870924
Comentario:
    La suma de las CCAA no coincide con el total de ES que se basa en la suma de eco + convencional.</t>
      </text>
    </comment>
  </commentList>
</comments>
</file>

<file path=xl/sharedStrings.xml><?xml version="1.0" encoding="utf-8"?>
<sst xmlns="http://schemas.openxmlformats.org/spreadsheetml/2006/main" count="6185" uniqueCount="355">
  <si>
    <t>CCAA / PROVINCIAS</t>
  </si>
  <si>
    <t>RSU REGEPA (ha)</t>
  </si>
  <si>
    <t>RSU REGEPA 2021 VS 2020</t>
  </si>
  <si>
    <t>Absoluto (ha)</t>
  </si>
  <si>
    <t xml:space="preserve">Relativo </t>
  </si>
  <si>
    <t>ANDALUCÍA</t>
  </si>
  <si>
    <t>ALMERÍA</t>
  </si>
  <si>
    <t>CÁDIZ</t>
  </si>
  <si>
    <t>CÓRDOBA</t>
  </si>
  <si>
    <t>F:\Frutos secos\DATOS 2021_15_02_2022 FS ECO_CONV\BDA_Frutos Secos_Año_Plantacion_RSU_REGEPA_2021_ALM_PIST_Prod_eco_conv.xlsx</t>
  </si>
  <si>
    <r>
      <t>FUENTE</t>
    </r>
    <r>
      <rPr>
        <sz val="10"/>
        <color theme="1"/>
        <rFont val="Calibri"/>
        <family val="2"/>
        <scheme val="minor"/>
      </rPr>
      <t xml:space="preserve">: </t>
    </r>
  </si>
  <si>
    <t>ALMENDRO - SECANO</t>
  </si>
  <si>
    <t>ARAGÓN</t>
  </si>
  <si>
    <t>C. VALENCIANA</t>
  </si>
  <si>
    <t>CATALUÑA</t>
  </si>
  <si>
    <t>C.-LA MANCHA</t>
  </si>
  <si>
    <t>C. y LEÓN</t>
  </si>
  <si>
    <t>EXTREMADURA</t>
  </si>
  <si>
    <t>ISLAS BALEARES</t>
  </si>
  <si>
    <t>ISLAS CANARIAS</t>
  </si>
  <si>
    <t>LA RIOJA</t>
  </si>
  <si>
    <t>MADRID</t>
  </si>
  <si>
    <t>MURCIA</t>
  </si>
  <si>
    <t>NAVARRA</t>
  </si>
  <si>
    <t>PAIS VASCO</t>
  </si>
  <si>
    <t>ESPAÑA</t>
  </si>
  <si>
    <t>GRANADA</t>
  </si>
  <si>
    <t>HUELVA</t>
  </si>
  <si>
    <t>JAÉN</t>
  </si>
  <si>
    <t>MÁLAGA</t>
  </si>
  <si>
    <t>SEVILLA</t>
  </si>
  <si>
    <t>HUESCA</t>
  </si>
  <si>
    <t>TERUEL</t>
  </si>
  <si>
    <t>ZARAGOZA</t>
  </si>
  <si>
    <t>ALICANTE</t>
  </si>
  <si>
    <t>CASTELLON</t>
  </si>
  <si>
    <t>VALENCIA</t>
  </si>
  <si>
    <t>BARCELONA</t>
  </si>
  <si>
    <t>GIRONA</t>
  </si>
  <si>
    <t>LLEIDA</t>
  </si>
  <si>
    <t>TARRAGONA</t>
  </si>
  <si>
    <t>ALBACETE</t>
  </si>
  <si>
    <t>CIUDAD REAL</t>
  </si>
  <si>
    <t>CUENCA</t>
  </si>
  <si>
    <t>GUADALAJARA</t>
  </si>
  <si>
    <t>TOLEDO</t>
  </si>
  <si>
    <t>ÁVILA</t>
  </si>
  <si>
    <t>BURGOS</t>
  </si>
  <si>
    <t>LEÓN</t>
  </si>
  <si>
    <t>PALENCIA</t>
  </si>
  <si>
    <t>SALAMANCA</t>
  </si>
  <si>
    <t>SEGOVIA</t>
  </si>
  <si>
    <t>SORIA</t>
  </si>
  <si>
    <t>VALLADOLID</t>
  </si>
  <si>
    <t>ZAMORA</t>
  </si>
  <si>
    <t>BADAJOZ</t>
  </si>
  <si>
    <t>CÁCERES</t>
  </si>
  <si>
    <t>LAS PALMAS</t>
  </si>
  <si>
    <t>S.C. DE TENERFIE</t>
  </si>
  <si>
    <t>ÁLAVA</t>
  </si>
  <si>
    <t>ALMENDRO - REGADÍO</t>
  </si>
  <si>
    <t>CASTELLÓN</t>
  </si>
  <si>
    <t>S.C. DE TENERIFE</t>
  </si>
  <si>
    <t>PISTACHO - SECANO</t>
  </si>
  <si>
    <t>GALICIA</t>
  </si>
  <si>
    <t>LUGO</t>
  </si>
  <si>
    <t>OURENSE</t>
  </si>
  <si>
    <t>PISTACHO - REGADÍO</t>
  </si>
  <si>
    <t>AVELLANO - SECANO</t>
  </si>
  <si>
    <t>ASTURIAS</t>
  </si>
  <si>
    <t>CANTABRIA</t>
  </si>
  <si>
    <t>A CORUÑA</t>
  </si>
  <si>
    <t>PONTEVEDRA</t>
  </si>
  <si>
    <t>GUIPÚZCOA</t>
  </si>
  <si>
    <t>VIZCAYA</t>
  </si>
  <si>
    <t>AVELLANO - REGADÍO</t>
  </si>
  <si>
    <t>PAÍS VASCO</t>
  </si>
  <si>
    <t>ALGARROBO - SECANO</t>
  </si>
  <si>
    <t>ALMERIA</t>
  </si>
  <si>
    <t>ALGARROBO - REGADÍO</t>
  </si>
  <si>
    <t>ANÁLISIS CONJUNTO DEL SECTOR</t>
  </si>
  <si>
    <t>RSU REGEPA (ha)  Convencional + Ecológica</t>
  </si>
  <si>
    <t>RSU REGEPA (ha)  Ecológica</t>
  </si>
  <si>
    <t>% Ecológica / Total</t>
  </si>
  <si>
    <t>..\Frutas de hueso\BDA_Frutales de Hueso_Año_Plantacion_RSU_REGEPA_2021_ con tabla códigos.xlsx</t>
  </si>
  <si>
    <t>NOGAL</t>
  </si>
  <si>
    <t>I. BALEARES</t>
  </si>
  <si>
    <t>CASTAÑO</t>
  </si>
  <si>
    <t>CCAA/PROVINCIAS</t>
  </si>
  <si>
    <t>&lt;2.000</t>
  </si>
  <si>
    <t>Sin info de edad</t>
  </si>
  <si>
    <t>Total general</t>
  </si>
  <si>
    <t>Distribución Territorial</t>
  </si>
  <si>
    <t>Plantaciones en producción (Mayores o iguales 5 años)</t>
  </si>
  <si>
    <t>Plantaciones SIN INFO de edad</t>
  </si>
  <si>
    <t>Sin INFO de edad S. Equiv Almendro cultivo asociado</t>
  </si>
  <si>
    <t>Total</t>
  </si>
  <si>
    <t>Plantº Jóvenes</t>
  </si>
  <si>
    <t>PRODUCCIÓN ECOLÓGICA</t>
  </si>
  <si>
    <t>CCAA</t>
  </si>
  <si>
    <t>&lt;2,000</t>
  </si>
  <si>
    <t>RSU REGEPA - CULTIVO ASOCIADO (Superficie Equivalente Almendro)</t>
  </si>
  <si>
    <t>DATOS 2021_15_02_2022 FS ECO_CONV\BDA_Frutos Secos_Año_Plantacion_RSU_REGEPA_2021_AVELL_ALG_Prod_eco_conv (1).xlsx</t>
  </si>
  <si>
    <t>ALMENDRO</t>
  </si>
  <si>
    <t>PISTACHO</t>
  </si>
  <si>
    <t>AVELLANO</t>
  </si>
  <si>
    <t>ALGARROBO</t>
  </si>
  <si>
    <t>Plantaciones Jóvenes (Menores de 5 años: 2021 - 2018 incl)</t>
  </si>
  <si>
    <t>Plantaciones Jóvenes (Menores de 4 años: 2021 - 2019 incl)</t>
  </si>
  <si>
    <t>PRODUCCIÓN CONVENCIONAL</t>
  </si>
  <si>
    <t>Plantaciones en producción (Mayores o iguales a 4 años)</t>
  </si>
  <si>
    <t>→ ECOLÓGICO: SECANO - REGADÍO</t>
  </si>
  <si>
    <t>→ CONVENCIONAL: SECANO - REGADÍO</t>
  </si>
  <si>
    <t>VARIEDAD</t>
  </si>
  <si>
    <t>GUARA</t>
  </si>
  <si>
    <t>COMUNA</t>
  </si>
  <si>
    <t>LARGUETA</t>
  </si>
  <si>
    <t>MARCONA</t>
  </si>
  <si>
    <t>FERRAGNES</t>
  </si>
  <si>
    <t>VAIRO</t>
  </si>
  <si>
    <t>DESMAYO ROJO</t>
  </si>
  <si>
    <t>FERRADUEL</t>
  </si>
  <si>
    <t>SIN VARIEDAD</t>
  </si>
  <si>
    <t>OTRAS VARIEDADES</t>
  </si>
  <si>
    <t>TOTAL</t>
  </si>
  <si>
    <t>SOLETA</t>
  </si>
  <si>
    <t>MARINADA</t>
  </si>
  <si>
    <t>PENTACEBAS CSIC</t>
  </si>
  <si>
    <t xml:space="preserve">PRODUCCIÓN ECOLÓGICA </t>
  </si>
  <si>
    <t xml:space="preserve"> PRODUCCIÓN CONVENCIONAL</t>
  </si>
  <si>
    <t>SUPERFICIE TOTAL</t>
  </si>
  <si>
    <t>ALMENDRO SECANO TOTAL</t>
  </si>
  <si>
    <t>ALMENDRO SECANO ECOLÓGICO</t>
  </si>
  <si>
    <t>ALMENDRO SECANO CONVENCIONAL</t>
  </si>
  <si>
    <t>&lt;2000</t>
  </si>
  <si>
    <t>→ TOTAL: SECANO - REGADÍO</t>
  </si>
  <si>
    <t>PRODUCCIÓN TOTAL</t>
  </si>
  <si>
    <t>ALMENDRO SECANO</t>
  </si>
  <si>
    <t>ALMENDRO REGADÍO</t>
  </si>
  <si>
    <t>DATOS DE SUPERFICIE REGISTRADA (RSU REGEPA 2021)</t>
  </si>
  <si>
    <t>INFORMACIÓN SOBRE LA EDAD DE PLANTACIÓN</t>
  </si>
  <si>
    <t>FRUTOS SECOS</t>
  </si>
  <si>
    <t>ANÁLISIS DEL SECTOR ECOLÓGICO</t>
  </si>
  <si>
    <t>Volver al:</t>
  </si>
  <si>
    <t>ÍNDICE</t>
  </si>
  <si>
    <t>ALMENDRO REGADÍO TOTAL</t>
  </si>
  <si>
    <t>ALMENDRO REGADÍO ECOLÓGICO</t>
  </si>
  <si>
    <t>ALMENDRO REGADÍO CONVENCIONAL</t>
  </si>
  <si>
    <t>INFORMACIÓN SOBRE VARIEDADES</t>
  </si>
  <si>
    <t>KERMAN</t>
  </si>
  <si>
    <t>SIRORA</t>
  </si>
  <si>
    <t>LARNAKA</t>
  </si>
  <si>
    <t>AVDAT</t>
  </si>
  <si>
    <t>MATEUR</t>
  </si>
  <si>
    <t>AEGINA</t>
  </si>
  <si>
    <t>LOST HILLS</t>
  </si>
  <si>
    <t>PETER</t>
  </si>
  <si>
    <t>GOLDENS HILLS</t>
  </si>
  <si>
    <t>KASTEL</t>
  </si>
  <si>
    <t xml:space="preserve">PRODUCCIÓN CONVENCIONAL </t>
  </si>
  <si>
    <t>ASKAR</t>
  </si>
  <si>
    <t>PISTACHO SECANO</t>
  </si>
  <si>
    <t>PISTACHO REGADÍO</t>
  </si>
  <si>
    <t>AVELLANO SECANO</t>
  </si>
  <si>
    <t>NEGRET</t>
  </si>
  <si>
    <t>PAUETET</t>
  </si>
  <si>
    <t>NEGKRETTA</t>
  </si>
  <si>
    <t>SAN GIOVANNI</t>
  </si>
  <si>
    <t>TONDA DI GIFFONI</t>
  </si>
  <si>
    <t>CASTANYERA</t>
  </si>
  <si>
    <t>BUTLER</t>
  </si>
  <si>
    <t>ENNIS</t>
  </si>
  <si>
    <t>FERTILE DE COUTARD</t>
  </si>
  <si>
    <t>AVELLANO REGADÍO</t>
  </si>
  <si>
    <t>TONDA GENTILE ROMANA</t>
  </si>
  <si>
    <t>MATALAFERA</t>
  </si>
  <si>
    <t>NEGRA</t>
  </si>
  <si>
    <t>RAMILLETE</t>
  </si>
  <si>
    <t>MELERA</t>
  </si>
  <si>
    <t>BANYA DE CABRA</t>
  </si>
  <si>
    <t>CASTELLANA</t>
  </si>
  <si>
    <t>BRAVÍA</t>
  </si>
  <si>
    <t>COSTILLA DE ASNO</t>
  </si>
  <si>
    <t>CACHES</t>
  </si>
  <si>
    <t>CASUDA</t>
  </si>
  <si>
    <t>ALGARROBO SECANO</t>
  </si>
  <si>
    <t>BUGADERA</t>
  </si>
  <si>
    <t>DURAIO</t>
  </si>
  <si>
    <t>RALLADORA</t>
  </si>
  <si>
    <t>ALGARROBO REGADÍO</t>
  </si>
  <si>
    <t>PISTACHO SECANO TOTAL</t>
  </si>
  <si>
    <t>PISTACHO SECANO ECOLÓGICO</t>
  </si>
  <si>
    <t>PISTACHO SECANO CONVENCIONAL</t>
  </si>
  <si>
    <t>PISTACHO REGADÍO TOTAL</t>
  </si>
  <si>
    <t>PISTACHO REGADÍO ECOLÓGICO</t>
  </si>
  <si>
    <t>PISTACHO REGADÍO CONVENCIONAL</t>
  </si>
  <si>
    <t xml:space="preserve"> TOTAL</t>
  </si>
  <si>
    <t xml:space="preserve"> ECOLÓGICO</t>
  </si>
  <si>
    <t xml:space="preserve"> CONVENCIONAL</t>
  </si>
  <si>
    <t>AVELLANO SECANO TOTAL</t>
  </si>
  <si>
    <t>AVELLANO SECANO ECOLÓGICO</t>
  </si>
  <si>
    <t>AVELLANO SECANO CONVENCIONAL</t>
  </si>
  <si>
    <t>ILLES BALEARS</t>
  </si>
  <si>
    <t>AVELLANO REGADÍO TOTAL</t>
  </si>
  <si>
    <t>AVELLANO REGADÍO ECOLÓGICO</t>
  </si>
  <si>
    <t>AVELLANO REGADÍO CONVENCIONAL</t>
  </si>
  <si>
    <t>ALGARROBO SECANO TOTAL</t>
  </si>
  <si>
    <t>ALGARROBO SECANO ECOLÓGICO</t>
  </si>
  <si>
    <t>ALGARROBO SECANO CONVENCIONAL</t>
  </si>
  <si>
    <t>ALGARROBO REGADÍO TOTAL</t>
  </si>
  <si>
    <t>ALGARROBO REGADÍO ECOLÓGICO</t>
  </si>
  <si>
    <t>ALGARROBO REGADÍO CONVENCIONAL</t>
  </si>
  <si>
    <t>ECOLÓGICO + CONVENCIONAL</t>
  </si>
  <si>
    <t>ECOLÓGICO</t>
  </si>
  <si>
    <t>ECOLÓGICO (SECANO-REGADÍO)</t>
  </si>
  <si>
    <t>CONVENCIONAL (SECANO-REGADÍO)</t>
  </si>
  <si>
    <t>TOTAL (SECANO-REGADÍO)</t>
  </si>
  <si>
    <t>SUPERFICIES ANUALES (ha)</t>
  </si>
  <si>
    <t>REPRESENTATIVIDAD: RSU REGEPA VS SUPERFICIES ANUALES (%)</t>
  </si>
  <si>
    <t>REPRESENTATIVIDAD DE LOS DATOS DE SUPERFICIE (ha)</t>
  </si>
  <si>
    <t>ESYRCE</t>
  </si>
  <si>
    <t>2021 SUPERFICIES DE PRODUCCIÓN_FdC_(2013-2020).xlsx</t>
  </si>
  <si>
    <t>..\Frutas de hueso\BDA_Frutales de Hueso_Año_Plantacion_RSU_REGEPA_2021.xlsx</t>
  </si>
  <si>
    <t>SECANO</t>
  </si>
  <si>
    <t>REGADÍO</t>
  </si>
  <si>
    <t>PRINCIPALES CCAA PRODUCTORAS</t>
  </si>
  <si>
    <t>RSU REGEPA 2020</t>
  </si>
  <si>
    <t>VARIACIÓN INTERANUAL</t>
  </si>
  <si>
    <t>RSU REGEPA 2021</t>
  </si>
  <si>
    <t>SUP.ANUALES 2021</t>
  </si>
  <si>
    <t>VARIACIÓN</t>
  </si>
  <si>
    <t>C. Y LEÓN</t>
  </si>
  <si>
    <t>espanayccaa_tcm30-584075.xls</t>
  </si>
  <si>
    <t>ESYRCE* (ha)</t>
  </si>
  <si>
    <t xml:space="preserve">* Se utiliza ESYRCE en este caso porque no existe información sobre este cultivo en Anuario. </t>
  </si>
  <si>
    <t>REPRESENTATIVIDAD: RSU REGEPA VS ESYRCE (%)</t>
  </si>
  <si>
    <r>
      <t>PISTACHO - SECANO</t>
    </r>
    <r>
      <rPr>
        <sz val="12"/>
        <color rgb="FFC0504D"/>
        <rFont val="Arial Rounded MT Bold"/>
        <family val="2"/>
      </rPr>
      <t xml:space="preserve">     </t>
    </r>
    <r>
      <rPr>
        <sz val="12"/>
        <color rgb="FFC0504D"/>
        <rFont val="Calibri"/>
        <family val="2"/>
      </rPr>
      <t>→</t>
    </r>
  </si>
  <si>
    <r>
      <t>PISTACHO - REGADÍO</t>
    </r>
    <r>
      <rPr>
        <sz val="12"/>
        <color rgb="FF0033CC"/>
        <rFont val="Arial Rounded MT Bold"/>
        <family val="2"/>
      </rPr>
      <t xml:space="preserve">    </t>
    </r>
    <r>
      <rPr>
        <sz val="12"/>
        <color rgb="FF0033CC"/>
        <rFont val="Calibri"/>
        <family val="2"/>
      </rPr>
      <t>→</t>
    </r>
  </si>
  <si>
    <r>
      <t>AVELLANO - SECANO</t>
    </r>
    <r>
      <rPr>
        <sz val="12"/>
        <color rgb="FFC0504D"/>
        <rFont val="Arial Rounded MT Bold"/>
        <family val="2"/>
      </rPr>
      <t xml:space="preserve">     </t>
    </r>
    <r>
      <rPr>
        <sz val="12"/>
        <color rgb="FFC0504D"/>
        <rFont val="Calibri"/>
        <family val="2"/>
      </rPr>
      <t>→</t>
    </r>
  </si>
  <si>
    <r>
      <t>AVELLANO - REGADÍO</t>
    </r>
    <r>
      <rPr>
        <sz val="12"/>
        <color rgb="FF0033CC"/>
        <rFont val="Arial Rounded MT Bold"/>
        <family val="2"/>
      </rPr>
      <t xml:space="preserve">    </t>
    </r>
    <r>
      <rPr>
        <sz val="12"/>
        <color rgb="FF0033CC"/>
        <rFont val="Calibri"/>
        <family val="2"/>
      </rPr>
      <t>→</t>
    </r>
  </si>
  <si>
    <r>
      <t>ALGARROBO - SECANO</t>
    </r>
    <r>
      <rPr>
        <sz val="12"/>
        <color rgb="FFC0504D"/>
        <rFont val="Arial Rounded MT Bold"/>
        <family val="2"/>
      </rPr>
      <t xml:space="preserve">     </t>
    </r>
    <r>
      <rPr>
        <sz val="12"/>
        <color rgb="FFC0504D"/>
        <rFont val="Calibri"/>
        <family val="2"/>
      </rPr>
      <t>→</t>
    </r>
  </si>
  <si>
    <r>
      <t>ALGARROBO - REGADÍO</t>
    </r>
    <r>
      <rPr>
        <sz val="12"/>
        <color rgb="FF0033CC"/>
        <rFont val="Arial Rounded MT Bold"/>
        <family val="2"/>
      </rPr>
      <t xml:space="preserve">    </t>
    </r>
    <r>
      <rPr>
        <sz val="12"/>
        <color rgb="FF0033CC"/>
        <rFont val="Calibri"/>
        <family val="2"/>
      </rPr>
      <t>→</t>
    </r>
  </si>
  <si>
    <t>CONVENCIONAL</t>
  </si>
  <si>
    <t>Ir a:</t>
  </si>
  <si>
    <r>
      <t>ALMENDRO - REGADÍO</t>
    </r>
    <r>
      <rPr>
        <sz val="12"/>
        <color rgb="FF0033CC"/>
        <rFont val="Arial Rounded MT Bold"/>
        <family val="2"/>
      </rPr>
      <t xml:space="preserve"> </t>
    </r>
  </si>
  <si>
    <r>
      <t>ALMENDRO - SECANO</t>
    </r>
    <r>
      <rPr>
        <sz val="12"/>
        <color rgb="FFC0504D"/>
        <rFont val="Arial Rounded MT Bold"/>
        <family val="2"/>
      </rPr>
      <t xml:space="preserve">  </t>
    </r>
  </si>
  <si>
    <t>Representatividad</t>
  </si>
  <si>
    <t>Variación</t>
  </si>
  <si>
    <t>ANDALUCIA</t>
  </si>
  <si>
    <t>SUP.ANUALES 2021 (ESYRCE)</t>
  </si>
  <si>
    <t xml:space="preserve">RSU REGEPA 2021 </t>
  </si>
  <si>
    <t>RSU REGEPA ECOLÓGICA 2021</t>
  </si>
  <si>
    <t>RSU REGEPA  2021</t>
  </si>
  <si>
    <t xml:space="preserve">Superficie plantada en ES </t>
  </si>
  <si>
    <t>Variación Interanual</t>
  </si>
  <si>
    <t>PRINCIPALES REGIONES PRODUCTORAS</t>
  </si>
  <si>
    <t>Plantaciones jóvenes</t>
  </si>
  <si>
    <t>% plant jóvenes</t>
  </si>
  <si>
    <t>CONVENCIONAL (SEC-REG)</t>
  </si>
  <si>
    <t>ALMENDRA: Secano</t>
  </si>
  <si>
    <t>% plantaciones</t>
  </si>
  <si>
    <t>% plantaciones jóvenes</t>
  </si>
  <si>
    <t>CONSTANTI</t>
  </si>
  <si>
    <t>ANTOÑETA</t>
  </si>
  <si>
    <t>ISABELONA</t>
  </si>
  <si>
    <t>MARTA</t>
  </si>
  <si>
    <t>NON PAREIL</t>
  </si>
  <si>
    <t>RESTO VARIEDADES</t>
  </si>
  <si>
    <t>Plantaciones en producción (anteriores a 2018)</t>
  </si>
  <si>
    <t>Plantaciones jóvenes (a partir de 2018 inlc.)</t>
  </si>
  <si>
    <t>ALMENDRA: Regadío</t>
  </si>
  <si>
    <t>SIN VARIEDADES</t>
  </si>
  <si>
    <t>Plantaciones en producción (anteriores a 2019)</t>
  </si>
  <si>
    <t>Plantaciones jóvenes (a partir de 2019 inlc.)</t>
  </si>
  <si>
    <t>EVOLUCIÓN DE PLANTACIONES (Variedades tradicionales/Nuevas plantaciones)</t>
  </si>
  <si>
    <t>PISTACHO: Secano</t>
  </si>
  <si>
    <t>PISTACHO: Regadío</t>
  </si>
  <si>
    <t>2021 vs 2020</t>
  </si>
  <si>
    <t>.</t>
  </si>
  <si>
    <t>Plantaciones Jóvenes (Menores de 5 años: 2021 - 2017 incl)</t>
  </si>
  <si>
    <t>FRUTOS SECOS TOTAL</t>
  </si>
  <si>
    <t>ÍNDICE DE ANÁLISIS DE REALIDAD PRODUCTIVA DEL SECTOR DE FRUTOS SECOS. DATOS 2021</t>
  </si>
  <si>
    <t>Representatividad 2021</t>
  </si>
  <si>
    <t>REPRESENTATIVIDAD 2021</t>
  </si>
  <si>
    <t>REPRESENTATIVIDAD 2020</t>
  </si>
  <si>
    <t>Representatividad 2020</t>
  </si>
  <si>
    <t>RSU - REGEPA 20221</t>
  </si>
  <si>
    <t>PISTACHO SEC</t>
  </si>
  <si>
    <t>PISTACHO REG</t>
  </si>
  <si>
    <t>PISTACHO TOTAL</t>
  </si>
  <si>
    <t>ALMENDRO SEC</t>
  </si>
  <si>
    <t>ALMENDRO REG</t>
  </si>
  <si>
    <t>ALMENDRO TOTAL</t>
  </si>
  <si>
    <t>RSU - REGEPA 2021</t>
  </si>
  <si>
    <t>AVELLANO SEC</t>
  </si>
  <si>
    <t>AVELLANO REG</t>
  </si>
  <si>
    <t>AVELLANO TOTAL</t>
  </si>
  <si>
    <t>ALGARROBO SEC</t>
  </si>
  <si>
    <t>ALGARROBO REG</t>
  </si>
  <si>
    <t>ALGARROBO TOTAL</t>
  </si>
  <si>
    <t xml:space="preserve">* En la superficie registrada en Solicitud Única y REGEPA en ecológico sólo se recoge la superficie declarada con el cultivo de almendro, no aquella superficie equivalente declarada bajo el código 125 (F. Secos), este aspecto tiene incidencia en la superficie de Islas Baleares y Com. Valenciana. </t>
  </si>
  <si>
    <t>% Ecológica/Total</t>
  </si>
  <si>
    <t>Ecológico/Total</t>
  </si>
  <si>
    <t>Sist Cultivo/Total</t>
  </si>
  <si>
    <t>Sup Registrada</t>
  </si>
  <si>
    <t>SUP AVE ECO SEC</t>
  </si>
  <si>
    <t>SUP AVE ECO REG</t>
  </si>
  <si>
    <t>SUP AVE ECO TOTAL</t>
  </si>
  <si>
    <t>OTRAS</t>
  </si>
  <si>
    <t>SUP ALG ECO SEC</t>
  </si>
  <si>
    <t>SUP ALG ECO REG</t>
  </si>
  <si>
    <t>SUP ALG ECO TOTAL</t>
  </si>
  <si>
    <t>Plantº jóvenes</t>
  </si>
  <si>
    <t>SUMA DE LAS CCAA</t>
  </si>
  <si>
    <t>OTRAS CC.AA.</t>
  </si>
  <si>
    <t>LAURANNE/AVIJOR</t>
  </si>
  <si>
    <t>RSU REGEPA</t>
  </si>
  <si>
    <t xml:space="preserve">CASTAÑO </t>
  </si>
  <si>
    <t>España</t>
  </si>
  <si>
    <t xml:space="preserve">RSU REGEPA </t>
  </si>
  <si>
    <t>SUP ANUAL</t>
  </si>
  <si>
    <t>CASTILLA Y LEÓN</t>
  </si>
  <si>
    <t>TOTAL FRUTOS SECOS</t>
  </si>
  <si>
    <t>RESTO CC.AA.</t>
  </si>
  <si>
    <t>SUPERFICIES ANUALES O ESYRCE</t>
  </si>
  <si>
    <t>DATOS AGREGADOS POR CC.AA.</t>
  </si>
  <si>
    <t>ALMENDRO 2021</t>
  </si>
  <si>
    <t>PISTACHO 2021</t>
  </si>
  <si>
    <t>AVELLANA 2021</t>
  </si>
  <si>
    <t>ALGARROBA 2021</t>
  </si>
  <si>
    <t>CASTAÑO 2021</t>
  </si>
  <si>
    <t>NOGAL 2021</t>
  </si>
  <si>
    <t>TOTAL FRUTOS SECOS 2021</t>
  </si>
  <si>
    <t>ALMENDRO 2020</t>
  </si>
  <si>
    <t>PISTACHO 2020</t>
  </si>
  <si>
    <t>AVELLANA 2020</t>
  </si>
  <si>
    <t>ALGARROBA 2020</t>
  </si>
  <si>
    <t>CASTAÑO 2020</t>
  </si>
  <si>
    <t>NOGAL 2020</t>
  </si>
  <si>
    <t>TOTAL FRUTOS SECOS 2020</t>
  </si>
  <si>
    <t>VARIACIÓN 2021 VS 2020</t>
  </si>
  <si>
    <t>NUEVAS PLANTACIONES</t>
  </si>
  <si>
    <t>Hectáreas Nuevas plantaciones</t>
  </si>
  <si>
    <t xml:space="preserve">RESUMEN ALMENDRO </t>
  </si>
  <si>
    <t xml:space="preserve">SECANO </t>
  </si>
  <si>
    <t xml:space="preserve">ARAGÓN </t>
  </si>
  <si>
    <t>ALM ECO SEC</t>
  </si>
  <si>
    <t>ALM ECO REG</t>
  </si>
  <si>
    <t>ALM ECO TOTAL</t>
  </si>
  <si>
    <t>PIST ECO SEC</t>
  </si>
  <si>
    <t>PIST ECO REG</t>
  </si>
  <si>
    <t>PIST ECO TOTAL</t>
  </si>
  <si>
    <t>C.y LEÓN</t>
  </si>
  <si>
    <t>Ecológico</t>
  </si>
  <si>
    <t>Convencional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</si>
</sst>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 &quot;€&quot;"/>
    <numFmt numFmtId="167" formatCode="0.000%"/>
    <numFmt numFmtId="168" formatCode="0.00000%"/>
  </numFmts>
  <fonts count="8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0"/>
      <color theme="1"/>
      <name val="Calibri"/>
      <family val="2"/>
      <scheme val="minor"/>
    </font>
    <font>
      <sz val="10"/>
      <color theme="1"/>
      <name val="Calibri"/>
      <family val="2"/>
      <scheme val="minor"/>
    </font>
    <font>
      <u/>
      <sz val="11"/>
      <color theme="10"/>
      <name val="Calibri"/>
      <family val="2"/>
      <scheme val="minor"/>
    </font>
    <font>
      <b/>
      <sz val="18"/>
      <color theme="1"/>
      <name val="Calibri"/>
      <family val="2"/>
      <scheme val="minor"/>
    </font>
    <font>
      <b/>
      <sz val="11"/>
      <color rgb="FF000000"/>
      <name val="Calibri"/>
      <family val="2"/>
    </font>
    <font>
      <sz val="11"/>
      <color theme="1"/>
      <name val="Calibri"/>
      <family val="2"/>
    </font>
    <font>
      <b/>
      <sz val="11"/>
      <color rgb="FFFFFFFF"/>
      <name val="Calibri"/>
      <family val="2"/>
    </font>
    <font>
      <sz val="11"/>
      <color rgb="FF000000"/>
      <name val="Calibri"/>
      <family val="2"/>
    </font>
    <font>
      <b/>
      <sz val="11"/>
      <color theme="1"/>
      <name val="Calibri"/>
      <family val="2"/>
    </font>
    <font>
      <sz val="11"/>
      <name val="Calibri"/>
      <family val="2"/>
      <scheme val="minor"/>
    </font>
    <font>
      <b/>
      <sz val="11"/>
      <color theme="0"/>
      <name val="Calibri"/>
      <family val="2"/>
    </font>
    <font>
      <b/>
      <sz val="14"/>
      <color rgb="FF663300"/>
      <name val="Calibri"/>
      <family val="2"/>
      <scheme val="minor"/>
    </font>
    <font>
      <b/>
      <sz val="12"/>
      <color theme="0" tint="-4.9989318521683403E-2"/>
      <name val="Calibri"/>
      <family val="2"/>
      <scheme val="minor"/>
    </font>
    <font>
      <b/>
      <sz val="10"/>
      <color theme="0" tint="-4.9989318521683403E-2"/>
      <name val="Calibri"/>
      <family val="2"/>
      <scheme val="minor"/>
    </font>
    <font>
      <b/>
      <sz val="12"/>
      <color theme="0"/>
      <name val="Calibri"/>
      <family val="2"/>
      <scheme val="minor"/>
    </font>
    <font>
      <b/>
      <sz val="11"/>
      <color theme="0" tint="-4.9989318521683403E-2"/>
      <name val="Calibri"/>
      <family val="2"/>
      <scheme val="minor"/>
    </font>
    <font>
      <b/>
      <sz val="11"/>
      <name val="Calibri"/>
      <family val="2"/>
      <scheme val="minor"/>
    </font>
    <font>
      <b/>
      <sz val="10"/>
      <color theme="0"/>
      <name val="Calibri"/>
      <family val="2"/>
      <scheme val="minor"/>
    </font>
    <font>
      <b/>
      <sz val="14"/>
      <color rgb="FFFF0000"/>
      <name val="Calibri"/>
      <family val="2"/>
      <scheme val="minor"/>
    </font>
    <font>
      <b/>
      <sz val="10"/>
      <color rgb="FFF2F2F2"/>
      <name val="Calibri"/>
      <family val="2"/>
    </font>
    <font>
      <b/>
      <sz val="9"/>
      <color theme="0"/>
      <name val="Calibri"/>
      <family val="2"/>
      <scheme val="minor"/>
    </font>
    <font>
      <b/>
      <sz val="24"/>
      <color theme="1"/>
      <name val="Calibri"/>
      <family val="2"/>
      <scheme val="minor"/>
    </font>
    <font>
      <b/>
      <sz val="14"/>
      <color theme="0"/>
      <name val="Calibri"/>
      <family val="2"/>
      <scheme val="minor"/>
    </font>
    <font>
      <b/>
      <sz val="12"/>
      <color theme="1"/>
      <name val="Calibri"/>
      <family val="2"/>
      <scheme val="minor"/>
    </font>
    <font>
      <b/>
      <u/>
      <sz val="11"/>
      <color theme="10"/>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b/>
      <sz val="12"/>
      <color rgb="FFFF0000"/>
      <name val="Calibri"/>
      <family val="2"/>
      <scheme val="minor"/>
    </font>
    <font>
      <b/>
      <sz val="12"/>
      <color theme="1"/>
      <name val="Calibri"/>
      <family val="2"/>
    </font>
    <font>
      <u/>
      <sz val="14"/>
      <color rgb="FFC0504D"/>
      <name val="Arial Rounded MT Bold"/>
      <family val="2"/>
    </font>
    <font>
      <b/>
      <i/>
      <sz val="14"/>
      <color indexed="8"/>
      <name val="Calibri"/>
      <family val="2"/>
      <scheme val="minor"/>
    </font>
    <font>
      <b/>
      <sz val="11"/>
      <color rgb="FF993300"/>
      <name val="Calibri"/>
      <family val="2"/>
      <scheme val="minor"/>
    </font>
    <font>
      <b/>
      <sz val="11"/>
      <color rgb="FFCC706E"/>
      <name val="Calibri"/>
      <family val="2"/>
      <scheme val="minor"/>
    </font>
    <font>
      <b/>
      <sz val="12"/>
      <name val="Calibri"/>
      <family val="2"/>
      <scheme val="minor"/>
    </font>
    <font>
      <b/>
      <sz val="12"/>
      <color rgb="FFC0504D"/>
      <name val="Calibri"/>
      <family val="2"/>
      <scheme val="minor"/>
    </font>
    <font>
      <b/>
      <sz val="11"/>
      <color rgb="FF6374CB"/>
      <name val="Calibri"/>
      <family val="2"/>
      <scheme val="minor"/>
    </font>
    <font>
      <b/>
      <sz val="12"/>
      <color rgb="FF0033CC"/>
      <name val="Calibri"/>
      <family val="2"/>
      <scheme val="minor"/>
    </font>
    <font>
      <u/>
      <sz val="14"/>
      <color rgb="FF0033CC"/>
      <name val="Arial Rounded MT Bold"/>
      <family val="2"/>
    </font>
    <font>
      <u/>
      <sz val="12"/>
      <color rgb="FFC0504D"/>
      <name val="Arial Rounded MT Bold"/>
      <family val="2"/>
    </font>
    <font>
      <u/>
      <sz val="12"/>
      <color rgb="FF0033CC"/>
      <name val="Arial Rounded MT Bold"/>
      <family val="2"/>
    </font>
    <font>
      <b/>
      <sz val="12"/>
      <color theme="9" tint="-0.249977111117893"/>
      <name val="Calibri"/>
      <family val="2"/>
      <scheme val="minor"/>
    </font>
    <font>
      <b/>
      <sz val="12"/>
      <color theme="5" tint="-0.499984740745262"/>
      <name val="Calibri"/>
      <family val="2"/>
      <scheme val="minor"/>
    </font>
    <font>
      <u/>
      <sz val="14"/>
      <color rgb="FF7030A0"/>
      <name val="Arial Rounded MT Bold"/>
      <family val="2"/>
    </font>
    <font>
      <b/>
      <sz val="11"/>
      <color rgb="FF9966FF"/>
      <name val="Calibri"/>
      <family val="2"/>
      <scheme val="minor"/>
    </font>
    <font>
      <sz val="14"/>
      <color rgb="FFC0504D"/>
      <name val="Arial Rounded MT Bold"/>
      <family val="2"/>
    </font>
    <font>
      <sz val="11"/>
      <color rgb="FFAC4F10"/>
      <name val="Arial Rounded MT Bold"/>
      <family val="2"/>
    </font>
    <font>
      <sz val="14"/>
      <color theme="1"/>
      <name val="Arial Rounded MT Bold"/>
      <family val="2"/>
    </font>
    <font>
      <u/>
      <sz val="11"/>
      <name val="Calibri"/>
      <family val="2"/>
      <scheme val="minor"/>
    </font>
    <font>
      <b/>
      <sz val="12"/>
      <color rgb="FF996633"/>
      <name val="Calibri"/>
      <family val="2"/>
      <scheme val="minor"/>
    </font>
    <font>
      <sz val="11"/>
      <color rgb="FFFF0000"/>
      <name val="Calibri"/>
      <family val="2"/>
      <scheme val="minor"/>
    </font>
    <font>
      <sz val="12"/>
      <color rgb="FFC0504D"/>
      <name val="Arial Rounded MT Bold"/>
      <family val="2"/>
    </font>
    <font>
      <sz val="12"/>
      <color rgb="FFC0504D"/>
      <name val="Calibri"/>
      <family val="2"/>
    </font>
    <font>
      <sz val="12"/>
      <color rgb="FF0033CC"/>
      <name val="Arial Rounded MT Bold"/>
      <family val="2"/>
    </font>
    <font>
      <sz val="12"/>
      <color rgb="FF0033CC"/>
      <name val="Calibri"/>
      <family val="2"/>
    </font>
    <font>
      <i/>
      <sz val="11"/>
      <color theme="1"/>
      <name val="Calibri"/>
      <family val="2"/>
      <scheme val="minor"/>
    </font>
    <font>
      <b/>
      <i/>
      <sz val="11"/>
      <color theme="1"/>
      <name val="Calibri"/>
      <family val="2"/>
      <scheme val="minor"/>
    </font>
    <font>
      <sz val="11"/>
      <color rgb="FF2B8F1D"/>
      <name val="Calibri"/>
      <family val="2"/>
      <scheme val="minor"/>
    </font>
    <font>
      <sz val="11"/>
      <color rgb="FF0070C0"/>
      <name val="Arial Rounded MT Bold"/>
      <family val="2"/>
    </font>
    <font>
      <sz val="11"/>
      <color rgb="FF2B8F1D"/>
      <name val="Calibri"/>
      <family val="2"/>
    </font>
    <font>
      <sz val="11"/>
      <color rgb="FF996633"/>
      <name val="Arial Rounded MT Bold"/>
      <family val="2"/>
    </font>
    <font>
      <u/>
      <sz val="12"/>
      <color rgb="FF663300"/>
      <name val="Arial Rounded MT Bold"/>
      <family val="2"/>
    </font>
    <font>
      <sz val="11"/>
      <color rgb="FFFF0000"/>
      <name val="Calibri"/>
      <family val="2"/>
    </font>
    <font>
      <sz val="11"/>
      <color theme="9" tint="-0.249977111117893"/>
      <name val="Arial Rounded MT Bold"/>
      <family val="2"/>
    </font>
    <font>
      <b/>
      <u/>
      <sz val="11"/>
      <color rgb="FFCB0000"/>
      <name val="Calibri"/>
      <family val="2"/>
      <scheme val="minor"/>
    </font>
    <font>
      <i/>
      <sz val="11"/>
      <color theme="1"/>
      <name val="Calibri"/>
      <family val="2"/>
    </font>
    <font>
      <i/>
      <sz val="10"/>
      <color theme="1"/>
      <name val="Calibri"/>
      <family val="2"/>
      <scheme val="minor"/>
    </font>
    <font>
      <b/>
      <sz val="11"/>
      <color rgb="FF00B050"/>
      <name val="Calibri"/>
      <family val="2"/>
      <scheme val="minor"/>
    </font>
    <font>
      <sz val="11"/>
      <color theme="9"/>
      <name val="Calibri"/>
      <family val="2"/>
      <scheme val="minor"/>
    </font>
    <font>
      <b/>
      <sz val="14"/>
      <color rgb="FFAC4F10"/>
      <name val="Calibri"/>
      <family val="2"/>
      <scheme val="minor"/>
    </font>
    <font>
      <b/>
      <sz val="10"/>
      <color theme="1"/>
      <name val="Calibri"/>
      <family val="2"/>
      <scheme val="minor"/>
    </font>
    <font>
      <sz val="8"/>
      <name val="Calibri"/>
      <family val="2"/>
      <scheme val="minor"/>
    </font>
    <font>
      <b/>
      <sz val="8"/>
      <color theme="0"/>
      <name val="Calibri"/>
      <family val="2"/>
      <scheme val="minor"/>
    </font>
    <font>
      <b/>
      <i/>
      <sz val="11"/>
      <color rgb="FF0033CC"/>
      <name val="Calibri"/>
      <family val="2"/>
      <scheme val="minor"/>
    </font>
    <font>
      <b/>
      <i/>
      <sz val="11"/>
      <color rgb="FF00B050"/>
      <name val="Calibri"/>
      <family val="2"/>
      <scheme val="minor"/>
    </font>
    <font>
      <b/>
      <u/>
      <sz val="14"/>
      <color theme="5" tint="-0.499984740745262"/>
      <name val="Calibri"/>
      <family val="2"/>
      <scheme val="minor"/>
    </font>
    <font>
      <b/>
      <i/>
      <sz val="11"/>
      <color rgb="FFFF0000"/>
      <name val="Calibri"/>
      <family val="2"/>
      <scheme val="minor"/>
    </font>
    <font>
      <b/>
      <sz val="11"/>
      <color theme="5" tint="-0.249977111117893"/>
      <name val="Calibri"/>
      <family val="2"/>
      <scheme val="minor"/>
    </font>
    <font>
      <sz val="14"/>
      <color theme="1"/>
      <name val="Calibri"/>
      <family val="2"/>
      <scheme val="minor"/>
    </font>
    <font>
      <sz val="16"/>
      <color theme="1"/>
      <name val="Calibri"/>
      <family val="2"/>
      <scheme val="minor"/>
    </font>
    <font>
      <b/>
      <sz val="16"/>
      <color theme="0"/>
      <name val="Calibri"/>
      <family val="2"/>
      <scheme val="minor"/>
    </font>
  </fonts>
  <fills count="51">
    <fill>
      <patternFill patternType="none"/>
    </fill>
    <fill>
      <patternFill patternType="gray125"/>
    </fill>
    <fill>
      <patternFill patternType="solid">
        <fgColor theme="5" tint="0.39997558519241921"/>
        <bgColor indexed="64"/>
      </patternFill>
    </fill>
    <fill>
      <patternFill patternType="solid">
        <fgColor theme="5" tint="-0.249977111117893"/>
        <bgColor indexed="64"/>
      </patternFill>
    </fill>
    <fill>
      <patternFill patternType="solid">
        <fgColor rgb="FFAC4F1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4" tint="0.39997558519241921"/>
        <bgColor rgb="FF000000"/>
      </patternFill>
    </fill>
    <fill>
      <patternFill patternType="solid">
        <fgColor rgb="FF0070C0"/>
        <bgColor rgb="FFDDEBF7"/>
      </patternFill>
    </fill>
    <fill>
      <patternFill patternType="solid">
        <fgColor theme="2"/>
        <bgColor indexed="64"/>
      </patternFill>
    </fill>
    <fill>
      <patternFill patternType="solid">
        <fgColor theme="5" tint="-0.249977111117893"/>
        <bgColor theme="4" tint="0.79998168889431442"/>
      </patternFill>
    </fill>
    <fill>
      <patternFill patternType="solid">
        <fgColor theme="9" tint="-0.249977111117893"/>
        <bgColor indexed="64"/>
      </patternFill>
    </fill>
    <fill>
      <patternFill patternType="solid">
        <fgColor rgb="FFD86212"/>
        <bgColor theme="4" tint="0.79998168889431442"/>
      </patternFill>
    </fill>
    <fill>
      <patternFill patternType="solid">
        <fgColor rgb="FFED7523"/>
        <bgColor indexed="64"/>
      </patternFill>
    </fill>
    <fill>
      <patternFill patternType="solid">
        <fgColor rgb="FF007FDE"/>
        <bgColor indexed="64"/>
      </patternFill>
    </fill>
    <fill>
      <patternFill patternType="solid">
        <fgColor rgb="FF0070C0"/>
        <bgColor theme="4" tint="0.79998168889431442"/>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9" tint="-0.249977111117893"/>
        <bgColor rgb="FFDDEBF7"/>
      </patternFill>
    </fill>
    <fill>
      <patternFill patternType="solid">
        <fgColor theme="9" tint="-0.249977111117893"/>
        <bgColor theme="4" tint="0.79998168889431442"/>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249977111117893"/>
        <bgColor theme="4" tint="0.79998168889431442"/>
      </patternFill>
    </fill>
    <fill>
      <patternFill patternType="solid">
        <fgColor theme="4" tint="-0.249977111117893"/>
        <bgColor indexed="64"/>
      </patternFill>
    </fill>
    <fill>
      <patternFill patternType="solid">
        <fgColor theme="4" tint="-0.499984740745262"/>
        <bgColor indexed="64"/>
      </patternFill>
    </fill>
    <fill>
      <patternFill patternType="solid">
        <fgColor rgb="FF663300"/>
        <bgColor rgb="FF000000"/>
      </patternFill>
    </fill>
    <fill>
      <patternFill patternType="solid">
        <fgColor theme="0"/>
        <bgColor indexed="64"/>
      </patternFill>
    </fill>
    <fill>
      <patternFill patternType="solid">
        <fgColor rgb="FF996633"/>
        <bgColor indexed="64"/>
      </patternFill>
    </fill>
    <fill>
      <patternFill patternType="solid">
        <fgColor rgb="FF996633"/>
        <bgColor theme="4" tint="0.79998168889431442"/>
      </patternFill>
    </fill>
    <fill>
      <patternFill patternType="solid">
        <fgColor rgb="FFD8B088"/>
        <bgColor indexed="64"/>
      </patternFill>
    </fill>
    <fill>
      <patternFill patternType="solid">
        <fgColor rgb="FF0066CC"/>
        <bgColor indexed="64"/>
      </patternFill>
    </fill>
    <fill>
      <patternFill patternType="solid">
        <fgColor rgb="FF0066CC"/>
        <bgColor theme="4" tint="0.79998168889431442"/>
      </patternFill>
    </fill>
    <fill>
      <patternFill patternType="solid">
        <fgColor rgb="FF0066CC"/>
        <bgColor theme="0" tint="-0.14999847407452621"/>
      </patternFill>
    </fill>
    <fill>
      <patternFill patternType="solid">
        <fgColor rgb="FF99CCFF"/>
        <bgColor theme="4" tint="0.79998168889431442"/>
      </patternFill>
    </fill>
    <fill>
      <patternFill patternType="solid">
        <fgColor rgb="FF99CCFF"/>
        <bgColor indexed="64"/>
      </patternFill>
    </fill>
    <fill>
      <patternFill patternType="solid">
        <fgColor rgb="FF663300"/>
        <bgColor indexed="64"/>
      </patternFill>
    </fill>
    <fill>
      <patternFill patternType="solid">
        <fgColor rgb="FFD7AE85"/>
        <bgColor indexed="64"/>
      </patternFill>
    </fill>
    <fill>
      <patternFill patternType="solid">
        <fgColor rgb="FF663300"/>
        <bgColor theme="4" tint="0.79998168889431442"/>
      </patternFill>
    </fill>
    <fill>
      <patternFill patternType="solid">
        <fgColor rgb="FF00FF00"/>
        <bgColor indexed="64"/>
      </patternFill>
    </fill>
    <fill>
      <patternFill patternType="solid">
        <fgColor theme="7" tint="-0.499984740745262"/>
        <bgColor indexed="64"/>
      </patternFill>
    </fill>
    <fill>
      <patternFill patternType="solid">
        <fgColor theme="9"/>
        <bgColor indexed="64"/>
      </patternFill>
    </fill>
    <fill>
      <patternFill patternType="solid">
        <fgColor theme="7" tint="-0.499984740745262"/>
        <bgColor theme="4" tint="0.79998168889431442"/>
      </patternFill>
    </fill>
    <fill>
      <patternFill patternType="solid">
        <fgColor theme="4" tint="-0.499984740745262"/>
        <bgColor theme="4" tint="0.79998168889431442"/>
      </patternFill>
    </fill>
    <fill>
      <patternFill patternType="solid">
        <fgColor theme="4" tint="-0.499984740745262"/>
        <bgColor theme="0" tint="-0.14999847407452621"/>
      </patternFill>
    </fill>
    <fill>
      <patternFill patternType="solid">
        <fgColor rgb="FF00FFCC"/>
        <bgColor indexed="64"/>
      </patternFill>
    </fill>
    <fill>
      <patternFill patternType="solid">
        <fgColor rgb="FF00FFCC"/>
        <bgColor theme="0" tint="-0.14999847407452621"/>
      </patternFill>
    </fill>
    <fill>
      <patternFill patternType="solid">
        <fgColor theme="5" tint="-0.499984740745262"/>
        <bgColor indexed="64"/>
      </patternFill>
    </fill>
    <fill>
      <patternFill patternType="solid">
        <fgColor rgb="FFCB9661"/>
        <bgColor indexed="64"/>
      </patternFill>
    </fill>
    <fill>
      <patternFill patternType="solid">
        <fgColor rgb="FFFF8FA4"/>
        <bgColor indexed="64"/>
      </patternFill>
    </fill>
    <fill>
      <patternFill patternType="solid">
        <fgColor rgb="FFFFCCCC"/>
        <bgColor indexed="64"/>
      </patternFill>
    </fill>
    <fill>
      <patternFill patternType="solid">
        <fgColor theme="9" tint="-0.499984740745262"/>
        <bgColor indexed="64"/>
      </patternFill>
    </fill>
  </fills>
  <borders count="11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0" tint="-0.499984740745262"/>
      </left>
      <right/>
      <top style="thin">
        <color theme="0" tint="-0.499984740745262"/>
      </top>
      <bottom style="thin">
        <color theme="0" tint="-0.499984740745262"/>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
      <left style="thin">
        <color theme="0" tint="-0.499984740745262"/>
      </left>
      <right style="thin">
        <color theme="2" tint="-0.499984740745262"/>
      </right>
      <top style="thin">
        <color rgb="FF808080"/>
      </top>
      <bottom style="thin">
        <color rgb="FF808080"/>
      </bottom>
      <diagonal/>
    </border>
    <border>
      <left style="thin">
        <color theme="2" tint="-0.249977111117893"/>
      </left>
      <right style="thin">
        <color theme="2" tint="-0.249977111117893"/>
      </right>
      <top style="thin">
        <color theme="2" tint="-0.499984740745262"/>
      </top>
      <bottom style="thin">
        <color theme="2" tint="-0.499984740745262"/>
      </bottom>
      <diagonal/>
    </border>
    <border>
      <left style="thin">
        <color theme="0" tint="-0.499984740745262"/>
      </left>
      <right style="thin">
        <color theme="2" tint="-0.499984740745262"/>
      </right>
      <top style="thin">
        <color theme="2" tint="-0.499984740745262"/>
      </top>
      <bottom style="thin">
        <color theme="2" tint="-0.499984740745262"/>
      </bottom>
      <diagonal/>
    </border>
    <border>
      <left style="thin">
        <color rgb="FF808080"/>
      </left>
      <right style="thin">
        <color rgb="FF808080"/>
      </right>
      <top style="thin">
        <color rgb="FF808080"/>
      </top>
      <bottom style="thin">
        <color theme="2" tint="-0.499984740745262"/>
      </bottom>
      <diagonal/>
    </border>
    <border>
      <left/>
      <right style="thin">
        <color theme="2" tint="-0.249977111117893"/>
      </right>
      <top/>
      <bottom style="thin">
        <color theme="2" tint="-0.249977111117893"/>
      </bottom>
      <diagonal/>
    </border>
    <border>
      <left style="thin">
        <color theme="2" tint="-0.499984740745262"/>
      </left>
      <right style="thin">
        <color theme="0" tint="-0.499984740745262"/>
      </right>
      <top style="thin">
        <color rgb="FF808080"/>
      </top>
      <bottom style="thin">
        <color rgb="FF808080"/>
      </bottom>
      <diagonal/>
    </border>
    <border>
      <left style="thin">
        <color theme="2" tint="-0.499984740745262"/>
      </left>
      <right style="thin">
        <color theme="2" tint="-0.249977111117893"/>
      </right>
      <top style="thin">
        <color rgb="FF808080"/>
      </top>
      <bottom style="thin">
        <color rgb="FF808080"/>
      </bottom>
      <diagonal/>
    </border>
    <border>
      <left style="thin">
        <color theme="2" tint="-0.499984740745262"/>
      </left>
      <right/>
      <top/>
      <bottom/>
      <diagonal/>
    </border>
    <border>
      <left style="thin">
        <color theme="2" tint="-0.499984740745262"/>
      </left>
      <right style="thin">
        <color theme="2" tint="-0.499984740745262"/>
      </right>
      <top style="thin">
        <color rgb="FF808080"/>
      </top>
      <bottom style="thin">
        <color rgb="FF808080"/>
      </bottom>
      <diagonal/>
    </border>
    <border>
      <left style="thin">
        <color theme="0" tint="-0.499984740745262"/>
      </left>
      <right style="thin">
        <color theme="0" tint="-0.499984740745262"/>
      </right>
      <top/>
      <bottom/>
      <diagonal/>
    </border>
    <border>
      <left style="thin">
        <color rgb="FF808080"/>
      </left>
      <right style="thin">
        <color rgb="FF808080"/>
      </right>
      <top/>
      <bottom/>
      <diagonal/>
    </border>
    <border>
      <left/>
      <right/>
      <top/>
      <bottom style="thin">
        <color theme="2" tint="-0.499984740745262"/>
      </bottom>
      <diagonal/>
    </border>
    <border>
      <left/>
      <right style="thin">
        <color theme="0" tint="-0.499984740745262"/>
      </right>
      <top/>
      <bottom/>
      <diagonal/>
    </border>
    <border>
      <left style="thin">
        <color rgb="FF808080"/>
      </left>
      <right style="thin">
        <color rgb="FF808080"/>
      </right>
      <top style="thin">
        <color theme="0" tint="-0.499984740745262"/>
      </top>
      <bottom style="thin">
        <color rgb="FF808080"/>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theme="0" tint="-0.499984740745262"/>
      </right>
      <top style="thin">
        <color rgb="FF808080"/>
      </top>
      <bottom style="thin">
        <color theme="0" tint="-0.499984740745262"/>
      </bottom>
      <diagonal/>
    </border>
    <border>
      <left style="thin">
        <color theme="2" tint="-0.499984740745262"/>
      </left>
      <right/>
      <top style="thin">
        <color rgb="FF808080"/>
      </top>
      <bottom style="thin">
        <color rgb="FF808080"/>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style="thin">
        <color rgb="FF808080"/>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2" tint="-0.499984740745262"/>
      </top>
      <bottom style="thin">
        <color theme="0" tint="-0.499984740745262"/>
      </bottom>
      <diagonal/>
    </border>
    <border>
      <left style="thin">
        <color theme="0" tint="-0.499984740745262"/>
      </left>
      <right style="thin">
        <color rgb="FF808080"/>
      </right>
      <top style="thin">
        <color rgb="FF808080"/>
      </top>
      <bottom style="thin">
        <color rgb="FF808080"/>
      </bottom>
      <diagonal/>
    </border>
    <border>
      <left style="thin">
        <color theme="0" tint="-0.499984740745262"/>
      </left>
      <right/>
      <top style="thin">
        <color rgb="FF808080"/>
      </top>
      <bottom style="thin">
        <color theme="0" tint="-0.499984740745262"/>
      </bottom>
      <diagonal/>
    </border>
    <border>
      <left style="thin">
        <color rgb="FF808080"/>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top/>
      <bottom/>
      <diagonal/>
    </border>
    <border>
      <left/>
      <right/>
      <top style="thin">
        <color theme="2" tint="-0.249977111117893"/>
      </top>
      <bottom/>
      <diagonal/>
    </border>
    <border>
      <left/>
      <right style="thin">
        <color theme="2" tint="-0.249977111117893"/>
      </right>
      <top style="thin">
        <color theme="2" tint="-0.249977111117893"/>
      </top>
      <bottom/>
      <diagonal/>
    </border>
    <border>
      <left/>
      <right/>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style="thin">
        <color theme="2" tint="-0.249977111117893"/>
      </left>
      <right/>
      <top style="thin">
        <color theme="2" tint="-0.249977111117893"/>
      </top>
      <bottom style="thin">
        <color theme="2" tint="-0.249977111117893"/>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medium">
        <color theme="4" tint="0.39997558519241921"/>
      </bottom>
      <diagonal/>
    </border>
    <border>
      <left style="thin">
        <color indexed="64"/>
      </left>
      <right/>
      <top/>
      <bottom style="thin">
        <color theme="0" tint="-0.499984740745262"/>
      </bottom>
      <diagonal/>
    </border>
    <border>
      <left/>
      <right/>
      <top/>
      <bottom style="thin">
        <color rgb="FFC0504D"/>
      </bottom>
      <diagonal/>
    </border>
    <border>
      <left/>
      <right/>
      <top style="thin">
        <color rgb="FFC0504D"/>
      </top>
      <bottom style="thin">
        <color rgb="FFC0504D"/>
      </bottom>
      <diagonal/>
    </border>
    <border>
      <left/>
      <right/>
      <top style="thin">
        <color theme="4" tint="0.39997558519241921"/>
      </top>
      <bottom style="thin">
        <color theme="4" tint="0.39997558519241921"/>
      </bottom>
      <diagonal/>
    </border>
    <border>
      <left style="thin">
        <color indexed="64"/>
      </left>
      <right style="thin">
        <color theme="2" tint="-0.499984740745262"/>
      </right>
      <top style="thin">
        <color theme="2" tint="-0.249977111117893"/>
      </top>
      <bottom/>
      <diagonal/>
    </border>
    <border>
      <left style="thin">
        <color indexed="64"/>
      </left>
      <right style="thin">
        <color theme="2" tint="-0.499984740745262"/>
      </right>
      <top/>
      <bottom style="thin">
        <color theme="0"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0" tint="-0.499984740745262"/>
      </left>
      <right style="thin">
        <color theme="0" tint="-0.499984740745262"/>
      </right>
      <top style="thin">
        <color theme="0" tint="-0.499984740745262"/>
      </top>
      <bottom style="thin">
        <color theme="2" tint="-0.499984740745262"/>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style="thin">
        <color theme="2" tint="-0.499984740745262"/>
      </bottom>
      <diagonal/>
    </border>
    <border>
      <left style="thin">
        <color indexed="64"/>
      </left>
      <right style="thin">
        <color theme="2" tint="-0.499984740745262"/>
      </right>
      <top style="thin">
        <color theme="2" tint="-0.499984740745262"/>
      </top>
      <bottom/>
      <diagonal/>
    </border>
    <border>
      <left style="thin">
        <color theme="0" tint="-0.499984740745262"/>
      </left>
      <right style="thin">
        <color theme="2" tint="-0.499984740745262"/>
      </right>
      <top style="thin">
        <color theme="0" tint="-0.499984740745262"/>
      </top>
      <bottom style="thin">
        <color indexed="64"/>
      </bottom>
      <diagonal/>
    </border>
    <border>
      <left style="thin">
        <color theme="0" tint="-0.499984740745262"/>
      </left>
      <right style="thin">
        <color theme="2" tint="-0.499984740745262"/>
      </right>
      <top style="thin">
        <color theme="0" tint="-0.499984740745262"/>
      </top>
      <bottom/>
      <diagonal/>
    </border>
    <border>
      <left style="thin">
        <color theme="0" tint="-0.499984740745262"/>
      </left>
      <right style="thin">
        <color theme="2" tint="-0.499984740745262"/>
      </right>
      <top/>
      <bottom style="thin">
        <color theme="0" tint="-0.499984740745262"/>
      </bottom>
      <diagonal/>
    </border>
    <border>
      <left style="thin">
        <color theme="0" tint="-0.499984740745262"/>
      </left>
      <right style="thin">
        <color theme="2" tint="-0.499984740745262"/>
      </right>
      <top style="thin">
        <color theme="0" tint="-0.499984740745262"/>
      </top>
      <bottom style="thin">
        <color theme="0" tint="-0.499984740745262"/>
      </bottom>
      <diagonal/>
    </border>
    <border>
      <left style="thin">
        <color theme="2" tint="-0.499984740745262"/>
      </left>
      <right style="thin">
        <color theme="0" tint="-0.499984740745262"/>
      </right>
      <top style="thin">
        <color theme="0" tint="-0.499984740745262"/>
      </top>
      <bottom style="thin">
        <color theme="0" tint="-0.499984740745262"/>
      </bottom>
      <diagonal/>
    </border>
    <border>
      <left style="thin">
        <color theme="2" tint="-0.499984740745262"/>
      </left>
      <right/>
      <top/>
      <bottom style="thin">
        <color theme="0" tint="-0.499984740745262"/>
      </bottom>
      <diagonal/>
    </border>
    <border>
      <left style="thin">
        <color indexed="64"/>
      </left>
      <right/>
      <top style="thin">
        <color theme="2" tint="-0.499984740745262"/>
      </top>
      <bottom/>
      <diagonal/>
    </border>
    <border>
      <left/>
      <right/>
      <top/>
      <bottom style="thin">
        <color rgb="FF7030A0"/>
      </bottom>
      <diagonal/>
    </border>
    <border>
      <left/>
      <right/>
      <top style="thin">
        <color rgb="FF7030A0"/>
      </top>
      <bottom style="thin">
        <color rgb="FF7030A0"/>
      </bottom>
      <diagonal/>
    </border>
    <border>
      <left/>
      <right style="thin">
        <color indexed="64"/>
      </right>
      <top/>
      <bottom/>
      <diagonal/>
    </border>
    <border>
      <left/>
      <right style="thin">
        <color indexed="64"/>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style="thin">
        <color theme="2" tint="-0.499984740745262"/>
      </top>
      <bottom/>
      <diagonal/>
    </border>
    <border>
      <left style="thin">
        <color indexed="64"/>
      </left>
      <right style="thin">
        <color indexed="64"/>
      </right>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2" tint="-0.499984740745262"/>
      </left>
      <right/>
      <top/>
      <bottom style="thin">
        <color theme="2" tint="-0.499984740745262"/>
      </bottom>
      <diagonal/>
    </border>
    <border>
      <left/>
      <right/>
      <top style="thin">
        <color theme="1" tint="0.499984740745262"/>
      </top>
      <bottom/>
      <diagonal/>
    </border>
    <border>
      <left style="thin">
        <color theme="0" tint="-0.499984740745262"/>
      </left>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s>
  <cellStyleXfs count="8">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1" fillId="0" borderId="0"/>
    <xf numFmtId="0" fontId="36" fillId="0" borderId="49">
      <alignment vertical="center"/>
    </xf>
    <xf numFmtId="166" fontId="36" fillId="0" borderId="49">
      <alignment vertical="center"/>
    </xf>
    <xf numFmtId="0" fontId="37" fillId="0" borderId="49">
      <alignment vertical="center"/>
    </xf>
    <xf numFmtId="0" fontId="37" fillId="0" borderId="51">
      <alignment vertical="center"/>
    </xf>
  </cellStyleXfs>
  <cellXfs count="736">
    <xf numFmtId="0" fontId="0" fillId="0" borderId="0" xfId="0"/>
    <xf numFmtId="0" fontId="4" fillId="0" borderId="0" xfId="0" applyFont="1"/>
    <xf numFmtId="0" fontId="6" fillId="0" borderId="0" xfId="2"/>
    <xf numFmtId="0" fontId="5" fillId="0" borderId="0" xfId="0" applyFont="1"/>
    <xf numFmtId="0" fontId="3" fillId="2" borderId="6" xfId="0" applyFont="1" applyFill="1" applyBorder="1" applyAlignment="1">
      <alignment horizontal="left"/>
    </xf>
    <xf numFmtId="0" fontId="0" fillId="0" borderId="6" xfId="0" applyFill="1" applyBorder="1" applyAlignment="1">
      <alignment horizontal="left" indent="1"/>
    </xf>
    <xf numFmtId="0" fontId="0" fillId="0" borderId="6" xfId="0" applyBorder="1" applyAlignment="1">
      <alignment horizontal="left" indent="1"/>
    </xf>
    <xf numFmtId="0" fontId="0" fillId="0" borderId="6" xfId="0" applyFont="1" applyBorder="1" applyAlignment="1">
      <alignment horizontal="left" indent="1"/>
    </xf>
    <xf numFmtId="0" fontId="7" fillId="0" borderId="0" xfId="0" applyFont="1" applyFill="1" applyAlignment="1">
      <alignment horizontal="center" vertical="center"/>
    </xf>
    <xf numFmtId="4" fontId="0" fillId="0" borderId="0" xfId="0" applyNumberFormat="1"/>
    <xf numFmtId="0" fontId="0" fillId="0" borderId="0" xfId="0" applyAlignment="1">
      <alignment horizontal="left" indent="1"/>
    </xf>
    <xf numFmtId="0" fontId="3" fillId="6" borderId="6" xfId="0" applyFont="1" applyFill="1" applyBorder="1" applyAlignment="1">
      <alignment horizontal="left"/>
    </xf>
    <xf numFmtId="3" fontId="0" fillId="0" borderId="6" xfId="0" applyNumberFormat="1" applyBorder="1" applyAlignment="1">
      <alignment horizontal="center"/>
    </xf>
    <xf numFmtId="3" fontId="9" fillId="0" borderId="7" xfId="0" applyNumberFormat="1" applyFont="1" applyFill="1" applyBorder="1" applyAlignment="1">
      <alignment horizontal="center"/>
    </xf>
    <xf numFmtId="3" fontId="8" fillId="7" borderId="7" xfId="0" applyNumberFormat="1" applyFont="1" applyFill="1" applyBorder="1" applyAlignment="1">
      <alignment horizontal="center"/>
    </xf>
    <xf numFmtId="0" fontId="0" fillId="0" borderId="9" xfId="0" applyFill="1" applyBorder="1" applyAlignment="1">
      <alignment horizontal="left" indent="1"/>
    </xf>
    <xf numFmtId="0" fontId="0" fillId="0" borderId="9" xfId="0" applyBorder="1" applyAlignment="1">
      <alignment horizontal="left" indent="1"/>
    </xf>
    <xf numFmtId="3" fontId="8" fillId="7" borderId="10" xfId="0" applyNumberFormat="1" applyFont="1" applyFill="1" applyBorder="1" applyAlignment="1">
      <alignment horizontal="center"/>
    </xf>
    <xf numFmtId="3" fontId="8" fillId="7" borderId="11" xfId="0" applyNumberFormat="1" applyFont="1" applyFill="1" applyBorder="1" applyAlignment="1">
      <alignment horizontal="center"/>
    </xf>
    <xf numFmtId="3" fontId="9" fillId="0" borderId="8" xfId="0" applyNumberFormat="1" applyFont="1" applyFill="1" applyBorder="1" applyAlignment="1">
      <alignment horizontal="center"/>
    </xf>
    <xf numFmtId="3" fontId="0" fillId="0" borderId="8" xfId="0" applyNumberFormat="1" applyBorder="1" applyAlignment="1">
      <alignment horizontal="center"/>
    </xf>
    <xf numFmtId="3" fontId="3" fillId="2" borderId="6" xfId="0" applyNumberFormat="1" applyFont="1" applyFill="1" applyBorder="1" applyAlignment="1">
      <alignment horizontal="center"/>
    </xf>
    <xf numFmtId="9" fontId="0" fillId="0" borderId="6" xfId="1" applyFont="1" applyBorder="1" applyAlignment="1">
      <alignment horizontal="center"/>
    </xf>
    <xf numFmtId="9" fontId="3" fillId="6" borderId="6" xfId="1" applyFont="1" applyFill="1" applyBorder="1" applyAlignment="1">
      <alignment horizontal="center"/>
    </xf>
    <xf numFmtId="9" fontId="1" fillId="0" borderId="6" xfId="1" applyFont="1" applyFill="1" applyBorder="1" applyAlignment="1">
      <alignment horizontal="center"/>
    </xf>
    <xf numFmtId="3" fontId="11" fillId="0" borderId="10" xfId="0" applyNumberFormat="1" applyFont="1" applyFill="1" applyBorder="1" applyAlignment="1">
      <alignment horizontal="center"/>
    </xf>
    <xf numFmtId="3" fontId="8" fillId="6" borderId="10" xfId="0" applyNumberFormat="1" applyFont="1" applyFill="1" applyBorder="1" applyAlignment="1">
      <alignment horizontal="center"/>
    </xf>
    <xf numFmtId="3" fontId="3" fillId="6" borderId="0" xfId="0" applyNumberFormat="1" applyFont="1" applyFill="1" applyAlignment="1">
      <alignment horizontal="center"/>
    </xf>
    <xf numFmtId="3" fontId="3" fillId="6" borderId="6" xfId="0" applyNumberFormat="1" applyFont="1" applyFill="1" applyBorder="1" applyAlignment="1">
      <alignment horizontal="center"/>
    </xf>
    <xf numFmtId="3" fontId="2" fillId="5" borderId="6" xfId="0" applyNumberFormat="1" applyFont="1" applyFill="1" applyBorder="1" applyAlignment="1">
      <alignment horizontal="center"/>
    </xf>
    <xf numFmtId="9" fontId="2" fillId="5" borderId="6" xfId="1" applyFont="1" applyFill="1" applyBorder="1" applyAlignment="1">
      <alignment horizontal="center"/>
    </xf>
    <xf numFmtId="3" fontId="2" fillId="3" borderId="6" xfId="0" applyNumberFormat="1" applyFont="1" applyFill="1" applyBorder="1" applyAlignment="1">
      <alignment horizontal="center"/>
    </xf>
    <xf numFmtId="0" fontId="3" fillId="2" borderId="9" xfId="0" applyFont="1" applyFill="1" applyBorder="1" applyAlignment="1">
      <alignment horizontal="left"/>
    </xf>
    <xf numFmtId="3" fontId="9" fillId="0" borderId="11" xfId="0" applyNumberFormat="1" applyFont="1" applyFill="1" applyBorder="1" applyAlignment="1">
      <alignment horizontal="center"/>
    </xf>
    <xf numFmtId="3" fontId="3" fillId="2" borderId="13" xfId="0" applyNumberFormat="1" applyFont="1" applyFill="1" applyBorder="1" applyAlignment="1">
      <alignment horizontal="center" vertical="center"/>
    </xf>
    <xf numFmtId="9" fontId="3" fillId="2" borderId="14" xfId="1" applyFont="1" applyFill="1" applyBorder="1" applyAlignment="1">
      <alignment horizontal="center"/>
    </xf>
    <xf numFmtId="3" fontId="9" fillId="0" borderId="15" xfId="0" applyNumberFormat="1" applyFont="1" applyFill="1" applyBorder="1" applyAlignment="1">
      <alignment horizontal="center"/>
    </xf>
    <xf numFmtId="3" fontId="3" fillId="2" borderId="16" xfId="0" applyNumberFormat="1" applyFont="1" applyFill="1" applyBorder="1" applyAlignment="1">
      <alignment horizontal="center" vertical="center"/>
    </xf>
    <xf numFmtId="3" fontId="3" fillId="2" borderId="17" xfId="0" applyNumberFormat="1" applyFont="1" applyFill="1" applyBorder="1" applyAlignment="1">
      <alignment horizontal="center" vertical="center"/>
    </xf>
    <xf numFmtId="0" fontId="0" fillId="0" borderId="19" xfId="0" applyBorder="1"/>
    <xf numFmtId="0" fontId="2" fillId="3" borderId="9" xfId="0" applyFont="1" applyFill="1" applyBorder="1" applyAlignment="1">
      <alignment horizontal="left"/>
    </xf>
    <xf numFmtId="3" fontId="8" fillId="7" borderId="12" xfId="0" applyNumberFormat="1" applyFont="1" applyFill="1" applyBorder="1" applyAlignment="1">
      <alignment horizontal="center"/>
    </xf>
    <xf numFmtId="3" fontId="10" fillId="8" borderId="20" xfId="0" applyNumberFormat="1" applyFont="1" applyFill="1" applyBorder="1" applyAlignment="1">
      <alignment horizontal="center"/>
    </xf>
    <xf numFmtId="0" fontId="2" fillId="5" borderId="9" xfId="0" applyFont="1" applyFill="1" applyBorder="1" applyAlignment="1">
      <alignment horizontal="left"/>
    </xf>
    <xf numFmtId="3" fontId="2" fillId="10" borderId="6" xfId="0" applyNumberFormat="1" applyFont="1" applyFill="1" applyBorder="1" applyAlignment="1">
      <alignment horizontal="center"/>
    </xf>
    <xf numFmtId="3" fontId="3" fillId="6"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9" fontId="1" fillId="2" borderId="14" xfId="1" applyFont="1" applyFill="1" applyBorder="1" applyAlignment="1">
      <alignment horizontal="center"/>
    </xf>
    <xf numFmtId="9" fontId="1" fillId="0" borderId="14" xfId="1" applyFont="1" applyFill="1" applyBorder="1" applyAlignment="1">
      <alignment horizontal="center"/>
    </xf>
    <xf numFmtId="3" fontId="0" fillId="2" borderId="6" xfId="0" applyNumberFormat="1" applyFill="1" applyBorder="1" applyAlignment="1">
      <alignment horizontal="center"/>
    </xf>
    <xf numFmtId="9" fontId="2" fillId="3" borderId="14" xfId="1" applyFont="1" applyFill="1" applyBorder="1" applyAlignment="1">
      <alignment horizontal="center"/>
    </xf>
    <xf numFmtId="0" fontId="2" fillId="3" borderId="6" xfId="0" applyFont="1" applyFill="1" applyBorder="1"/>
    <xf numFmtId="0" fontId="2" fillId="5" borderId="6" xfId="0" applyFont="1" applyFill="1" applyBorder="1"/>
    <xf numFmtId="4" fontId="3" fillId="2" borderId="6" xfId="0" applyNumberFormat="1" applyFont="1" applyFill="1" applyBorder="1" applyAlignment="1">
      <alignment horizontal="center"/>
    </xf>
    <xf numFmtId="4" fontId="0" fillId="0" borderId="6" xfId="0" applyNumberFormat="1" applyBorder="1" applyAlignment="1">
      <alignment horizontal="center"/>
    </xf>
    <xf numFmtId="164" fontId="0" fillId="0" borderId="6" xfId="0" applyNumberFormat="1" applyBorder="1" applyAlignment="1">
      <alignment horizontal="center"/>
    </xf>
    <xf numFmtId="164" fontId="3" fillId="2" borderId="6" xfId="0" applyNumberFormat="1" applyFont="1" applyFill="1" applyBorder="1" applyAlignment="1">
      <alignment horizontal="center"/>
    </xf>
    <xf numFmtId="164" fontId="9" fillId="0" borderId="7" xfId="0" applyNumberFormat="1" applyFont="1" applyFill="1" applyBorder="1" applyAlignment="1">
      <alignment horizontal="center"/>
    </xf>
    <xf numFmtId="0" fontId="0" fillId="0" borderId="0" xfId="0" applyAlignment="1">
      <alignment horizontal="center"/>
    </xf>
    <xf numFmtId="4" fontId="9" fillId="0" borderId="7" xfId="0" applyNumberFormat="1" applyFont="1" applyFill="1" applyBorder="1" applyAlignment="1">
      <alignment horizontal="center"/>
    </xf>
    <xf numFmtId="164" fontId="8" fillId="7" borderId="7" xfId="0" applyNumberFormat="1" applyFont="1" applyFill="1" applyBorder="1" applyAlignment="1">
      <alignment horizontal="center"/>
    </xf>
    <xf numFmtId="4" fontId="8" fillId="7" borderId="7" xfId="0" applyNumberFormat="1" applyFont="1" applyFill="1" applyBorder="1" applyAlignment="1">
      <alignment horizontal="center"/>
    </xf>
    <xf numFmtId="3" fontId="2" fillId="12" borderId="6" xfId="0" applyNumberFormat="1" applyFont="1" applyFill="1" applyBorder="1" applyAlignment="1">
      <alignment horizontal="center"/>
    </xf>
    <xf numFmtId="3" fontId="3" fillId="13" borderId="6" xfId="0" applyNumberFormat="1" applyFont="1" applyFill="1" applyBorder="1" applyAlignment="1">
      <alignment horizontal="center"/>
    </xf>
    <xf numFmtId="9" fontId="3" fillId="13" borderId="14" xfId="1" applyFont="1" applyFill="1" applyBorder="1" applyAlignment="1">
      <alignment horizontal="center"/>
    </xf>
    <xf numFmtId="9" fontId="3" fillId="14" borderId="6" xfId="1" applyFont="1" applyFill="1" applyBorder="1" applyAlignment="1">
      <alignment horizontal="center"/>
    </xf>
    <xf numFmtId="3" fontId="2" fillId="14" borderId="6" xfId="0" applyNumberFormat="1" applyFont="1" applyFill="1" applyBorder="1" applyAlignment="1">
      <alignment horizontal="center"/>
    </xf>
    <xf numFmtId="3" fontId="2" fillId="15" borderId="6" xfId="0" applyNumberFormat="1" applyFont="1" applyFill="1" applyBorder="1" applyAlignment="1">
      <alignment horizontal="center"/>
    </xf>
    <xf numFmtId="3" fontId="2" fillId="6" borderId="6" xfId="0" applyNumberFormat="1" applyFont="1" applyFill="1" applyBorder="1" applyAlignment="1">
      <alignment horizontal="center"/>
    </xf>
    <xf numFmtId="9" fontId="2" fillId="6" borderId="6" xfId="1" applyFont="1" applyFill="1" applyBorder="1" applyAlignment="1">
      <alignment horizontal="center"/>
    </xf>
    <xf numFmtId="0" fontId="2" fillId="11" borderId="4" xfId="0" applyFont="1" applyFill="1" applyBorder="1" applyAlignment="1">
      <alignment horizontal="center" vertical="center" wrapText="1"/>
    </xf>
    <xf numFmtId="0" fontId="3" fillId="16" borderId="6" xfId="0" applyFont="1" applyFill="1" applyBorder="1" applyAlignment="1">
      <alignment horizontal="left"/>
    </xf>
    <xf numFmtId="3" fontId="3" fillId="16" borderId="16" xfId="0" applyNumberFormat="1" applyFont="1" applyFill="1" applyBorder="1" applyAlignment="1">
      <alignment horizontal="center" vertical="center"/>
    </xf>
    <xf numFmtId="3" fontId="3" fillId="16" borderId="17" xfId="0" applyNumberFormat="1" applyFont="1" applyFill="1" applyBorder="1" applyAlignment="1">
      <alignment horizontal="center" vertical="center"/>
    </xf>
    <xf numFmtId="3" fontId="3" fillId="16" borderId="18" xfId="0" applyNumberFormat="1" applyFont="1" applyFill="1" applyBorder="1" applyAlignment="1">
      <alignment horizontal="center" vertical="center"/>
    </xf>
    <xf numFmtId="0" fontId="2" fillId="11" borderId="9" xfId="0" applyFont="1" applyFill="1" applyBorder="1" applyAlignment="1">
      <alignment horizontal="left"/>
    </xf>
    <xf numFmtId="3" fontId="2" fillId="11" borderId="0" xfId="0" applyNumberFormat="1" applyFont="1" applyFill="1" applyAlignment="1">
      <alignment horizontal="center"/>
    </xf>
    <xf numFmtId="3" fontId="8" fillId="17" borderId="10" xfId="0" applyNumberFormat="1" applyFont="1" applyFill="1" applyBorder="1" applyAlignment="1">
      <alignment horizontal="center"/>
    </xf>
    <xf numFmtId="3" fontId="8" fillId="17" borderId="11" xfId="0" applyNumberFormat="1" applyFont="1" applyFill="1" applyBorder="1" applyAlignment="1">
      <alignment horizontal="center"/>
    </xf>
    <xf numFmtId="3" fontId="8" fillId="17" borderId="7" xfId="0" applyNumberFormat="1" applyFont="1" applyFill="1" applyBorder="1" applyAlignment="1">
      <alignment horizontal="center"/>
    </xf>
    <xf numFmtId="3" fontId="3" fillId="16" borderId="0" xfId="0" applyNumberFormat="1" applyFont="1" applyFill="1" applyAlignment="1">
      <alignment horizontal="center"/>
    </xf>
    <xf numFmtId="3" fontId="10" fillId="18" borderId="20" xfId="0" applyNumberFormat="1" applyFont="1" applyFill="1" applyBorder="1" applyAlignment="1">
      <alignment horizontal="center"/>
    </xf>
    <xf numFmtId="9" fontId="0" fillId="0" borderId="8" xfId="1" applyFont="1" applyBorder="1" applyAlignment="1">
      <alignment horizontal="center"/>
    </xf>
    <xf numFmtId="9" fontId="8" fillId="17" borderId="10" xfId="1" applyFont="1" applyFill="1" applyBorder="1" applyAlignment="1">
      <alignment horizontal="center"/>
    </xf>
    <xf numFmtId="9" fontId="9" fillId="0" borderId="11" xfId="1" applyFont="1" applyFill="1" applyBorder="1" applyAlignment="1">
      <alignment horizontal="center"/>
    </xf>
    <xf numFmtId="10" fontId="9" fillId="0" borderId="11" xfId="1" applyNumberFormat="1" applyFont="1" applyFill="1" applyBorder="1" applyAlignment="1">
      <alignment horizontal="center"/>
    </xf>
    <xf numFmtId="164" fontId="9" fillId="0" borderId="11" xfId="0" applyNumberFormat="1" applyFont="1" applyFill="1" applyBorder="1" applyAlignment="1">
      <alignment horizontal="center"/>
    </xf>
    <xf numFmtId="9" fontId="3" fillId="16" borderId="8" xfId="1" applyFont="1" applyFill="1" applyBorder="1" applyAlignment="1">
      <alignment horizontal="center"/>
    </xf>
    <xf numFmtId="9" fontId="12" fillId="16" borderId="11" xfId="1" applyFont="1" applyFill="1" applyBorder="1" applyAlignment="1">
      <alignment horizontal="center"/>
    </xf>
    <xf numFmtId="3" fontId="0" fillId="0" borderId="6" xfId="0" applyNumberFormat="1" applyFont="1" applyFill="1" applyBorder="1" applyAlignment="1">
      <alignment horizontal="center"/>
    </xf>
    <xf numFmtId="164" fontId="0" fillId="0" borderId="6" xfId="0" applyNumberFormat="1" applyFont="1" applyFill="1" applyBorder="1" applyAlignment="1">
      <alignment horizontal="center"/>
    </xf>
    <xf numFmtId="10" fontId="1" fillId="0" borderId="14" xfId="1" applyNumberFormat="1" applyFont="1" applyFill="1" applyBorder="1" applyAlignment="1">
      <alignment horizontal="center"/>
    </xf>
    <xf numFmtId="0" fontId="0" fillId="0" borderId="6" xfId="0" applyFont="1" applyFill="1" applyBorder="1" applyAlignment="1">
      <alignment horizontal="left" indent="1"/>
    </xf>
    <xf numFmtId="3" fontId="13" fillId="0" borderId="6" xfId="0" applyNumberFormat="1" applyFont="1" applyBorder="1" applyAlignment="1">
      <alignment horizontal="center"/>
    </xf>
    <xf numFmtId="9" fontId="14" fillId="11" borderId="11" xfId="1" applyFont="1" applyFill="1" applyBorder="1" applyAlignment="1">
      <alignment horizontal="center"/>
    </xf>
    <xf numFmtId="3" fontId="3" fillId="16" borderId="6" xfId="0" applyNumberFormat="1" applyFont="1" applyFill="1" applyBorder="1" applyAlignment="1">
      <alignment horizontal="center"/>
    </xf>
    <xf numFmtId="3" fontId="2" fillId="19" borderId="6" xfId="0" applyNumberFormat="1" applyFont="1" applyFill="1" applyBorder="1" applyAlignment="1">
      <alignment horizontal="center"/>
    </xf>
    <xf numFmtId="9" fontId="3" fillId="16" borderId="6" xfId="1" applyFont="1" applyFill="1" applyBorder="1" applyAlignment="1">
      <alignment horizontal="center"/>
    </xf>
    <xf numFmtId="9" fontId="9" fillId="16" borderId="11" xfId="1" applyFont="1" applyFill="1" applyBorder="1" applyAlignment="1">
      <alignment horizontal="center"/>
    </xf>
    <xf numFmtId="3" fontId="3" fillId="16" borderId="21" xfId="0" applyNumberFormat="1" applyFont="1" applyFill="1" applyBorder="1" applyAlignment="1">
      <alignment horizontal="center"/>
    </xf>
    <xf numFmtId="3" fontId="9" fillId="0" borderId="22" xfId="0" applyNumberFormat="1" applyFont="1" applyFill="1" applyBorder="1" applyAlignment="1">
      <alignment horizontal="center"/>
    </xf>
    <xf numFmtId="3" fontId="8" fillId="17" borderId="22" xfId="0" applyNumberFormat="1" applyFont="1" applyFill="1" applyBorder="1" applyAlignment="1">
      <alignment horizontal="center"/>
    </xf>
    <xf numFmtId="4" fontId="3" fillId="16" borderId="6" xfId="0" applyNumberFormat="1" applyFont="1" applyFill="1" applyBorder="1" applyAlignment="1">
      <alignment horizontal="center"/>
    </xf>
    <xf numFmtId="164" fontId="3" fillId="16" borderId="6" xfId="0" applyNumberFormat="1" applyFont="1" applyFill="1" applyBorder="1" applyAlignment="1">
      <alignment horizontal="center"/>
    </xf>
    <xf numFmtId="0" fontId="2" fillId="11" borderId="6" xfId="0" applyFont="1" applyFill="1" applyBorder="1"/>
    <xf numFmtId="4" fontId="8" fillId="17" borderId="7" xfId="0" applyNumberFormat="1" applyFont="1" applyFill="1" applyBorder="1" applyAlignment="1">
      <alignment horizontal="center"/>
    </xf>
    <xf numFmtId="3" fontId="10" fillId="18" borderId="7" xfId="0" applyNumberFormat="1" applyFont="1" applyFill="1" applyBorder="1" applyAlignment="1">
      <alignment horizontal="center"/>
    </xf>
    <xf numFmtId="9" fontId="12" fillId="16" borderId="11" xfId="1" applyNumberFormat="1" applyFont="1" applyFill="1" applyBorder="1" applyAlignment="1">
      <alignment horizontal="center"/>
    </xf>
    <xf numFmtId="0" fontId="15" fillId="0" borderId="0" xfId="0" applyFont="1" applyAlignment="1">
      <alignment horizontal="center"/>
    </xf>
    <xf numFmtId="9" fontId="3" fillId="0" borderId="0" xfId="1" applyFont="1" applyBorder="1" applyAlignment="1">
      <alignment horizontal="right"/>
    </xf>
    <xf numFmtId="0" fontId="0" fillId="0" borderId="0" xfId="0" applyBorder="1"/>
    <xf numFmtId="0" fontId="0" fillId="0" borderId="0" xfId="0" applyFill="1" applyBorder="1"/>
    <xf numFmtId="9" fontId="16" fillId="0" borderId="0" xfId="1" applyFont="1" applyFill="1" applyBorder="1" applyAlignment="1">
      <alignment horizontal="center" vertical="center" wrapText="1"/>
    </xf>
    <xf numFmtId="9" fontId="3" fillId="0" borderId="0" xfId="1" applyFont="1" applyFill="1" applyBorder="1" applyAlignment="1">
      <alignment horizontal="center"/>
    </xf>
    <xf numFmtId="3" fontId="18" fillId="4" borderId="1" xfId="0" applyNumberFormat="1" applyFont="1" applyFill="1" applyBorder="1" applyAlignment="1">
      <alignment horizontal="center" vertical="center"/>
    </xf>
    <xf numFmtId="3" fontId="18" fillId="4" borderId="1" xfId="0" applyNumberFormat="1" applyFont="1" applyFill="1" applyBorder="1" applyAlignment="1">
      <alignment horizontal="center" vertical="center" wrapText="1"/>
    </xf>
    <xf numFmtId="0" fontId="3" fillId="20" borderId="6" xfId="0" applyFont="1" applyFill="1" applyBorder="1" applyAlignment="1">
      <alignment horizontal="left"/>
    </xf>
    <xf numFmtId="3" fontId="3" fillId="20" borderId="6" xfId="0" applyNumberFormat="1" applyFont="1" applyFill="1" applyBorder="1" applyAlignment="1">
      <alignment horizontal="center"/>
    </xf>
    <xf numFmtId="0" fontId="3" fillId="21" borderId="6" xfId="0" applyFont="1" applyFill="1" applyBorder="1" applyAlignment="1">
      <alignment horizontal="left"/>
    </xf>
    <xf numFmtId="3" fontId="3" fillId="21" borderId="6" xfId="0" applyNumberFormat="1" applyFont="1" applyFill="1" applyBorder="1" applyAlignment="1">
      <alignment horizontal="center"/>
    </xf>
    <xf numFmtId="0" fontId="7" fillId="0" borderId="0" xfId="0" applyFont="1" applyFill="1" applyAlignment="1">
      <alignment vertical="center"/>
    </xf>
    <xf numFmtId="0" fontId="19" fillId="3" borderId="6" xfId="0" applyFont="1" applyFill="1" applyBorder="1"/>
    <xf numFmtId="3" fontId="16" fillId="3" borderId="6" xfId="0" applyNumberFormat="1" applyFont="1" applyFill="1" applyBorder="1" applyAlignment="1">
      <alignment horizontal="center"/>
    </xf>
    <xf numFmtId="0" fontId="16" fillId="3" borderId="6" xfId="0" applyFont="1" applyFill="1" applyBorder="1" applyAlignment="1">
      <alignment horizontal="center"/>
    </xf>
    <xf numFmtId="0" fontId="3" fillId="2" borderId="6" xfId="0" applyFont="1" applyFill="1" applyBorder="1"/>
    <xf numFmtId="3" fontId="18" fillId="5" borderId="1"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wrapText="1"/>
    </xf>
    <xf numFmtId="0" fontId="17" fillId="5" borderId="8" xfId="0" applyFont="1" applyFill="1" applyBorder="1" applyAlignment="1">
      <alignment horizontal="center" vertical="center" wrapText="1"/>
    </xf>
    <xf numFmtId="0" fontId="0" fillId="5" borderId="0" xfId="0" applyFill="1"/>
    <xf numFmtId="0" fontId="3" fillId="21" borderId="0" xfId="0" applyFont="1" applyFill="1"/>
    <xf numFmtId="164" fontId="3" fillId="21" borderId="6" xfId="0" applyNumberFormat="1" applyFont="1" applyFill="1" applyBorder="1" applyAlignment="1">
      <alignment horizontal="center"/>
    </xf>
    <xf numFmtId="4" fontId="3" fillId="21" borderId="6" xfId="0" applyNumberFormat="1" applyFont="1" applyFill="1" applyBorder="1" applyAlignment="1">
      <alignment horizontal="center"/>
    </xf>
    <xf numFmtId="0" fontId="3" fillId="2" borderId="0" xfId="0" applyFont="1" applyFill="1"/>
    <xf numFmtId="0" fontId="3" fillId="0" borderId="0" xfId="0" applyFont="1" applyFill="1"/>
    <xf numFmtId="0" fontId="13" fillId="0" borderId="0" xfId="0" applyFont="1" applyFill="1"/>
    <xf numFmtId="0" fontId="20" fillId="0" borderId="0" xfId="0" applyFont="1" applyFill="1"/>
    <xf numFmtId="0" fontId="0" fillId="0" borderId="0" xfId="0" applyFill="1"/>
    <xf numFmtId="3" fontId="3" fillId="0" borderId="8" xfId="0" applyNumberFormat="1" applyFont="1" applyFill="1" applyBorder="1" applyAlignment="1">
      <alignment horizontal="center"/>
    </xf>
    <xf numFmtId="4" fontId="3" fillId="20" borderId="6" xfId="0" applyNumberFormat="1" applyFont="1" applyFill="1" applyBorder="1" applyAlignment="1">
      <alignment horizontal="center"/>
    </xf>
    <xf numFmtId="0" fontId="3" fillId="20" borderId="0" xfId="0" applyFont="1" applyFill="1" applyAlignment="1">
      <alignment horizontal="center" vertical="center"/>
    </xf>
    <xf numFmtId="3" fontId="3" fillId="20" borderId="0" xfId="0" applyNumberFormat="1" applyFont="1" applyFill="1" applyAlignment="1">
      <alignment horizontal="center"/>
    </xf>
    <xf numFmtId="3" fontId="0" fillId="0" borderId="0" xfId="0" applyNumberFormat="1"/>
    <xf numFmtId="3" fontId="18" fillId="23" borderId="0" xfId="0" applyNumberFormat="1" applyFont="1" applyFill="1" applyAlignment="1">
      <alignment horizontal="center"/>
    </xf>
    <xf numFmtId="9" fontId="3" fillId="21" borderId="6" xfId="1" applyFont="1" applyFill="1" applyBorder="1" applyAlignment="1">
      <alignment horizontal="center"/>
    </xf>
    <xf numFmtId="9" fontId="3" fillId="21" borderId="9" xfId="1" applyFont="1" applyFill="1" applyBorder="1" applyAlignment="1">
      <alignment horizontal="center"/>
    </xf>
    <xf numFmtId="0" fontId="3" fillId="21" borderId="6" xfId="0" applyFont="1" applyFill="1" applyBorder="1"/>
    <xf numFmtId="0" fontId="19" fillId="24" borderId="6" xfId="0" applyFont="1" applyFill="1" applyBorder="1"/>
    <xf numFmtId="3" fontId="16" fillId="24" borderId="6" xfId="0" applyNumberFormat="1" applyFont="1" applyFill="1" applyBorder="1" applyAlignment="1">
      <alignment horizontal="center"/>
    </xf>
    <xf numFmtId="0" fontId="16" fillId="24" borderId="6" xfId="0" applyFont="1" applyFill="1" applyBorder="1" applyAlignment="1">
      <alignment horizontal="center"/>
    </xf>
    <xf numFmtId="3" fontId="2" fillId="4" borderId="0" xfId="0" applyNumberFormat="1" applyFont="1" applyFill="1" applyAlignment="1">
      <alignment horizontal="center"/>
    </xf>
    <xf numFmtId="9" fontId="1" fillId="0" borderId="9" xfId="1" applyFont="1" applyFill="1" applyBorder="1" applyAlignment="1">
      <alignment horizontal="center"/>
    </xf>
    <xf numFmtId="9" fontId="3" fillId="20" borderId="9" xfId="1" applyFont="1" applyFill="1" applyBorder="1" applyAlignment="1">
      <alignment horizontal="center"/>
    </xf>
    <xf numFmtId="3" fontId="3" fillId="2" borderId="0" xfId="0" applyNumberFormat="1" applyFont="1" applyFill="1" applyBorder="1" applyAlignment="1">
      <alignment horizontal="center" vertical="center"/>
    </xf>
    <xf numFmtId="3" fontId="3" fillId="2" borderId="24" xfId="0" applyNumberFormat="1" applyFont="1" applyFill="1" applyBorder="1" applyAlignment="1">
      <alignment horizontal="center" vertical="center"/>
    </xf>
    <xf numFmtId="3" fontId="8" fillId="7" borderId="22" xfId="0" applyNumberFormat="1" applyFont="1" applyFill="1" applyBorder="1" applyAlignment="1">
      <alignment horizontal="center"/>
    </xf>
    <xf numFmtId="3" fontId="9" fillId="0" borderId="10" xfId="0" applyNumberFormat="1" applyFont="1" applyFill="1" applyBorder="1" applyAlignment="1">
      <alignment horizontal="center"/>
    </xf>
    <xf numFmtId="3" fontId="10" fillId="8" borderId="19" xfId="0" applyNumberFormat="1" applyFont="1" applyFill="1" applyBorder="1" applyAlignment="1">
      <alignment horizontal="center"/>
    </xf>
    <xf numFmtId="0" fontId="2" fillId="4" borderId="2" xfId="0" applyFont="1" applyFill="1" applyBorder="1" applyAlignment="1">
      <alignment horizontal="center" vertical="center" wrapText="1"/>
    </xf>
    <xf numFmtId="0" fontId="2" fillId="4" borderId="2" xfId="0" applyFont="1" applyFill="1" applyBorder="1" applyAlignment="1">
      <alignment horizontal="center" vertical="center"/>
    </xf>
    <xf numFmtId="0" fontId="2" fillId="5" borderId="2" xfId="0" applyFont="1" applyFill="1" applyBorder="1" applyAlignment="1">
      <alignment horizontal="center" vertical="center" wrapText="1"/>
    </xf>
    <xf numFmtId="0" fontId="2" fillId="5" borderId="2" xfId="0" applyFont="1" applyFill="1" applyBorder="1" applyAlignment="1">
      <alignment horizontal="center" vertical="center"/>
    </xf>
    <xf numFmtId="4" fontId="8" fillId="7" borderId="10" xfId="0" applyNumberFormat="1" applyFont="1" applyFill="1" applyBorder="1" applyAlignment="1">
      <alignment horizontal="center"/>
    </xf>
    <xf numFmtId="9" fontId="3" fillId="6" borderId="14" xfId="1" applyFont="1" applyFill="1" applyBorder="1" applyAlignment="1">
      <alignment horizontal="center"/>
    </xf>
    <xf numFmtId="9" fontId="2" fillId="5" borderId="14" xfId="1" applyFont="1" applyFill="1" applyBorder="1" applyAlignment="1">
      <alignment horizontal="center"/>
    </xf>
    <xf numFmtId="3" fontId="8" fillId="7" borderId="25" xfId="0" applyNumberFormat="1" applyFont="1" applyFill="1" applyBorder="1" applyAlignment="1">
      <alignment horizontal="center"/>
    </xf>
    <xf numFmtId="3" fontId="11" fillId="0" borderId="26" xfId="0" applyNumberFormat="1" applyFont="1" applyFill="1" applyBorder="1" applyAlignment="1">
      <alignment horizontal="center"/>
    </xf>
    <xf numFmtId="3" fontId="11" fillId="0" borderId="27" xfId="0" applyNumberFormat="1" applyFont="1" applyFill="1" applyBorder="1" applyAlignment="1">
      <alignment horizontal="center"/>
    </xf>
    <xf numFmtId="3" fontId="3" fillId="2" borderId="6" xfId="0" applyNumberFormat="1" applyFont="1" applyFill="1" applyBorder="1" applyAlignment="1">
      <alignment horizontal="center" vertical="center"/>
    </xf>
    <xf numFmtId="3" fontId="3" fillId="2" borderId="28" xfId="0" applyNumberFormat="1" applyFont="1" applyFill="1" applyBorder="1" applyAlignment="1">
      <alignment horizontal="center" vertical="center"/>
    </xf>
    <xf numFmtId="3" fontId="2" fillId="3" borderId="29" xfId="0" applyNumberFormat="1" applyFont="1" applyFill="1" applyBorder="1" applyAlignment="1">
      <alignment horizontal="center"/>
    </xf>
    <xf numFmtId="3" fontId="2" fillId="3" borderId="30" xfId="0" applyNumberFormat="1" applyFont="1" applyFill="1" applyBorder="1" applyAlignment="1">
      <alignment horizontal="center"/>
    </xf>
    <xf numFmtId="3" fontId="2" fillId="3" borderId="31" xfId="0" applyNumberFormat="1" applyFont="1" applyFill="1" applyBorder="1" applyAlignment="1">
      <alignment horizontal="center"/>
    </xf>
    <xf numFmtId="0" fontId="2" fillId="11" borderId="6" xfId="0" applyFont="1" applyFill="1" applyBorder="1" applyAlignment="1">
      <alignment horizontal="left"/>
    </xf>
    <xf numFmtId="3" fontId="2" fillId="11" borderId="34" xfId="0" applyNumberFormat="1" applyFont="1" applyFill="1" applyBorder="1" applyAlignment="1">
      <alignment horizontal="center"/>
    </xf>
    <xf numFmtId="9" fontId="14" fillId="11" borderId="33" xfId="1" applyFont="1" applyFill="1" applyBorder="1" applyAlignment="1">
      <alignment horizontal="center"/>
    </xf>
    <xf numFmtId="3" fontId="0" fillId="0" borderId="8" xfId="0" applyNumberFormat="1" applyFont="1" applyFill="1" applyBorder="1" applyAlignment="1">
      <alignment horizontal="center"/>
    </xf>
    <xf numFmtId="3" fontId="0" fillId="0" borderId="0" xfId="0" applyNumberFormat="1" applyAlignment="1">
      <alignment horizontal="center"/>
    </xf>
    <xf numFmtId="3" fontId="3" fillId="20" borderId="8" xfId="0" applyNumberFormat="1" applyFont="1" applyFill="1" applyBorder="1" applyAlignment="1">
      <alignment horizontal="center"/>
    </xf>
    <xf numFmtId="0" fontId="0" fillId="0" borderId="21" xfId="0" applyFill="1" applyBorder="1" applyAlignment="1">
      <alignment horizontal="left" indent="1"/>
    </xf>
    <xf numFmtId="3" fontId="18" fillId="4" borderId="1" xfId="0" applyNumberFormat="1" applyFont="1" applyFill="1" applyBorder="1" applyAlignment="1">
      <alignment horizontal="left" vertical="center"/>
    </xf>
    <xf numFmtId="0" fontId="18" fillId="22" borderId="6" xfId="0" applyFont="1" applyFill="1" applyBorder="1" applyAlignment="1">
      <alignment horizontal="left"/>
    </xf>
    <xf numFmtId="164" fontId="3" fillId="20" borderId="6" xfId="0" applyNumberFormat="1" applyFont="1" applyFill="1" applyBorder="1" applyAlignment="1">
      <alignment horizontal="center"/>
    </xf>
    <xf numFmtId="0" fontId="13" fillId="0" borderId="6" xfId="0" applyFont="1" applyBorder="1" applyAlignment="1">
      <alignment horizontal="left" indent="1"/>
    </xf>
    <xf numFmtId="0" fontId="16" fillId="24" borderId="6" xfId="0" applyFont="1" applyFill="1" applyBorder="1" applyAlignment="1">
      <alignment horizontal="center" wrapText="1"/>
    </xf>
    <xf numFmtId="4" fontId="18" fillId="5" borderId="6" xfId="0" applyNumberFormat="1" applyFont="1" applyFill="1" applyBorder="1" applyAlignment="1">
      <alignment horizontal="center"/>
    </xf>
    <xf numFmtId="9" fontId="3" fillId="20" borderId="6" xfId="1" applyFont="1" applyFill="1" applyBorder="1" applyAlignment="1">
      <alignment horizontal="center"/>
    </xf>
    <xf numFmtId="4" fontId="18" fillId="4" borderId="1" xfId="0" applyNumberFormat="1" applyFont="1" applyFill="1" applyBorder="1" applyAlignment="1">
      <alignment horizontal="center" vertical="center"/>
    </xf>
    <xf numFmtId="3" fontId="21" fillId="4" borderId="1" xfId="0" applyNumberFormat="1" applyFont="1" applyFill="1" applyBorder="1" applyAlignment="1">
      <alignment horizontal="center" vertical="center" wrapText="1"/>
    </xf>
    <xf numFmtId="4" fontId="18" fillId="23" borderId="0" xfId="0" applyNumberFormat="1" applyFont="1" applyFill="1" applyAlignment="1">
      <alignment horizontal="center"/>
    </xf>
    <xf numFmtId="3" fontId="3" fillId="20" borderId="0" xfId="0" applyNumberFormat="1" applyFont="1" applyFill="1" applyAlignment="1">
      <alignment horizontal="center" vertical="center"/>
    </xf>
    <xf numFmtId="9" fontId="0" fillId="0" borderId="0" xfId="1" applyFont="1"/>
    <xf numFmtId="0" fontId="0" fillId="0" borderId="0" xfId="0" applyBorder="1" applyAlignment="1">
      <alignment horizontal="left" indent="1"/>
    </xf>
    <xf numFmtId="0" fontId="22" fillId="0" borderId="0" xfId="0" applyFont="1" applyAlignment="1">
      <alignment horizontal="left"/>
    </xf>
    <xf numFmtId="9" fontId="0" fillId="0" borderId="8" xfId="0" applyNumberFormat="1" applyFont="1" applyFill="1" applyBorder="1" applyAlignment="1">
      <alignment horizontal="center"/>
    </xf>
    <xf numFmtId="9" fontId="2" fillId="4" borderId="0" xfId="1" applyFont="1" applyFill="1" applyAlignment="1">
      <alignment horizontal="center"/>
    </xf>
    <xf numFmtId="3" fontId="2" fillId="4" borderId="1" xfId="0" applyNumberFormat="1" applyFont="1" applyFill="1" applyBorder="1" applyAlignment="1">
      <alignment horizontal="center" vertical="center"/>
    </xf>
    <xf numFmtId="9" fontId="3" fillId="21" borderId="6" xfId="0" applyNumberFormat="1" applyFont="1" applyFill="1" applyBorder="1" applyAlignment="1">
      <alignment horizontal="center"/>
    </xf>
    <xf numFmtId="9" fontId="18" fillId="23" borderId="0" xfId="1" applyFont="1" applyFill="1" applyAlignment="1">
      <alignment horizontal="center"/>
    </xf>
    <xf numFmtId="3" fontId="2" fillId="5" borderId="1" xfId="0" applyNumberFormat="1" applyFont="1" applyFill="1" applyBorder="1" applyAlignment="1">
      <alignment horizontal="center" vertical="center"/>
    </xf>
    <xf numFmtId="3" fontId="21" fillId="5" borderId="1" xfId="0" applyNumberFormat="1" applyFont="1" applyFill="1" applyBorder="1" applyAlignment="1">
      <alignment horizontal="center" vertical="center" wrapText="1"/>
    </xf>
    <xf numFmtId="0" fontId="23" fillId="25" borderId="22" xfId="0" applyFont="1" applyFill="1" applyBorder="1" applyAlignment="1">
      <alignment horizontal="center" vertical="center" wrapText="1"/>
    </xf>
    <xf numFmtId="0" fontId="23" fillId="25" borderId="35" xfId="0" applyFont="1" applyFill="1" applyBorder="1" applyAlignment="1">
      <alignment horizontal="center" vertical="center" wrapText="1"/>
    </xf>
    <xf numFmtId="9" fontId="0" fillId="0" borderId="8" xfId="1" applyFont="1" applyFill="1" applyBorder="1" applyAlignment="1">
      <alignment horizontal="center"/>
    </xf>
    <xf numFmtId="9" fontId="0" fillId="0" borderId="0" xfId="1" applyFont="1" applyFill="1"/>
    <xf numFmtId="9" fontId="18" fillId="4" borderId="1" xfId="1" applyFont="1" applyFill="1" applyBorder="1" applyAlignment="1">
      <alignment horizontal="center" vertical="center"/>
    </xf>
    <xf numFmtId="0" fontId="7" fillId="0" borderId="0" xfId="0" applyFont="1" applyAlignment="1"/>
    <xf numFmtId="3" fontId="24" fillId="4" borderId="1" xfId="0" applyNumberFormat="1" applyFont="1" applyFill="1" applyBorder="1" applyAlignment="1">
      <alignment horizontal="center" vertical="center" wrapText="1"/>
    </xf>
    <xf numFmtId="3" fontId="0" fillId="0" borderId="6" xfId="0" applyNumberFormat="1" applyFill="1" applyBorder="1" applyAlignment="1">
      <alignment horizontal="center"/>
    </xf>
    <xf numFmtId="9" fontId="13" fillId="0" borderId="6" xfId="1" applyFont="1" applyFill="1" applyBorder="1" applyAlignment="1">
      <alignment horizontal="center"/>
    </xf>
    <xf numFmtId="3" fontId="13" fillId="0" borderId="6" xfId="0" applyNumberFormat="1" applyFont="1" applyFill="1" applyBorder="1" applyAlignment="1">
      <alignment horizontal="center"/>
    </xf>
    <xf numFmtId="0" fontId="3" fillId="0" borderId="0" xfId="0" applyFont="1"/>
    <xf numFmtId="0" fontId="25" fillId="0" borderId="0" xfId="0" applyFont="1"/>
    <xf numFmtId="3" fontId="0" fillId="0" borderId="6" xfId="0" applyNumberFormat="1" applyFont="1" applyBorder="1" applyAlignment="1">
      <alignment horizontal="center"/>
    </xf>
    <xf numFmtId="3" fontId="18" fillId="4" borderId="1"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xf>
    <xf numFmtId="3" fontId="2" fillId="14" borderId="6" xfId="0" applyNumberFormat="1" applyFont="1" applyFill="1" applyBorder="1" applyAlignment="1">
      <alignment horizontal="left"/>
    </xf>
    <xf numFmtId="0" fontId="0" fillId="0" borderId="6" xfId="0" applyBorder="1" applyAlignment="1">
      <alignment horizontal="center"/>
    </xf>
    <xf numFmtId="0" fontId="28" fillId="26" borderId="42" xfId="2" applyFont="1" applyFill="1" applyBorder="1" applyAlignment="1">
      <alignment vertical="center"/>
    </xf>
    <xf numFmtId="0" fontId="0" fillId="26" borderId="16" xfId="0" applyFill="1" applyBorder="1" applyAlignment="1">
      <alignment vertical="center"/>
    </xf>
    <xf numFmtId="0" fontId="0" fillId="0" borderId="45" xfId="0" applyBorder="1"/>
    <xf numFmtId="0" fontId="30" fillId="0" borderId="0" xfId="0" applyFont="1" applyFill="1" applyAlignment="1">
      <alignment vertical="center"/>
    </xf>
    <xf numFmtId="0" fontId="32" fillId="0" borderId="0" xfId="0" applyFont="1" applyAlignment="1">
      <alignment horizontal="left"/>
    </xf>
    <xf numFmtId="0" fontId="31" fillId="0" borderId="0" xfId="0" applyFont="1" applyFill="1" applyAlignment="1">
      <alignment vertical="center"/>
    </xf>
    <xf numFmtId="0" fontId="30" fillId="0" borderId="0" xfId="0" applyFont="1" applyAlignment="1"/>
    <xf numFmtId="0" fontId="2" fillId="5" borderId="2" xfId="0" applyFont="1" applyFill="1" applyBorder="1" applyAlignment="1">
      <alignment horizontal="center" vertical="center"/>
    </xf>
    <xf numFmtId="0" fontId="2" fillId="4" borderId="2" xfId="0" applyFont="1" applyFill="1" applyBorder="1" applyAlignment="1">
      <alignment horizontal="center" vertical="center"/>
    </xf>
    <xf numFmtId="0" fontId="2" fillId="27" borderId="6" xfId="0" applyFont="1" applyFill="1" applyBorder="1" applyAlignment="1">
      <alignment horizontal="center" vertical="center"/>
    </xf>
    <xf numFmtId="3" fontId="0" fillId="26" borderId="6" xfId="0" applyNumberFormat="1" applyFill="1" applyBorder="1" applyAlignment="1">
      <alignment horizontal="center"/>
    </xf>
    <xf numFmtId="0" fontId="2" fillId="0" borderId="0" xfId="0" applyFont="1" applyFill="1" applyBorder="1" applyAlignment="1">
      <alignment vertical="center"/>
    </xf>
    <xf numFmtId="0" fontId="33" fillId="0" borderId="0" xfId="0" applyFont="1" applyFill="1" applyBorder="1" applyAlignment="1"/>
    <xf numFmtId="0" fontId="27" fillId="0" borderId="0" xfId="0" applyFont="1" applyFill="1" applyBorder="1" applyAlignment="1"/>
    <xf numFmtId="0" fontId="29" fillId="0" borderId="0" xfId="0" applyFont="1" applyFill="1" applyBorder="1"/>
    <xf numFmtId="0" fontId="2" fillId="0" borderId="0" xfId="0" applyFont="1" applyFill="1" applyBorder="1" applyAlignment="1">
      <alignment vertical="center" wrapText="1"/>
    </xf>
    <xf numFmtId="0" fontId="35" fillId="0" borderId="0" xfId="3" applyFont="1" applyBorder="1" applyAlignment="1">
      <alignment vertical="center"/>
    </xf>
    <xf numFmtId="0" fontId="34" fillId="0" borderId="0" xfId="3" applyFont="1" applyFill="1" applyBorder="1" applyAlignment="1">
      <alignment horizontal="left"/>
    </xf>
    <xf numFmtId="0" fontId="37" fillId="0" borderId="0" xfId="6" applyBorder="1">
      <alignment vertical="center"/>
    </xf>
    <xf numFmtId="0" fontId="37" fillId="0" borderId="52" xfId="6" applyBorder="1">
      <alignment vertical="center"/>
    </xf>
    <xf numFmtId="0" fontId="38" fillId="0" borderId="0" xfId="0" applyFont="1" applyAlignment="1">
      <alignment horizontal="left"/>
    </xf>
    <xf numFmtId="0" fontId="39" fillId="0" borderId="0" xfId="0" applyFont="1" applyAlignment="1">
      <alignment horizontal="left"/>
    </xf>
    <xf numFmtId="0" fontId="39" fillId="0" borderId="0" xfId="0" applyFont="1" applyAlignment="1"/>
    <xf numFmtId="0" fontId="4" fillId="0" borderId="0" xfId="0" applyFont="1" applyAlignment="1">
      <alignment horizontal="right"/>
    </xf>
    <xf numFmtId="0" fontId="40" fillId="0" borderId="0" xfId="6" applyFont="1" applyBorder="1">
      <alignment vertical="center"/>
    </xf>
    <xf numFmtId="0" fontId="40" fillId="0" borderId="53" xfId="6" applyFont="1" applyBorder="1">
      <alignment vertical="center"/>
    </xf>
    <xf numFmtId="0" fontId="2" fillId="28" borderId="6" xfId="0" applyFont="1" applyFill="1" applyBorder="1" applyAlignment="1">
      <alignment horizontal="center" vertical="center" wrapText="1"/>
    </xf>
    <xf numFmtId="0" fontId="2" fillId="28" borderId="48" xfId="0" applyFont="1" applyFill="1" applyBorder="1" applyAlignment="1">
      <alignment horizontal="center" vertical="center" wrapText="1"/>
    </xf>
    <xf numFmtId="0" fontId="3" fillId="29" borderId="9" xfId="0" applyFont="1" applyFill="1" applyBorder="1" applyAlignment="1">
      <alignment horizontal="left"/>
    </xf>
    <xf numFmtId="3" fontId="20" fillId="29" borderId="6" xfId="0" applyNumberFormat="1" applyFont="1" applyFill="1" applyBorder="1" applyAlignment="1">
      <alignment horizontal="center"/>
    </xf>
    <xf numFmtId="3" fontId="0" fillId="0" borderId="31" xfId="0" applyNumberFormat="1" applyBorder="1" applyAlignment="1">
      <alignment horizontal="center"/>
    </xf>
    <xf numFmtId="3" fontId="18" fillId="27" borderId="8" xfId="0" applyNumberFormat="1" applyFont="1" applyFill="1" applyBorder="1" applyAlignment="1">
      <alignment horizontal="center" vertical="center"/>
    </xf>
    <xf numFmtId="3" fontId="18" fillId="27" borderId="56" xfId="0" applyNumberFormat="1" applyFont="1" applyFill="1" applyBorder="1" applyAlignment="1">
      <alignment horizontal="center" vertical="center"/>
    </xf>
    <xf numFmtId="3" fontId="18" fillId="27" borderId="57" xfId="0" applyNumberFormat="1" applyFont="1" applyFill="1" applyBorder="1" applyAlignment="1">
      <alignment horizontal="center" vertical="center"/>
    </xf>
    <xf numFmtId="3" fontId="18" fillId="27" borderId="59" xfId="0" applyNumberFormat="1" applyFont="1" applyFill="1" applyBorder="1" applyAlignment="1">
      <alignment horizontal="center" vertical="center"/>
    </xf>
    <xf numFmtId="3" fontId="0" fillId="0" borderId="58" xfId="0" applyNumberFormat="1" applyBorder="1" applyAlignment="1">
      <alignment horizontal="center"/>
    </xf>
    <xf numFmtId="3" fontId="18" fillId="27" borderId="0" xfId="0" applyNumberFormat="1" applyFont="1" applyFill="1" applyBorder="1" applyAlignment="1">
      <alignment horizontal="center" vertical="center"/>
    </xf>
    <xf numFmtId="3" fontId="18" fillId="27" borderId="60" xfId="0" applyNumberFormat="1" applyFont="1" applyFill="1" applyBorder="1" applyAlignment="1">
      <alignment horizontal="center" vertical="center"/>
    </xf>
    <xf numFmtId="3" fontId="18" fillId="27" borderId="19" xfId="0" applyNumberFormat="1" applyFont="1" applyFill="1" applyBorder="1" applyAlignment="1">
      <alignment horizontal="center" vertical="center"/>
    </xf>
    <xf numFmtId="3" fontId="18" fillId="27" borderId="61" xfId="0" applyNumberFormat="1" applyFont="1" applyFill="1" applyBorder="1" applyAlignment="1">
      <alignment horizontal="center" vertical="center"/>
    </xf>
    <xf numFmtId="0" fontId="0" fillId="0" borderId="31" xfId="0" applyBorder="1" applyAlignment="1">
      <alignment horizontal="left" indent="1"/>
    </xf>
    <xf numFmtId="3" fontId="18" fillId="27" borderId="62" xfId="0" applyNumberFormat="1" applyFont="1" applyFill="1" applyBorder="1" applyAlignment="1">
      <alignment horizontal="left" vertical="center"/>
    </xf>
    <xf numFmtId="3" fontId="2" fillId="27" borderId="1" xfId="0" applyNumberFormat="1" applyFont="1" applyFill="1" applyBorder="1" applyAlignment="1">
      <alignment horizontal="center" vertical="center"/>
    </xf>
    <xf numFmtId="9" fontId="2" fillId="27" borderId="1" xfId="1" applyFont="1" applyFill="1" applyBorder="1" applyAlignment="1">
      <alignment horizontal="center" vertical="center"/>
    </xf>
    <xf numFmtId="9" fontId="0" fillId="0" borderId="48" xfId="1" applyFont="1" applyBorder="1" applyAlignment="1">
      <alignment horizontal="center"/>
    </xf>
    <xf numFmtId="3" fontId="0" fillId="0" borderId="64" xfId="0" applyNumberFormat="1" applyFont="1" applyBorder="1" applyAlignment="1">
      <alignment horizontal="center"/>
    </xf>
    <xf numFmtId="3" fontId="0" fillId="0" borderId="14" xfId="0" applyNumberFormat="1" applyFont="1" applyBorder="1" applyAlignment="1">
      <alignment horizontal="center"/>
    </xf>
    <xf numFmtId="3" fontId="0" fillId="0" borderId="65" xfId="0" applyNumberFormat="1" applyFont="1" applyBorder="1" applyAlignment="1">
      <alignment horizontal="center"/>
    </xf>
    <xf numFmtId="3" fontId="0" fillId="0" borderId="66" xfId="0" applyNumberFormat="1" applyFont="1" applyBorder="1" applyAlignment="1">
      <alignment horizontal="center"/>
    </xf>
    <xf numFmtId="3" fontId="0" fillId="0" borderId="63" xfId="0" applyNumberFormat="1" applyFont="1" applyBorder="1" applyAlignment="1">
      <alignment horizontal="center"/>
    </xf>
    <xf numFmtId="0" fontId="2" fillId="31" borderId="6" xfId="0" applyFont="1" applyFill="1" applyBorder="1" applyAlignment="1">
      <alignment horizontal="center" vertical="center" wrapText="1"/>
    </xf>
    <xf numFmtId="0" fontId="2" fillId="32" borderId="6" xfId="0" applyNumberFormat="1" applyFont="1" applyFill="1" applyBorder="1" applyAlignment="1">
      <alignment horizontal="center" vertical="center" wrapText="1"/>
    </xf>
    <xf numFmtId="3" fontId="2" fillId="32" borderId="6" xfId="0" applyNumberFormat="1" applyFont="1" applyFill="1" applyBorder="1" applyAlignment="1">
      <alignment horizontal="center" vertical="center" wrapText="1"/>
    </xf>
    <xf numFmtId="9" fontId="2" fillId="32" borderId="6" xfId="1" applyFont="1" applyFill="1" applyBorder="1" applyAlignment="1">
      <alignment horizontal="center" vertical="center" wrapText="1"/>
    </xf>
    <xf numFmtId="0" fontId="3" fillId="33" borderId="6" xfId="0" applyFont="1" applyFill="1" applyBorder="1" applyAlignment="1">
      <alignment horizontal="center" vertical="center" wrapText="1"/>
    </xf>
    <xf numFmtId="0" fontId="3" fillId="34" borderId="6" xfId="0" applyFont="1" applyFill="1" applyBorder="1" applyAlignment="1">
      <alignment horizontal="left"/>
    </xf>
    <xf numFmtId="3" fontId="3" fillId="34" borderId="6" xfId="0" applyNumberFormat="1" applyFont="1" applyFill="1" applyBorder="1" applyAlignment="1">
      <alignment horizontal="center"/>
    </xf>
    <xf numFmtId="0" fontId="2" fillId="30" borderId="9" xfId="0" applyFont="1" applyFill="1" applyBorder="1" applyAlignment="1">
      <alignment horizontal="left"/>
    </xf>
    <xf numFmtId="3" fontId="2" fillId="30" borderId="6" xfId="0" applyNumberFormat="1" applyFont="1" applyFill="1" applyBorder="1" applyAlignment="1">
      <alignment horizontal="center"/>
    </xf>
    <xf numFmtId="0" fontId="41" fillId="0" borderId="0" xfId="0" applyFont="1" applyAlignment="1">
      <alignment horizontal="left"/>
    </xf>
    <xf numFmtId="0" fontId="42" fillId="0" borderId="0" xfId="3" applyFont="1" applyFill="1" applyBorder="1" applyAlignment="1">
      <alignment horizontal="left"/>
    </xf>
    <xf numFmtId="0" fontId="2" fillId="31" borderId="67" xfId="0" applyFont="1" applyFill="1" applyBorder="1" applyAlignment="1">
      <alignment horizontal="center" vertical="center" wrapText="1"/>
    </xf>
    <xf numFmtId="0" fontId="2" fillId="31" borderId="48" xfId="0" applyFont="1" applyFill="1" applyBorder="1" applyAlignment="1">
      <alignment horizontal="center" vertical="center" wrapText="1"/>
    </xf>
    <xf numFmtId="0" fontId="41" fillId="0" borderId="23" xfId="0" applyFont="1" applyBorder="1" applyAlignment="1">
      <alignment horizontal="left"/>
    </xf>
    <xf numFmtId="0" fontId="2" fillId="28" borderId="48" xfId="0" applyFont="1" applyFill="1" applyBorder="1" applyAlignment="1">
      <alignment horizontal="center" vertical="center"/>
    </xf>
    <xf numFmtId="0" fontId="2" fillId="31" borderId="6" xfId="0" applyFont="1" applyFill="1" applyBorder="1" applyAlignment="1">
      <alignment horizontal="center" vertical="center"/>
    </xf>
    <xf numFmtId="0" fontId="43" fillId="0" borderId="0" xfId="0" applyFont="1" applyFill="1" applyAlignment="1">
      <alignment vertical="center"/>
    </xf>
    <xf numFmtId="0" fontId="44" fillId="0" borderId="0" xfId="0" applyFont="1" applyFill="1" applyAlignment="1">
      <alignment vertical="center"/>
    </xf>
    <xf numFmtId="0" fontId="39" fillId="0" borderId="0" xfId="0" applyFont="1" applyAlignment="1">
      <alignment horizontal="left" vertical="center"/>
    </xf>
    <xf numFmtId="0" fontId="0" fillId="0" borderId="0" xfId="0" applyAlignment="1">
      <alignment horizontal="right"/>
    </xf>
    <xf numFmtId="0" fontId="45" fillId="0" borderId="0" xfId="0" applyFont="1" applyAlignment="1">
      <alignment horizontal="left" vertical="center"/>
    </xf>
    <xf numFmtId="0" fontId="45" fillId="0" borderId="0" xfId="0" applyFont="1" applyAlignment="1">
      <alignment horizontal="left"/>
    </xf>
    <xf numFmtId="0" fontId="43" fillId="0" borderId="0" xfId="3" applyFont="1" applyFill="1" applyBorder="1" applyAlignment="1">
      <alignment horizontal="left"/>
    </xf>
    <xf numFmtId="0" fontId="46" fillId="0" borderId="0" xfId="0" applyFont="1" applyAlignment="1">
      <alignment horizontal="left"/>
    </xf>
    <xf numFmtId="0" fontId="47" fillId="0" borderId="0" xfId="3" applyFont="1" applyFill="1" applyBorder="1" applyAlignment="1">
      <alignment horizontal="left"/>
    </xf>
    <xf numFmtId="0" fontId="48" fillId="0" borderId="70" xfId="6" applyFont="1" applyFill="1" applyBorder="1" applyAlignment="1">
      <alignment horizontal="left" vertical="center" indent="1"/>
    </xf>
    <xf numFmtId="0" fontId="48" fillId="0" borderId="71" xfId="6" applyFont="1" applyFill="1" applyBorder="1" applyAlignment="1">
      <alignment horizontal="left" vertical="center" indent="1"/>
    </xf>
    <xf numFmtId="3" fontId="8" fillId="7" borderId="0" xfId="0" applyNumberFormat="1" applyFont="1" applyFill="1" applyBorder="1" applyAlignment="1">
      <alignment horizontal="center"/>
    </xf>
    <xf numFmtId="9" fontId="3" fillId="2" borderId="6" xfId="0" applyNumberFormat="1" applyFont="1" applyFill="1" applyBorder="1" applyAlignment="1">
      <alignment horizontal="center"/>
    </xf>
    <xf numFmtId="9" fontId="2" fillId="3" borderId="31" xfId="0" applyNumberFormat="1" applyFont="1" applyFill="1" applyBorder="1" applyAlignment="1">
      <alignment horizontal="center"/>
    </xf>
    <xf numFmtId="9" fontId="8" fillId="7" borderId="22" xfId="0" applyNumberFormat="1" applyFont="1" applyFill="1" applyBorder="1" applyAlignment="1">
      <alignment horizontal="center"/>
    </xf>
    <xf numFmtId="0" fontId="24" fillId="5" borderId="2" xfId="0" applyFont="1" applyFill="1" applyBorder="1" applyAlignment="1">
      <alignment vertical="center" wrapText="1"/>
    </xf>
    <xf numFmtId="9" fontId="2" fillId="10" borderId="6" xfId="0" applyNumberFormat="1" applyFont="1" applyFill="1" applyBorder="1" applyAlignment="1">
      <alignment horizontal="center"/>
    </xf>
    <xf numFmtId="9" fontId="10" fillId="8" borderId="20" xfId="0" applyNumberFormat="1" applyFont="1" applyFill="1" applyBorder="1" applyAlignment="1">
      <alignment horizontal="center"/>
    </xf>
    <xf numFmtId="9" fontId="8" fillId="7" borderId="7" xfId="0" applyNumberFormat="1" applyFont="1" applyFill="1" applyBorder="1" applyAlignment="1">
      <alignment horizontal="center"/>
    </xf>
    <xf numFmtId="9" fontId="2" fillId="12" borderId="6" xfId="0" applyNumberFormat="1" applyFont="1" applyFill="1" applyBorder="1" applyAlignment="1">
      <alignment horizontal="center"/>
    </xf>
    <xf numFmtId="9" fontId="2" fillId="14" borderId="6" xfId="0" applyNumberFormat="1" applyFont="1" applyFill="1" applyBorder="1" applyAlignment="1">
      <alignment horizontal="center"/>
    </xf>
    <xf numFmtId="0" fontId="6" fillId="0" borderId="0" xfId="2" applyAlignment="1">
      <alignment horizontal="left"/>
    </xf>
    <xf numFmtId="0" fontId="5" fillId="0" borderId="0" xfId="0" applyFont="1" applyAlignment="1">
      <alignment horizontal="right"/>
    </xf>
    <xf numFmtId="0" fontId="6" fillId="0" borderId="0" xfId="2" applyAlignment="1">
      <alignment vertical="top"/>
    </xf>
    <xf numFmtId="0" fontId="49" fillId="0" borderId="0" xfId="3" applyFont="1" applyFill="1" applyBorder="1" applyAlignment="1">
      <alignment horizontal="left"/>
    </xf>
    <xf numFmtId="0" fontId="6" fillId="20" borderId="0" xfId="2" applyFill="1" applyBorder="1" applyAlignment="1">
      <alignment horizontal="left" vertical="center" indent="1"/>
    </xf>
    <xf numFmtId="0" fontId="6" fillId="21" borderId="0" xfId="2" applyFill="1" applyBorder="1" applyAlignment="1">
      <alignment horizontal="left" vertical="center" indent="1"/>
    </xf>
    <xf numFmtId="0" fontId="3" fillId="36" borderId="6" xfId="0" applyFont="1" applyFill="1" applyBorder="1" applyAlignment="1">
      <alignment horizontal="left"/>
    </xf>
    <xf numFmtId="3" fontId="3" fillId="36" borderId="6" xfId="0" applyNumberFormat="1" applyFont="1" applyFill="1" applyBorder="1" applyAlignment="1">
      <alignment horizontal="center"/>
    </xf>
    <xf numFmtId="9" fontId="3" fillId="36" borderId="6" xfId="1" applyFont="1" applyFill="1" applyBorder="1" applyAlignment="1">
      <alignment horizontal="center"/>
    </xf>
    <xf numFmtId="0" fontId="2" fillId="35" borderId="6" xfId="0" applyFont="1" applyFill="1" applyBorder="1" applyAlignment="1">
      <alignment horizontal="left"/>
    </xf>
    <xf numFmtId="3" fontId="2" fillId="37" borderId="6" xfId="0" applyNumberFormat="1" applyFont="1" applyFill="1" applyBorder="1" applyAlignment="1">
      <alignment horizontal="center"/>
    </xf>
    <xf numFmtId="9" fontId="2" fillId="35" borderId="6" xfId="1" applyFont="1" applyFill="1" applyBorder="1" applyAlignment="1">
      <alignment horizontal="center"/>
    </xf>
    <xf numFmtId="3" fontId="2" fillId="35" borderId="6" xfId="0" applyNumberFormat="1" applyFont="1" applyFill="1" applyBorder="1" applyAlignment="1">
      <alignment horizontal="center"/>
    </xf>
    <xf numFmtId="9" fontId="0" fillId="0" borderId="0" xfId="1" applyFont="1" applyBorder="1" applyAlignment="1">
      <alignment horizontal="center"/>
    </xf>
    <xf numFmtId="9" fontId="0" fillId="0" borderId="0" xfId="1" applyFont="1" applyAlignment="1">
      <alignment horizontal="center"/>
    </xf>
    <xf numFmtId="0" fontId="50" fillId="0" borderId="0" xfId="0" applyFont="1" applyFill="1" applyAlignment="1">
      <alignment vertical="center"/>
    </xf>
    <xf numFmtId="3" fontId="0" fillId="0" borderId="6" xfId="0" applyNumberFormat="1" applyBorder="1" applyAlignment="1">
      <alignment horizontal="right"/>
    </xf>
    <xf numFmtId="0" fontId="50" fillId="0" borderId="0" xfId="0" applyFont="1" applyFill="1" applyAlignment="1">
      <alignment vertical="center" wrapText="1"/>
    </xf>
    <xf numFmtId="0" fontId="2" fillId="4" borderId="1" xfId="0" applyFont="1" applyFill="1" applyBorder="1" applyAlignment="1">
      <alignment horizontal="center" vertical="center" wrapText="1"/>
    </xf>
    <xf numFmtId="3" fontId="0" fillId="0" borderId="48" xfId="0" applyNumberFormat="1" applyBorder="1" applyAlignment="1">
      <alignment horizontal="right"/>
    </xf>
    <xf numFmtId="0" fontId="3" fillId="2" borderId="2" xfId="0" applyFont="1" applyFill="1" applyBorder="1" applyAlignment="1">
      <alignment horizontal="left" indent="1"/>
    </xf>
    <xf numFmtId="0" fontId="51" fillId="0" borderId="0" xfId="0" applyFont="1" applyAlignment="1"/>
    <xf numFmtId="0" fontId="52" fillId="0" borderId="0" xfId="2" applyFont="1" applyAlignment="1">
      <alignment horizontal="right"/>
    </xf>
    <xf numFmtId="0" fontId="2" fillId="5" borderId="2" xfId="0" applyFont="1" applyFill="1" applyBorder="1" applyAlignment="1">
      <alignment horizontal="center" vertical="center"/>
    </xf>
    <xf numFmtId="0" fontId="2" fillId="4" borderId="2" xfId="0" applyFont="1" applyFill="1" applyBorder="1" applyAlignment="1">
      <alignment horizontal="center" vertical="center" wrapText="1"/>
    </xf>
    <xf numFmtId="0" fontId="6" fillId="20" borderId="0" xfId="2" applyFill="1" applyBorder="1" applyAlignment="1">
      <alignment horizontal="center" vertical="center"/>
    </xf>
    <xf numFmtId="0" fontId="6" fillId="21" borderId="0" xfId="2" applyFill="1" applyBorder="1" applyAlignment="1">
      <alignment horizontal="center" vertical="center"/>
    </xf>
    <xf numFmtId="0" fontId="2" fillId="5" borderId="2" xfId="0" applyFont="1" applyFill="1" applyBorder="1" applyAlignment="1">
      <alignment horizontal="center" vertical="center" wrapText="1"/>
    </xf>
    <xf numFmtId="0" fontId="6" fillId="0" borderId="0" xfId="2" applyFill="1" applyAlignment="1">
      <alignment vertical="center"/>
    </xf>
    <xf numFmtId="164" fontId="3" fillId="6" borderId="6" xfId="0" applyNumberFormat="1" applyFont="1" applyFill="1" applyBorder="1" applyAlignment="1">
      <alignment horizontal="center"/>
    </xf>
    <xf numFmtId="9" fontId="3" fillId="6" borderId="6" xfId="0" applyNumberFormat="1" applyFont="1" applyFill="1" applyBorder="1" applyAlignment="1">
      <alignment horizontal="center"/>
    </xf>
    <xf numFmtId="9" fontId="2" fillId="15" borderId="6" xfId="0" applyNumberFormat="1" applyFont="1" applyFill="1" applyBorder="1" applyAlignment="1">
      <alignment horizontal="center"/>
    </xf>
    <xf numFmtId="0" fontId="6" fillId="0" borderId="0" xfId="2" quotePrefix="1" applyFill="1" applyBorder="1"/>
    <xf numFmtId="0" fontId="6" fillId="20" borderId="0" xfId="2" applyFill="1" applyAlignment="1">
      <alignment horizontal="center"/>
    </xf>
    <xf numFmtId="0" fontId="6" fillId="21" borderId="0" xfId="2" applyFill="1" applyAlignment="1">
      <alignment horizontal="center"/>
    </xf>
    <xf numFmtId="0" fontId="29" fillId="0" borderId="0" xfId="0" applyFont="1" applyFill="1" applyBorder="1" applyAlignment="1"/>
    <xf numFmtId="0" fontId="6" fillId="0" borderId="0" xfId="2" quotePrefix="1"/>
    <xf numFmtId="0" fontId="28" fillId="26" borderId="42" xfId="2" applyFont="1" applyFill="1" applyBorder="1" applyAlignment="1">
      <alignment horizontal="left" vertical="center" indent="1"/>
    </xf>
    <xf numFmtId="0" fontId="9" fillId="0" borderId="0" xfId="0" applyFont="1" applyFill="1" applyBorder="1"/>
    <xf numFmtId="3" fontId="9" fillId="0" borderId="0" xfId="0" applyNumberFormat="1" applyFont="1" applyFill="1" applyBorder="1"/>
    <xf numFmtId="9" fontId="9" fillId="0" borderId="0" xfId="1" applyFont="1" applyFill="1" applyBorder="1" applyAlignment="1">
      <alignment horizontal="center"/>
    </xf>
    <xf numFmtId="0" fontId="61" fillId="0" borderId="0" xfId="0" applyFont="1"/>
    <xf numFmtId="3" fontId="0" fillId="0" borderId="0" xfId="0" applyNumberFormat="1" applyFill="1"/>
    <xf numFmtId="0" fontId="62" fillId="0" borderId="0" xfId="0" applyFont="1" applyFill="1" applyAlignment="1">
      <alignment vertical="center"/>
    </xf>
    <xf numFmtId="0" fontId="2" fillId="5" borderId="2" xfId="0" applyFont="1" applyFill="1" applyBorder="1" applyAlignment="1">
      <alignment vertical="center"/>
    </xf>
    <xf numFmtId="0" fontId="0" fillId="2" borderId="2" xfId="0" applyFont="1" applyFill="1" applyBorder="1" applyAlignment="1">
      <alignment horizontal="left" indent="1"/>
    </xf>
    <xf numFmtId="0" fontId="0" fillId="6" borderId="2" xfId="0" applyFont="1" applyFill="1" applyBorder="1" applyAlignment="1">
      <alignment horizontal="left" indent="1"/>
    </xf>
    <xf numFmtId="0" fontId="63" fillId="0" borderId="0" xfId="0" applyFont="1" applyFill="1" applyBorder="1"/>
    <xf numFmtId="165" fontId="1" fillId="0" borderId="0" xfId="1" applyNumberFormat="1" applyFont="1" applyFill="1" applyBorder="1" applyAlignment="1">
      <alignment horizontal="center"/>
    </xf>
    <xf numFmtId="9" fontId="54" fillId="0" borderId="0" xfId="1" applyFont="1" applyAlignment="1">
      <alignment horizontal="center"/>
    </xf>
    <xf numFmtId="165" fontId="0" fillId="0" borderId="0" xfId="1" applyNumberFormat="1" applyFont="1" applyAlignment="1">
      <alignment horizontal="center"/>
    </xf>
    <xf numFmtId="0" fontId="9" fillId="0" borderId="0" xfId="0" applyFont="1" applyFill="1" applyBorder="1" applyAlignment="1">
      <alignment vertical="center"/>
    </xf>
    <xf numFmtId="165" fontId="54" fillId="0" borderId="0" xfId="1" applyNumberFormat="1" applyFont="1" applyAlignment="1">
      <alignment horizontal="center"/>
    </xf>
    <xf numFmtId="0" fontId="0" fillId="2" borderId="2" xfId="0" applyFont="1" applyFill="1" applyBorder="1" applyAlignment="1">
      <alignment horizontal="left"/>
    </xf>
    <xf numFmtId="0" fontId="9" fillId="0" borderId="0" xfId="0" applyFont="1" applyFill="1" applyBorder="1" applyAlignment="1">
      <alignment horizontal="left" vertical="center"/>
    </xf>
    <xf numFmtId="0" fontId="0" fillId="6" borderId="2" xfId="0" applyFont="1" applyFill="1" applyBorder="1" applyAlignment="1">
      <alignment horizontal="left"/>
    </xf>
    <xf numFmtId="9" fontId="54" fillId="0" borderId="0" xfId="1" applyFont="1"/>
    <xf numFmtId="0" fontId="6" fillId="0" borderId="0" xfId="2" applyAlignment="1">
      <alignment horizontal="right"/>
    </xf>
    <xf numFmtId="0" fontId="2" fillId="35" borderId="2" xfId="0" applyFont="1" applyFill="1" applyBorder="1" applyAlignment="1">
      <alignment horizontal="center" vertical="center"/>
    </xf>
    <xf numFmtId="0" fontId="2" fillId="35" borderId="2" xfId="0" applyFont="1" applyFill="1" applyBorder="1" applyAlignment="1">
      <alignment horizontal="center" vertical="center" wrapText="1"/>
    </xf>
    <xf numFmtId="0" fontId="64" fillId="0" borderId="0" xfId="0" applyFont="1" applyFill="1" applyAlignment="1">
      <alignment vertical="center"/>
    </xf>
    <xf numFmtId="0" fontId="2" fillId="37" borderId="6" xfId="0" applyFont="1" applyFill="1" applyBorder="1" applyAlignment="1">
      <alignment horizontal="left"/>
    </xf>
    <xf numFmtId="9" fontId="2" fillId="35" borderId="14" xfId="1" applyFont="1" applyFill="1" applyBorder="1" applyAlignment="1">
      <alignment horizontal="center"/>
    </xf>
    <xf numFmtId="0" fontId="65" fillId="0" borderId="0" xfId="0" applyFont="1" applyFill="1" applyAlignment="1">
      <alignment vertical="center"/>
    </xf>
    <xf numFmtId="0" fontId="0" fillId="36" borderId="6" xfId="0" applyFont="1" applyFill="1" applyBorder="1" applyAlignment="1">
      <alignment horizontal="left"/>
    </xf>
    <xf numFmtId="9" fontId="66" fillId="0" borderId="0" xfId="1" applyFont="1" applyFill="1" applyBorder="1" applyAlignment="1">
      <alignment horizontal="center"/>
    </xf>
    <xf numFmtId="0" fontId="3" fillId="16" borderId="36" xfId="0" applyFont="1" applyFill="1" applyBorder="1" applyAlignment="1">
      <alignment horizontal="left"/>
    </xf>
    <xf numFmtId="3" fontId="12" fillId="16" borderId="61" xfId="0" applyNumberFormat="1" applyFont="1" applyFill="1" applyBorder="1" applyAlignment="1">
      <alignment horizontal="center"/>
    </xf>
    <xf numFmtId="9" fontId="3" fillId="16" borderId="61" xfId="1" applyNumberFormat="1" applyFont="1" applyFill="1" applyBorder="1" applyAlignment="1">
      <alignment horizontal="center"/>
    </xf>
    <xf numFmtId="0" fontId="2" fillId="11" borderId="2" xfId="0" applyFont="1" applyFill="1" applyBorder="1" applyAlignment="1">
      <alignment horizontal="center" vertical="center" wrapText="1"/>
    </xf>
    <xf numFmtId="0" fontId="0" fillId="16" borderId="6" xfId="0" applyFont="1" applyFill="1" applyBorder="1" applyAlignment="1">
      <alignment horizontal="left"/>
    </xf>
    <xf numFmtId="0" fontId="67" fillId="0" borderId="0" xfId="0" applyFont="1" applyFill="1" applyAlignment="1">
      <alignment vertical="center"/>
    </xf>
    <xf numFmtId="0" fontId="3" fillId="16" borderId="74" xfId="0" applyFont="1" applyFill="1" applyBorder="1" applyAlignment="1">
      <alignment horizontal="left"/>
    </xf>
    <xf numFmtId="3" fontId="3" fillId="16" borderId="74" xfId="0" applyNumberFormat="1" applyFont="1" applyFill="1" applyBorder="1" applyAlignment="1">
      <alignment horizontal="center"/>
    </xf>
    <xf numFmtId="0" fontId="0" fillId="0" borderId="0" xfId="0" applyFill="1" applyBorder="1" applyAlignment="1">
      <alignment horizontal="left"/>
    </xf>
    <xf numFmtId="3" fontId="0" fillId="0" borderId="0" xfId="0" applyNumberFormat="1" applyFill="1" applyBorder="1" applyAlignment="1">
      <alignment horizontal="center"/>
    </xf>
    <xf numFmtId="0" fontId="0" fillId="0" borderId="0" xfId="0" applyFill="1" applyBorder="1" applyAlignment="1">
      <alignment horizontal="left" indent="1"/>
    </xf>
    <xf numFmtId="9" fontId="0" fillId="0" borderId="0" xfId="1" applyFont="1" applyFill="1" applyBorder="1" applyAlignment="1">
      <alignment horizontal="center"/>
    </xf>
    <xf numFmtId="9" fontId="0" fillId="0" borderId="0" xfId="0" applyNumberFormat="1"/>
    <xf numFmtId="165" fontId="0" fillId="0" borderId="6" xfId="1" applyNumberFormat="1" applyFont="1" applyBorder="1" applyAlignment="1">
      <alignment horizontal="center"/>
    </xf>
    <xf numFmtId="10" fontId="0" fillId="0" borderId="6" xfId="1" applyNumberFormat="1" applyFont="1" applyBorder="1" applyAlignment="1">
      <alignment horizontal="center"/>
    </xf>
    <xf numFmtId="9" fontId="0" fillId="0" borderId="6" xfId="1" applyNumberFormat="1" applyFont="1" applyBorder="1" applyAlignment="1">
      <alignment horizontal="center"/>
    </xf>
    <xf numFmtId="167" fontId="0" fillId="0" borderId="6" xfId="1" applyNumberFormat="1" applyFont="1" applyBorder="1" applyAlignment="1">
      <alignment horizontal="center"/>
    </xf>
    <xf numFmtId="0" fontId="48" fillId="0" borderId="70" xfId="6" applyFont="1" applyFill="1" applyBorder="1" applyAlignment="1">
      <alignment horizontal="left" vertical="center"/>
    </xf>
    <xf numFmtId="168" fontId="0" fillId="0" borderId="0" xfId="1" applyNumberFormat="1" applyFont="1"/>
    <xf numFmtId="0" fontId="3" fillId="33" borderId="6" xfId="0" applyFont="1" applyFill="1" applyBorder="1" applyAlignment="1">
      <alignment horizontal="center" vertical="center"/>
    </xf>
    <xf numFmtId="164" fontId="2" fillId="30" borderId="6" xfId="0" applyNumberFormat="1" applyFont="1" applyFill="1" applyBorder="1" applyAlignment="1">
      <alignment horizontal="center"/>
    </xf>
    <xf numFmtId="0" fontId="0" fillId="0" borderId="0" xfId="0" applyAlignment="1"/>
    <xf numFmtId="0" fontId="0" fillId="36" borderId="6" xfId="0" applyFill="1" applyBorder="1" applyAlignment="1"/>
    <xf numFmtId="3" fontId="0" fillId="0" borderId="6" xfId="0" applyNumberFormat="1" applyBorder="1"/>
    <xf numFmtId="9" fontId="0" fillId="0" borderId="6" xfId="1" applyFont="1" applyBorder="1" applyAlignment="1"/>
    <xf numFmtId="0" fontId="0" fillId="36" borderId="6" xfId="0" applyFill="1" applyBorder="1" applyAlignment="1">
      <alignment horizontal="left"/>
    </xf>
    <xf numFmtId="0" fontId="13" fillId="0" borderId="0" xfId="0" applyFont="1"/>
    <xf numFmtId="0" fontId="13" fillId="0" borderId="0" xfId="0" applyFont="1" applyAlignment="1">
      <alignment horizontal="left"/>
    </xf>
    <xf numFmtId="3" fontId="13" fillId="0" borderId="0" xfId="0" applyNumberFormat="1" applyFont="1" applyAlignment="1">
      <alignment horizontal="left"/>
    </xf>
    <xf numFmtId="165" fontId="0" fillId="0" borderId="6" xfId="1" applyNumberFormat="1" applyFont="1" applyBorder="1" applyAlignment="1"/>
    <xf numFmtId="9" fontId="0" fillId="0" borderId="6" xfId="1" applyNumberFormat="1" applyFont="1" applyBorder="1" applyAlignment="1"/>
    <xf numFmtId="0" fontId="0" fillId="34" borderId="6" xfId="0" applyFont="1" applyFill="1" applyBorder="1" applyAlignment="1">
      <alignment horizontal="left"/>
    </xf>
    <xf numFmtId="0" fontId="42" fillId="0" borderId="0" xfId="3" applyFont="1" applyFill="1" applyBorder="1" applyAlignment="1">
      <alignment horizontal="left" vertical="center"/>
    </xf>
    <xf numFmtId="0" fontId="34" fillId="0" borderId="0" xfId="3" applyFont="1" applyFill="1" applyBorder="1" applyAlignment="1">
      <alignment horizontal="left" vertical="center"/>
    </xf>
    <xf numFmtId="0" fontId="68" fillId="26" borderId="42" xfId="2" applyFont="1" applyFill="1" applyBorder="1" applyAlignment="1">
      <alignment vertical="center"/>
    </xf>
    <xf numFmtId="0" fontId="0" fillId="0" borderId="21" xfId="0" applyBorder="1" applyAlignment="1">
      <alignment horizontal="left" indent="1"/>
    </xf>
    <xf numFmtId="0" fontId="3" fillId="6" borderId="9" xfId="0" applyFont="1" applyFill="1" applyBorder="1" applyAlignment="1">
      <alignment horizontal="left"/>
    </xf>
    <xf numFmtId="4" fontId="0" fillId="0" borderId="6" xfId="0" applyNumberFormat="1" applyFont="1" applyFill="1" applyBorder="1" applyAlignment="1">
      <alignment horizontal="center"/>
    </xf>
    <xf numFmtId="4" fontId="9" fillId="0" borderId="0" xfId="0" applyNumberFormat="1" applyFont="1" applyFill="1" applyBorder="1"/>
    <xf numFmtId="3" fontId="18" fillId="35" borderId="1" xfId="0" applyNumberFormat="1" applyFont="1" applyFill="1" applyBorder="1" applyAlignment="1">
      <alignment horizontal="center" vertical="center"/>
    </xf>
    <xf numFmtId="3" fontId="21" fillId="35" borderId="1" xfId="0" applyNumberFormat="1" applyFont="1" applyFill="1" applyBorder="1" applyAlignment="1">
      <alignment horizontal="center" vertical="center" wrapText="1"/>
    </xf>
    <xf numFmtId="4" fontId="2" fillId="35" borderId="6" xfId="0" applyNumberFormat="1" applyFont="1" applyFill="1" applyBorder="1" applyAlignment="1">
      <alignment horizontal="center"/>
    </xf>
    <xf numFmtId="3" fontId="18" fillId="35" borderId="1" xfId="0" applyNumberFormat="1" applyFont="1" applyFill="1" applyBorder="1" applyAlignment="1">
      <alignment horizontal="left" vertical="center"/>
    </xf>
    <xf numFmtId="3" fontId="16" fillId="35" borderId="6" xfId="0" applyNumberFormat="1" applyFont="1" applyFill="1" applyBorder="1" applyAlignment="1">
      <alignment horizontal="center"/>
    </xf>
    <xf numFmtId="0" fontId="16" fillId="35" borderId="6" xfId="0" applyFont="1" applyFill="1" applyBorder="1" applyAlignment="1">
      <alignment horizontal="center"/>
    </xf>
    <xf numFmtId="2" fontId="2" fillId="35" borderId="6" xfId="1" applyNumberFormat="1" applyFont="1" applyFill="1" applyBorder="1" applyAlignment="1">
      <alignment horizontal="center"/>
    </xf>
    <xf numFmtId="1" fontId="2" fillId="35" borderId="6" xfId="1" applyNumberFormat="1" applyFont="1" applyFill="1" applyBorder="1" applyAlignment="1">
      <alignment horizontal="center"/>
    </xf>
    <xf numFmtId="3" fontId="18" fillId="35" borderId="1" xfId="0" applyNumberFormat="1" applyFont="1" applyFill="1" applyBorder="1" applyAlignment="1">
      <alignment horizontal="center" vertical="center" wrapText="1"/>
    </xf>
    <xf numFmtId="9" fontId="2" fillId="3" borderId="32" xfId="1" applyNumberFormat="1" applyFont="1" applyFill="1" applyBorder="1" applyAlignment="1">
      <alignment horizontal="center"/>
    </xf>
    <xf numFmtId="9" fontId="3" fillId="2" borderId="14" xfId="1" applyNumberFormat="1" applyFont="1" applyFill="1" applyBorder="1" applyAlignment="1">
      <alignment horizontal="center"/>
    </xf>
    <xf numFmtId="0" fontId="70" fillId="0" borderId="0" xfId="0" applyFont="1"/>
    <xf numFmtId="0" fontId="70" fillId="0" borderId="0" xfId="0" applyFont="1" applyBorder="1" applyAlignment="1">
      <alignment horizontal="left"/>
    </xf>
    <xf numFmtId="9" fontId="70" fillId="0" borderId="19" xfId="1" applyFont="1" applyBorder="1" applyAlignment="1">
      <alignment horizontal="left"/>
    </xf>
    <xf numFmtId="0" fontId="70" fillId="0" borderId="0" xfId="0" applyFont="1" applyAlignment="1">
      <alignment horizontal="left"/>
    </xf>
    <xf numFmtId="9" fontId="0" fillId="0" borderId="0" xfId="1" applyFont="1" applyAlignment="1">
      <alignment horizontal="left"/>
    </xf>
    <xf numFmtId="165" fontId="0" fillId="0" borderId="0" xfId="1" applyNumberFormat="1" applyFont="1" applyAlignment="1">
      <alignment horizontal="left"/>
    </xf>
    <xf numFmtId="0" fontId="44" fillId="0" borderId="0" xfId="0" applyFont="1" applyFill="1" applyBorder="1" applyAlignment="1">
      <alignment vertical="center"/>
    </xf>
    <xf numFmtId="0" fontId="45" fillId="0" borderId="0" xfId="0" applyFont="1" applyBorder="1" applyAlignment="1">
      <alignment horizontal="left" vertical="center"/>
    </xf>
    <xf numFmtId="0" fontId="30" fillId="0" borderId="0" xfId="0" applyFont="1" applyFill="1" applyBorder="1" applyAlignment="1">
      <alignment vertical="center"/>
    </xf>
    <xf numFmtId="0" fontId="32" fillId="0" borderId="0" xfId="0" applyFont="1" applyBorder="1" applyAlignment="1">
      <alignment horizontal="left"/>
    </xf>
    <xf numFmtId="0" fontId="67" fillId="0" borderId="0" xfId="0" applyFont="1" applyFill="1" applyBorder="1" applyAlignment="1">
      <alignment vertical="center"/>
    </xf>
    <xf numFmtId="9" fontId="0" fillId="0" borderId="0" xfId="1" applyNumberFormat="1" applyFont="1" applyFill="1" applyBorder="1" applyAlignment="1">
      <alignment horizontal="center"/>
    </xf>
    <xf numFmtId="9" fontId="59" fillId="0" borderId="0" xfId="1" applyFont="1" applyFill="1" applyBorder="1" applyAlignment="1">
      <alignment horizontal="left"/>
    </xf>
    <xf numFmtId="9" fontId="0" fillId="0" borderId="0" xfId="1" applyFont="1" applyFill="1" applyAlignment="1">
      <alignment horizontal="left"/>
    </xf>
    <xf numFmtId="9" fontId="13" fillId="0" borderId="6" xfId="1" applyFont="1" applyBorder="1" applyAlignment="1"/>
    <xf numFmtId="9" fontId="71" fillId="0" borderId="6" xfId="1" applyFont="1" applyBorder="1" applyAlignment="1"/>
    <xf numFmtId="9" fontId="54" fillId="0" borderId="6" xfId="1" applyFont="1" applyBorder="1" applyAlignment="1"/>
    <xf numFmtId="9" fontId="72" fillId="0" borderId="6" xfId="1" applyFont="1" applyBorder="1" applyAlignment="1"/>
    <xf numFmtId="0" fontId="59" fillId="0" borderId="0" xfId="0" applyFont="1"/>
    <xf numFmtId="9" fontId="3" fillId="6" borderId="14" xfId="1" applyNumberFormat="1" applyFont="1" applyFill="1" applyBorder="1" applyAlignment="1">
      <alignment horizontal="center"/>
    </xf>
    <xf numFmtId="0" fontId="2" fillId="4" borderId="2" xfId="0" applyFont="1" applyFill="1" applyBorder="1" applyAlignment="1">
      <alignment horizontal="center" vertical="center" wrapText="1"/>
    </xf>
    <xf numFmtId="0" fontId="28" fillId="26" borderId="42" xfId="2" quotePrefix="1" applyFont="1" applyFill="1" applyBorder="1" applyAlignment="1">
      <alignment horizontal="left" vertical="center" indent="1"/>
    </xf>
    <xf numFmtId="0" fontId="2" fillId="5"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35" borderId="2" xfId="0" applyFont="1" applyFill="1" applyBorder="1" applyAlignment="1">
      <alignment horizontal="center" vertical="center" wrapText="1"/>
    </xf>
    <xf numFmtId="9" fontId="9" fillId="0" borderId="0" xfId="0" applyNumberFormat="1" applyFont="1" applyFill="1" applyBorder="1"/>
    <xf numFmtId="165" fontId="1" fillId="38" borderId="0" xfId="1" applyNumberFormat="1" applyFont="1" applyFill="1" applyBorder="1" applyAlignment="1">
      <alignment horizontal="center"/>
    </xf>
    <xf numFmtId="0" fontId="2" fillId="4" borderId="0" xfId="0" applyFont="1" applyFill="1" applyBorder="1" applyAlignment="1">
      <alignment horizontal="center" vertical="center" wrapText="1"/>
    </xf>
    <xf numFmtId="9" fontId="0" fillId="0" borderId="0" xfId="1" applyNumberFormat="1" applyFont="1" applyAlignment="1">
      <alignment horizontal="center"/>
    </xf>
    <xf numFmtId="9" fontId="0" fillId="0" borderId="0" xfId="0" applyNumberFormat="1" applyAlignment="1">
      <alignment horizontal="center"/>
    </xf>
    <xf numFmtId="0" fontId="2" fillId="38" borderId="0" xfId="0" applyFont="1" applyFill="1" applyBorder="1" applyAlignment="1">
      <alignment horizontal="center" vertical="center" wrapText="1"/>
    </xf>
    <xf numFmtId="0" fontId="2" fillId="38" borderId="2" xfId="0" applyFont="1" applyFill="1" applyBorder="1" applyAlignment="1">
      <alignment horizontal="center" vertical="center" wrapText="1"/>
    </xf>
    <xf numFmtId="3" fontId="0" fillId="0" borderId="9" xfId="0" applyNumberFormat="1" applyBorder="1" applyAlignment="1">
      <alignment horizontal="right"/>
    </xf>
    <xf numFmtId="9" fontId="0" fillId="0" borderId="2" xfId="1" applyFont="1" applyBorder="1" applyAlignment="1">
      <alignment horizontal="center" vertical="center"/>
    </xf>
    <xf numFmtId="3" fontId="0" fillId="0" borderId="2" xfId="0" applyNumberFormat="1" applyBorder="1" applyAlignment="1">
      <alignment horizontal="right"/>
    </xf>
    <xf numFmtId="3" fontId="0" fillId="0" borderId="2" xfId="0" applyNumberFormat="1" applyBorder="1" applyAlignment="1">
      <alignment horizontal="center" vertical="center"/>
    </xf>
    <xf numFmtId="3" fontId="0" fillId="0" borderId="47" xfId="0" applyNumberFormat="1" applyBorder="1" applyAlignment="1">
      <alignment horizontal="right"/>
    </xf>
    <xf numFmtId="9" fontId="1" fillId="0" borderId="2" xfId="1" applyFont="1" applyFill="1" applyBorder="1" applyAlignment="1">
      <alignment horizontal="center"/>
    </xf>
    <xf numFmtId="9" fontId="0" fillId="0" borderId="2" xfId="1" applyFont="1" applyBorder="1" applyAlignment="1">
      <alignment horizontal="center"/>
    </xf>
    <xf numFmtId="9" fontId="9" fillId="0" borderId="2" xfId="0" applyNumberFormat="1" applyFont="1" applyFill="1" applyBorder="1" applyAlignment="1">
      <alignment horizontal="center"/>
    </xf>
    <xf numFmtId="0" fontId="0" fillId="0" borderId="2" xfId="0" applyBorder="1"/>
    <xf numFmtId="3" fontId="0" fillId="0" borderId="2" xfId="0" applyNumberFormat="1" applyBorder="1" applyAlignment="1">
      <alignment horizontal="center"/>
    </xf>
    <xf numFmtId="0" fontId="74" fillId="0" borderId="2" xfId="0" applyFont="1" applyBorder="1"/>
    <xf numFmtId="165" fontId="1" fillId="0" borderId="2" xfId="1" applyNumberFormat="1" applyFont="1" applyFill="1" applyBorder="1" applyAlignment="1">
      <alignment horizontal="center"/>
    </xf>
    <xf numFmtId="0" fontId="3" fillId="0" borderId="2" xfId="0" applyFont="1" applyBorder="1"/>
    <xf numFmtId="3" fontId="3" fillId="0" borderId="2" xfId="0" applyNumberFormat="1" applyFont="1" applyBorder="1" applyAlignment="1">
      <alignment horizontal="center"/>
    </xf>
    <xf numFmtId="9" fontId="0" fillId="0" borderId="2" xfId="0" applyNumberFormat="1" applyBorder="1" applyAlignment="1">
      <alignment horizontal="center"/>
    </xf>
    <xf numFmtId="0" fontId="5" fillId="2" borderId="2" xfId="0" applyFont="1" applyFill="1" applyBorder="1" applyAlignment="1">
      <alignment horizontal="left"/>
    </xf>
    <xf numFmtId="9" fontId="9" fillId="0" borderId="0" xfId="0" applyNumberFormat="1" applyFont="1" applyFill="1" applyBorder="1" applyAlignment="1">
      <alignment horizontal="center"/>
    </xf>
    <xf numFmtId="0" fontId="5" fillId="0" borderId="2" xfId="0" applyFont="1" applyBorder="1"/>
    <xf numFmtId="0" fontId="0" fillId="36" borderId="9" xfId="0" applyFont="1" applyFill="1" applyBorder="1" applyAlignment="1">
      <alignment horizontal="left"/>
    </xf>
    <xf numFmtId="9" fontId="9" fillId="0" borderId="2" xfId="1" applyFont="1" applyFill="1" applyBorder="1" applyAlignment="1">
      <alignment horizontal="center"/>
    </xf>
    <xf numFmtId="0" fontId="2" fillId="35" borderId="0" xfId="0" applyFont="1" applyFill="1" applyBorder="1" applyAlignment="1">
      <alignment horizontal="center" vertical="center" wrapText="1"/>
    </xf>
    <xf numFmtId="0" fontId="2" fillId="35" borderId="1" xfId="0" applyFont="1" applyFill="1" applyBorder="1" applyAlignment="1">
      <alignment horizontal="center" vertical="center" wrapText="1"/>
    </xf>
    <xf numFmtId="3" fontId="0" fillId="0" borderId="77" xfId="0" applyNumberFormat="1" applyBorder="1" applyAlignment="1">
      <alignment horizontal="right"/>
    </xf>
    <xf numFmtId="3" fontId="0" fillId="0" borderId="38" xfId="0" applyNumberFormat="1" applyBorder="1" applyAlignment="1">
      <alignment horizontal="right"/>
    </xf>
    <xf numFmtId="3" fontId="0" fillId="0" borderId="79" xfId="0" applyNumberFormat="1" applyBorder="1" applyAlignment="1">
      <alignment horizontal="right"/>
    </xf>
    <xf numFmtId="0" fontId="2" fillId="11" borderId="81"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82" xfId="0" applyFont="1" applyFill="1" applyBorder="1" applyAlignment="1">
      <alignment horizontal="center" vertical="center" wrapText="1"/>
    </xf>
    <xf numFmtId="9" fontId="9" fillId="0" borderId="81" xfId="1" applyFont="1" applyFill="1" applyBorder="1" applyAlignment="1">
      <alignment horizontal="center"/>
    </xf>
    <xf numFmtId="0" fontId="2" fillId="11" borderId="1" xfId="0" applyFont="1" applyFill="1" applyBorder="1" applyAlignment="1">
      <alignment horizontal="center" vertical="center" wrapText="1"/>
    </xf>
    <xf numFmtId="9" fontId="3" fillId="16" borderId="8" xfId="1" applyNumberFormat="1" applyFont="1" applyFill="1" applyBorder="1" applyAlignment="1">
      <alignment horizontal="center"/>
    </xf>
    <xf numFmtId="9" fontId="0" fillId="0" borderId="8" xfId="1" applyNumberFormat="1" applyFont="1" applyBorder="1" applyAlignment="1">
      <alignment horizontal="center"/>
    </xf>
    <xf numFmtId="9" fontId="2" fillId="11" borderId="8" xfId="1" applyNumberFormat="1" applyFont="1" applyFill="1" applyBorder="1" applyAlignment="1">
      <alignment horizontal="center"/>
    </xf>
    <xf numFmtId="0" fontId="0" fillId="0" borderId="81" xfId="0" applyBorder="1"/>
    <xf numFmtId="3" fontId="0" fillId="0" borderId="81" xfId="0" applyNumberFormat="1" applyBorder="1"/>
    <xf numFmtId="9" fontId="0" fillId="0" borderId="81" xfId="0" applyNumberFormat="1" applyBorder="1" applyAlignment="1">
      <alignment horizontal="center"/>
    </xf>
    <xf numFmtId="9" fontId="0" fillId="0" borderId="81" xfId="1" applyFont="1" applyBorder="1" applyAlignment="1">
      <alignment horizontal="center"/>
    </xf>
    <xf numFmtId="9" fontId="0" fillId="0" borderId="81" xfId="1" applyNumberFormat="1" applyFont="1" applyBorder="1" applyAlignment="1">
      <alignment horizontal="center"/>
    </xf>
    <xf numFmtId="0" fontId="2" fillId="11" borderId="81" xfId="0" applyFont="1" applyFill="1" applyBorder="1" applyAlignment="1">
      <alignment horizontal="center"/>
    </xf>
    <xf numFmtId="0" fontId="2" fillId="11" borderId="81" xfId="0" applyFont="1" applyFill="1" applyBorder="1"/>
    <xf numFmtId="3" fontId="0" fillId="0" borderId="83" xfId="0" applyNumberFormat="1" applyBorder="1" applyAlignment="1">
      <alignment horizontal="center"/>
    </xf>
    <xf numFmtId="3" fontId="0" fillId="0" borderId="81" xfId="0" applyNumberFormat="1" applyBorder="1" applyAlignment="1">
      <alignment horizontal="center"/>
    </xf>
    <xf numFmtId="0" fontId="74" fillId="0" borderId="81" xfId="0" applyFont="1" applyBorder="1"/>
    <xf numFmtId="0" fontId="21" fillId="11" borderId="81" xfId="0" applyFont="1" applyFill="1" applyBorder="1"/>
    <xf numFmtId="3" fontId="2" fillId="11" borderId="81" xfId="0" applyNumberFormat="1" applyFont="1" applyFill="1" applyBorder="1" applyAlignment="1">
      <alignment horizontal="center"/>
    </xf>
    <xf numFmtId="9" fontId="2" fillId="11" borderId="80" xfId="1" applyFont="1" applyFill="1" applyBorder="1" applyAlignment="1">
      <alignment horizontal="center"/>
    </xf>
    <xf numFmtId="2" fontId="70" fillId="0" borderId="19" xfId="1" applyNumberFormat="1" applyFont="1" applyBorder="1" applyAlignment="1">
      <alignment horizontal="left"/>
    </xf>
    <xf numFmtId="3" fontId="0" fillId="0" borderId="47" xfId="0" applyNumberFormat="1" applyFill="1" applyBorder="1" applyAlignment="1">
      <alignment horizontal="right"/>
    </xf>
    <xf numFmtId="165" fontId="9" fillId="0" borderId="81" xfId="1" applyNumberFormat="1" applyFont="1" applyFill="1" applyBorder="1" applyAlignment="1">
      <alignment horizontal="center"/>
    </xf>
    <xf numFmtId="0" fontId="0" fillId="16" borderId="31" xfId="0" applyFont="1" applyFill="1" applyBorder="1" applyAlignment="1">
      <alignment horizontal="left"/>
    </xf>
    <xf numFmtId="3" fontId="0" fillId="0" borderId="48" xfId="0" applyNumberFormat="1" applyBorder="1" applyAlignment="1">
      <alignment horizontal="center"/>
    </xf>
    <xf numFmtId="3" fontId="0" fillId="0" borderId="47" xfId="0" applyNumberFormat="1" applyBorder="1" applyAlignment="1">
      <alignment horizontal="center"/>
    </xf>
    <xf numFmtId="3" fontId="0" fillId="0" borderId="84" xfId="0" applyNumberFormat="1" applyBorder="1" applyAlignment="1">
      <alignment horizontal="center"/>
    </xf>
    <xf numFmtId="3" fontId="0" fillId="0" borderId="85" xfId="0" applyNumberFormat="1" applyBorder="1" applyAlignment="1">
      <alignment horizontal="center"/>
    </xf>
    <xf numFmtId="0" fontId="0" fillId="16" borderId="81" xfId="0" applyFont="1" applyFill="1" applyBorder="1" applyAlignment="1">
      <alignment horizontal="left"/>
    </xf>
    <xf numFmtId="3" fontId="0" fillId="0" borderId="81" xfId="0" applyNumberFormat="1" applyBorder="1" applyAlignment="1">
      <alignment horizontal="right"/>
    </xf>
    <xf numFmtId="9" fontId="9" fillId="0" borderId="81" xfId="1" applyNumberFormat="1" applyFont="1" applyFill="1" applyBorder="1" applyAlignment="1">
      <alignment horizontal="center"/>
    </xf>
    <xf numFmtId="0" fontId="3" fillId="0" borderId="0" xfId="0" applyFont="1" applyFill="1" applyBorder="1"/>
    <xf numFmtId="165" fontId="0" fillId="0" borderId="0" xfId="1" applyNumberFormat="1" applyFont="1" applyFill="1" applyBorder="1" applyAlignment="1">
      <alignment horizontal="center"/>
    </xf>
    <xf numFmtId="3" fontId="0" fillId="0" borderId="74" xfId="0" applyNumberFormat="1" applyFont="1" applyFill="1" applyBorder="1" applyAlignment="1">
      <alignment horizontal="center"/>
    </xf>
    <xf numFmtId="3" fontId="0" fillId="0" borderId="86" xfId="0" applyNumberFormat="1" applyFont="1" applyFill="1" applyBorder="1" applyAlignment="1">
      <alignment horizontal="center"/>
    </xf>
    <xf numFmtId="3" fontId="0" fillId="0" borderId="57" xfId="0" applyNumberFormat="1" applyFont="1" applyFill="1" applyBorder="1" applyAlignment="1">
      <alignment horizontal="center"/>
    </xf>
    <xf numFmtId="3" fontId="0" fillId="0" borderId="9" xfId="0" applyNumberFormat="1" applyFont="1" applyFill="1" applyBorder="1" applyAlignment="1">
      <alignment horizontal="center"/>
    </xf>
    <xf numFmtId="0" fontId="3" fillId="0" borderId="81" xfId="0" applyFont="1" applyBorder="1" applyAlignment="1">
      <alignment horizontal="center"/>
    </xf>
    <xf numFmtId="0" fontId="3" fillId="20" borderId="9" xfId="0" applyFont="1" applyFill="1" applyBorder="1" applyAlignment="1">
      <alignment horizontal="left"/>
    </xf>
    <xf numFmtId="0" fontId="12" fillId="0" borderId="81" xfId="0" applyFont="1" applyFill="1" applyBorder="1" applyAlignment="1">
      <alignment horizontal="center"/>
    </xf>
    <xf numFmtId="3" fontId="9" fillId="0" borderId="81" xfId="0" applyNumberFormat="1" applyFont="1" applyFill="1" applyBorder="1" applyAlignment="1">
      <alignment horizontal="center"/>
    </xf>
    <xf numFmtId="3" fontId="0" fillId="0" borderId="87" xfId="0" applyNumberFormat="1" applyBorder="1"/>
    <xf numFmtId="9" fontId="0" fillId="0" borderId="87" xfId="1" applyFont="1" applyBorder="1" applyAlignment="1">
      <alignment horizontal="center"/>
    </xf>
    <xf numFmtId="0" fontId="3" fillId="0" borderId="0" xfId="0" applyFont="1" applyFill="1" applyBorder="1" applyAlignment="1">
      <alignment horizontal="left" indent="1"/>
    </xf>
    <xf numFmtId="3" fontId="3" fillId="0" borderId="0" xfId="0" applyNumberFormat="1" applyFont="1" applyFill="1" applyBorder="1" applyAlignment="1">
      <alignment horizontal="center"/>
    </xf>
    <xf numFmtId="1" fontId="0" fillId="0" borderId="0" xfId="1" applyNumberFormat="1" applyFont="1" applyFill="1" applyBorder="1" applyAlignment="1">
      <alignment horizontal="center"/>
    </xf>
    <xf numFmtId="0" fontId="6" fillId="0" borderId="0" xfId="2" applyFill="1" applyBorder="1"/>
    <xf numFmtId="9" fontId="0" fillId="0" borderId="81" xfId="0" applyNumberFormat="1" applyFill="1" applyBorder="1" applyAlignment="1">
      <alignment horizontal="center"/>
    </xf>
    <xf numFmtId="9" fontId="0" fillId="0" borderId="0" xfId="0" applyNumberFormat="1" applyFill="1"/>
    <xf numFmtId="0" fontId="3" fillId="21" borderId="0" xfId="0" applyFont="1" applyFill="1" applyBorder="1"/>
    <xf numFmtId="10" fontId="0" fillId="0" borderId="0" xfId="1" applyNumberFormat="1" applyFont="1" applyBorder="1" applyAlignment="1">
      <alignment horizontal="center"/>
    </xf>
    <xf numFmtId="0" fontId="3" fillId="0" borderId="0" xfId="0" applyFont="1" applyFill="1" applyBorder="1" applyAlignment="1">
      <alignment horizontal="left"/>
    </xf>
    <xf numFmtId="0" fontId="0" fillId="0" borderId="0" xfId="0" applyFill="1" applyAlignment="1"/>
    <xf numFmtId="0" fontId="2" fillId="10" borderId="48" xfId="0" applyFont="1" applyFill="1" applyBorder="1" applyAlignment="1">
      <alignment horizontal="center" vertical="center" wrapText="1"/>
    </xf>
    <xf numFmtId="0" fontId="2" fillId="22" borderId="6" xfId="0" applyFont="1" applyFill="1" applyBorder="1" applyAlignment="1">
      <alignment horizontal="center" vertical="center" wrapText="1"/>
    </xf>
    <xf numFmtId="3" fontId="2" fillId="23" borderId="6" xfId="0" applyNumberFormat="1" applyFont="1" applyFill="1" applyBorder="1" applyAlignment="1">
      <alignment horizontal="center"/>
    </xf>
    <xf numFmtId="3" fontId="2" fillId="39" borderId="1" xfId="0" applyNumberFormat="1" applyFont="1" applyFill="1" applyBorder="1" applyAlignment="1">
      <alignment horizontal="center" vertical="center"/>
    </xf>
    <xf numFmtId="9" fontId="2" fillId="39" borderId="1" xfId="1" applyFont="1" applyFill="1" applyBorder="1" applyAlignment="1">
      <alignment horizontal="center" vertical="center"/>
    </xf>
    <xf numFmtId="3" fontId="2" fillId="40" borderId="1" xfId="0" applyNumberFormat="1" applyFont="1" applyFill="1" applyBorder="1" applyAlignment="1">
      <alignment horizontal="center" vertical="center"/>
    </xf>
    <xf numFmtId="9" fontId="2" fillId="40" borderId="1" xfId="1" applyFont="1" applyFill="1" applyBorder="1" applyAlignment="1">
      <alignment horizontal="center" vertical="center"/>
    </xf>
    <xf numFmtId="0" fontId="2" fillId="10" borderId="67"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41" borderId="6" xfId="0" applyFont="1" applyFill="1" applyBorder="1" applyAlignment="1">
      <alignment horizontal="center" vertical="center" wrapText="1"/>
    </xf>
    <xf numFmtId="0" fontId="2" fillId="42" borderId="6" xfId="0" applyFont="1" applyFill="1" applyBorder="1" applyAlignment="1">
      <alignment horizontal="center" vertical="center" wrapText="1"/>
    </xf>
    <xf numFmtId="3" fontId="2" fillId="43" borderId="6" xfId="0" applyNumberFormat="1" applyFont="1" applyFill="1" applyBorder="1" applyAlignment="1">
      <alignment horizontal="center" vertical="center" wrapText="1"/>
    </xf>
    <xf numFmtId="9" fontId="2" fillId="43" borderId="6" xfId="1" applyFont="1" applyFill="1" applyBorder="1" applyAlignment="1">
      <alignment horizontal="center" vertical="center" wrapText="1"/>
    </xf>
    <xf numFmtId="3" fontId="20" fillId="45" borderId="6" xfId="0" applyNumberFormat="1" applyFont="1" applyFill="1" applyBorder="1" applyAlignment="1">
      <alignment horizontal="center" vertical="center" wrapText="1"/>
    </xf>
    <xf numFmtId="9" fontId="20" fillId="45" borderId="6" xfId="1" applyFont="1" applyFill="1" applyBorder="1" applyAlignment="1">
      <alignment horizontal="center" vertical="center" wrapText="1"/>
    </xf>
    <xf numFmtId="3" fontId="0" fillId="0" borderId="74" xfId="0" applyNumberFormat="1" applyFont="1" applyBorder="1" applyAlignment="1">
      <alignment horizontal="center"/>
    </xf>
    <xf numFmtId="9" fontId="0" fillId="0" borderId="74" xfId="1" applyFont="1" applyBorder="1" applyAlignment="1">
      <alignment horizontal="center"/>
    </xf>
    <xf numFmtId="9" fontId="0" fillId="0" borderId="9" xfId="1" applyFont="1" applyBorder="1" applyAlignment="1">
      <alignment horizontal="center"/>
    </xf>
    <xf numFmtId="10" fontId="0" fillId="0" borderId="9" xfId="1" applyNumberFormat="1" applyFont="1" applyBorder="1" applyAlignment="1">
      <alignment horizontal="center"/>
    </xf>
    <xf numFmtId="9" fontId="0" fillId="0" borderId="9" xfId="1" applyNumberFormat="1" applyFont="1" applyBorder="1" applyAlignment="1">
      <alignment horizontal="center"/>
    </xf>
    <xf numFmtId="9" fontId="2" fillId="27" borderId="89" xfId="1" applyFont="1" applyFill="1" applyBorder="1" applyAlignment="1">
      <alignment horizontal="center" vertical="center"/>
    </xf>
    <xf numFmtId="3" fontId="0" fillId="0" borderId="2" xfId="0" applyNumberFormat="1" applyFont="1" applyBorder="1" applyAlignment="1">
      <alignment horizontal="center"/>
    </xf>
    <xf numFmtId="10" fontId="0" fillId="0" borderId="2" xfId="1" applyNumberFormat="1" applyFont="1" applyBorder="1" applyAlignment="1">
      <alignment horizontal="center"/>
    </xf>
    <xf numFmtId="9" fontId="0" fillId="0" borderId="2" xfId="1" applyNumberFormat="1" applyFont="1" applyBorder="1" applyAlignment="1">
      <alignment horizontal="center"/>
    </xf>
    <xf numFmtId="3" fontId="2" fillId="40" borderId="2" xfId="0" applyNumberFormat="1" applyFont="1" applyFill="1" applyBorder="1" applyAlignment="1">
      <alignment horizontal="center" vertical="center"/>
    </xf>
    <xf numFmtId="9" fontId="2" fillId="40" borderId="2" xfId="1" applyFont="1" applyFill="1" applyBorder="1" applyAlignment="1">
      <alignment horizontal="center" vertical="center"/>
    </xf>
    <xf numFmtId="3" fontId="2" fillId="46" borderId="2" xfId="0" applyNumberFormat="1" applyFont="1" applyFill="1" applyBorder="1" applyAlignment="1">
      <alignment horizontal="center" vertical="center"/>
    </xf>
    <xf numFmtId="9" fontId="2" fillId="46" borderId="2" xfId="1" applyFont="1" applyFill="1" applyBorder="1" applyAlignment="1">
      <alignment horizontal="center" vertical="center"/>
    </xf>
    <xf numFmtId="0" fontId="76" fillId="4" borderId="2" xfId="0" applyFont="1" applyFill="1" applyBorder="1" applyAlignment="1">
      <alignment horizontal="center" vertical="center" wrapText="1"/>
    </xf>
    <xf numFmtId="4" fontId="0" fillId="0" borderId="6" xfId="0" applyNumberFormat="1" applyFill="1" applyBorder="1" applyAlignment="1">
      <alignment horizontal="center"/>
    </xf>
    <xf numFmtId="0" fontId="32" fillId="0" borderId="0" xfId="0" applyFont="1"/>
    <xf numFmtId="0" fontId="0" fillId="0" borderId="2" xfId="0" applyBorder="1" applyAlignment="1">
      <alignment horizontal="center"/>
    </xf>
    <xf numFmtId="0" fontId="2" fillId="3" borderId="2" xfId="0" applyFont="1" applyFill="1" applyBorder="1" applyAlignment="1">
      <alignment horizontal="center"/>
    </xf>
    <xf numFmtId="0" fontId="2" fillId="3" borderId="2" xfId="0" applyFont="1" applyFill="1" applyBorder="1"/>
    <xf numFmtId="3" fontId="2" fillId="3" borderId="2" xfId="0" applyNumberFormat="1" applyFont="1" applyFill="1" applyBorder="1" applyAlignment="1">
      <alignment horizontal="center"/>
    </xf>
    <xf numFmtId="9" fontId="2" fillId="3" borderId="2" xfId="1" applyFont="1" applyFill="1" applyBorder="1" applyAlignment="1">
      <alignment horizontal="center"/>
    </xf>
    <xf numFmtId="0" fontId="60" fillId="0" borderId="2" xfId="0" applyFont="1" applyBorder="1"/>
    <xf numFmtId="0" fontId="2" fillId="0" borderId="0" xfId="0" applyFont="1" applyFill="1" applyBorder="1" applyAlignment="1">
      <alignment horizontal="center"/>
    </xf>
    <xf numFmtId="9" fontId="2" fillId="0" borderId="0" xfId="1" applyFont="1" applyFill="1" applyBorder="1" applyAlignment="1">
      <alignment horizontal="center"/>
    </xf>
    <xf numFmtId="0" fontId="77" fillId="0" borderId="0" xfId="0" applyFont="1"/>
    <xf numFmtId="0" fontId="77" fillId="0" borderId="0" xfId="0" applyFont="1" applyAlignment="1">
      <alignment horizontal="left"/>
    </xf>
    <xf numFmtId="0" fontId="78" fillId="0" borderId="0" xfId="0" applyFont="1"/>
    <xf numFmtId="0" fontId="79" fillId="0" borderId="0" xfId="0" applyFont="1"/>
    <xf numFmtId="0" fontId="80" fillId="0" borderId="0" xfId="0" applyFont="1"/>
    <xf numFmtId="0" fontId="2" fillId="46" borderId="0" xfId="0" applyFont="1" applyFill="1" applyAlignment="1">
      <alignment horizontal="center"/>
    </xf>
    <xf numFmtId="3" fontId="0" fillId="0" borderId="92" xfId="0" applyNumberFormat="1" applyBorder="1" applyAlignment="1">
      <alignment horizontal="center"/>
    </xf>
    <xf numFmtId="3" fontId="0" fillId="0" borderId="93" xfId="0" applyNumberFormat="1" applyBorder="1" applyAlignment="1">
      <alignment horizontal="center"/>
    </xf>
    <xf numFmtId="0" fontId="0" fillId="0" borderId="92" xfId="0" applyBorder="1" applyAlignment="1">
      <alignment horizontal="center"/>
    </xf>
    <xf numFmtId="0" fontId="0" fillId="0" borderId="93" xfId="0" applyBorder="1" applyAlignment="1">
      <alignment horizontal="center"/>
    </xf>
    <xf numFmtId="9" fontId="0" fillId="0" borderId="93" xfId="1" applyFont="1" applyBorder="1" applyAlignment="1">
      <alignment horizontal="center"/>
    </xf>
    <xf numFmtId="0" fontId="60" fillId="2" borderId="98" xfId="0" applyFont="1" applyFill="1" applyBorder="1" applyAlignment="1">
      <alignment horizontal="center" vertical="center"/>
    </xf>
    <xf numFmtId="0" fontId="60" fillId="2" borderId="99" xfId="0" applyFont="1" applyFill="1" applyBorder="1" applyAlignment="1">
      <alignment horizontal="center" vertical="center"/>
    </xf>
    <xf numFmtId="0" fontId="60" fillId="36" borderId="98" xfId="0" applyFont="1" applyFill="1" applyBorder="1" applyAlignment="1">
      <alignment horizontal="center" vertical="center"/>
    </xf>
    <xf numFmtId="0" fontId="60" fillId="36" borderId="1" xfId="0" applyFont="1" applyFill="1" applyBorder="1" applyAlignment="1">
      <alignment horizontal="center" vertical="center"/>
    </xf>
    <xf numFmtId="0" fontId="60" fillId="36" borderId="99" xfId="0" applyFont="1" applyFill="1" applyBorder="1" applyAlignment="1">
      <alignment horizontal="center" vertical="center" wrapText="1"/>
    </xf>
    <xf numFmtId="3" fontId="2" fillId="46" borderId="100" xfId="0" applyNumberFormat="1" applyFont="1" applyFill="1" applyBorder="1" applyAlignment="1">
      <alignment horizontal="center"/>
    </xf>
    <xf numFmtId="3" fontId="2" fillId="46" borderId="101" xfId="0" applyNumberFormat="1" applyFont="1" applyFill="1" applyBorder="1" applyAlignment="1">
      <alignment horizontal="center"/>
    </xf>
    <xf numFmtId="3" fontId="2" fillId="47" borderId="100" xfId="0" applyNumberFormat="1" applyFont="1" applyFill="1" applyBorder="1" applyAlignment="1">
      <alignment horizontal="center"/>
    </xf>
    <xf numFmtId="3" fontId="2" fillId="47" borderId="102" xfId="0" applyNumberFormat="1" applyFont="1" applyFill="1" applyBorder="1" applyAlignment="1">
      <alignment horizontal="center"/>
    </xf>
    <xf numFmtId="9" fontId="2" fillId="47" borderId="101" xfId="1" applyFont="1" applyFill="1" applyBorder="1" applyAlignment="1">
      <alignment horizontal="center"/>
    </xf>
    <xf numFmtId="0" fontId="9" fillId="0" borderId="103" xfId="0" applyFont="1" applyFill="1" applyBorder="1"/>
    <xf numFmtId="3" fontId="0" fillId="0" borderId="90" xfId="0" applyNumberFormat="1" applyBorder="1" applyAlignment="1">
      <alignment horizontal="center"/>
    </xf>
    <xf numFmtId="3" fontId="0" fillId="0" borderId="91" xfId="0" applyNumberFormat="1" applyBorder="1" applyAlignment="1">
      <alignment horizontal="center"/>
    </xf>
    <xf numFmtId="3" fontId="0" fillId="0" borderId="96" xfId="0" applyNumberFormat="1" applyBorder="1" applyAlignment="1">
      <alignment horizontal="center"/>
    </xf>
    <xf numFmtId="9" fontId="0" fillId="0" borderId="91" xfId="1" applyFont="1" applyBorder="1" applyAlignment="1">
      <alignment horizontal="center"/>
    </xf>
    <xf numFmtId="0" fontId="9" fillId="0" borderId="104" xfId="0" applyFont="1" applyFill="1" applyBorder="1"/>
    <xf numFmtId="0" fontId="69" fillId="0" borderId="105" xfId="0" applyFont="1" applyFill="1" applyBorder="1"/>
    <xf numFmtId="3" fontId="59" fillId="0" borderId="94" xfId="0" applyNumberFormat="1" applyFont="1" applyBorder="1" applyAlignment="1">
      <alignment horizontal="center"/>
    </xf>
    <xf numFmtId="3" fontId="59" fillId="0" borderId="95" xfId="0" applyNumberFormat="1" applyFont="1" applyBorder="1" applyAlignment="1">
      <alignment horizontal="center"/>
    </xf>
    <xf numFmtId="3" fontId="59" fillId="0" borderId="97" xfId="0" applyNumberFormat="1" applyFont="1" applyBorder="1" applyAlignment="1">
      <alignment horizontal="center"/>
    </xf>
    <xf numFmtId="9" fontId="59" fillId="0" borderId="95" xfId="1" applyFont="1" applyBorder="1" applyAlignment="1">
      <alignment horizontal="center"/>
    </xf>
    <xf numFmtId="0" fontId="60" fillId="36" borderId="89" xfId="0" applyFont="1" applyFill="1" applyBorder="1" applyAlignment="1">
      <alignment horizontal="center" vertical="center" wrapText="1"/>
    </xf>
    <xf numFmtId="9" fontId="0" fillId="0" borderId="106" xfId="1" applyFont="1" applyBorder="1" applyAlignment="1">
      <alignment horizontal="center"/>
    </xf>
    <xf numFmtId="9" fontId="0" fillId="0" borderId="4" xfId="1" applyFont="1" applyBorder="1" applyAlignment="1">
      <alignment horizontal="center"/>
    </xf>
    <xf numFmtId="9" fontId="59" fillId="0" borderId="107" xfId="1" applyFont="1" applyBorder="1" applyAlignment="1">
      <alignment horizontal="center"/>
    </xf>
    <xf numFmtId="9" fontId="2" fillId="47" borderId="108" xfId="1" applyFont="1" applyFill="1" applyBorder="1" applyAlignment="1">
      <alignment horizontal="center"/>
    </xf>
    <xf numFmtId="165" fontId="0" fillId="0" borderId="92" xfId="1" applyNumberFormat="1" applyFont="1" applyBorder="1" applyAlignment="1">
      <alignment horizontal="center" vertical="center"/>
    </xf>
    <xf numFmtId="165" fontId="0" fillId="0" borderId="93" xfId="1" applyNumberFormat="1" applyFont="1" applyBorder="1" applyAlignment="1">
      <alignment horizontal="center" vertical="center"/>
    </xf>
    <xf numFmtId="165" fontId="0" fillId="0" borderId="109" xfId="1" applyNumberFormat="1" applyFont="1" applyBorder="1" applyAlignment="1">
      <alignment horizontal="center" vertical="center"/>
    </xf>
    <xf numFmtId="165" fontId="0" fillId="0" borderId="110" xfId="1" applyNumberFormat="1" applyFont="1" applyBorder="1" applyAlignment="1">
      <alignment horizontal="center" vertical="center"/>
    </xf>
    <xf numFmtId="165" fontId="0" fillId="0" borderId="98" xfId="1" applyNumberFormat="1" applyFont="1" applyBorder="1" applyAlignment="1">
      <alignment horizontal="center" vertical="center"/>
    </xf>
    <xf numFmtId="165" fontId="0" fillId="0" borderId="99" xfId="1" applyNumberFormat="1" applyFont="1" applyBorder="1" applyAlignment="1">
      <alignment horizontal="center" vertical="center"/>
    </xf>
    <xf numFmtId="165" fontId="3" fillId="48" borderId="111" xfId="1" applyNumberFormat="1" applyFont="1" applyFill="1" applyBorder="1" applyAlignment="1">
      <alignment horizontal="center" vertical="center"/>
    </xf>
    <xf numFmtId="165" fontId="3" fillId="48" borderId="112" xfId="1" applyNumberFormat="1" applyFont="1" applyFill="1" applyBorder="1" applyAlignment="1">
      <alignment horizontal="center" vertical="center"/>
    </xf>
    <xf numFmtId="0" fontId="60" fillId="49" borderId="94" xfId="0" applyFont="1" applyFill="1" applyBorder="1" applyAlignment="1">
      <alignment horizontal="center" vertical="center"/>
    </xf>
    <xf numFmtId="0" fontId="60" fillId="49" borderId="95" xfId="0" applyFont="1" applyFill="1" applyBorder="1" applyAlignment="1">
      <alignment horizontal="center" vertical="center"/>
    </xf>
    <xf numFmtId="0" fontId="60" fillId="0" borderId="0" xfId="0" applyFont="1"/>
    <xf numFmtId="0" fontId="2" fillId="3" borderId="2" xfId="0" applyFont="1" applyFill="1" applyBorder="1" applyAlignment="1">
      <alignment horizontal="center" vertical="center"/>
    </xf>
    <xf numFmtId="0" fontId="0" fillId="0" borderId="0" xfId="0" applyAlignment="1">
      <alignment horizontal="center" vertical="center"/>
    </xf>
    <xf numFmtId="3" fontId="0" fillId="0" borderId="2" xfId="1" applyNumberFormat="1" applyFont="1" applyBorder="1" applyAlignment="1">
      <alignment horizontal="center"/>
    </xf>
    <xf numFmtId="3" fontId="3" fillId="0" borderId="2" xfId="1" applyNumberFormat="1" applyFont="1" applyBorder="1" applyAlignment="1">
      <alignment horizontal="center"/>
    </xf>
    <xf numFmtId="0" fontId="3" fillId="0" borderId="6" xfId="0" applyFont="1" applyFill="1" applyBorder="1"/>
    <xf numFmtId="0" fontId="30" fillId="0" borderId="0" xfId="0" applyFont="1" applyFill="1" applyBorder="1"/>
    <xf numFmtId="3" fontId="0" fillId="0" borderId="2" xfId="0" applyNumberFormat="1" applyBorder="1"/>
    <xf numFmtId="0" fontId="2" fillId="50" borderId="2" xfId="0" applyFont="1" applyFill="1" applyBorder="1" applyAlignment="1">
      <alignment horizontal="center" vertical="center"/>
    </xf>
    <xf numFmtId="0" fontId="2" fillId="50" borderId="2" xfId="0" applyFont="1" applyFill="1" applyBorder="1"/>
    <xf numFmtId="9" fontId="2" fillId="50" borderId="2" xfId="1" applyFont="1" applyFill="1" applyBorder="1" applyAlignment="1">
      <alignment horizontal="center"/>
    </xf>
    <xf numFmtId="9" fontId="3" fillId="0" borderId="2" xfId="1" applyFont="1" applyBorder="1" applyAlignment="1">
      <alignment horizontal="center"/>
    </xf>
    <xf numFmtId="0" fontId="29" fillId="0" borderId="2" xfId="0" applyFont="1" applyBorder="1"/>
    <xf numFmtId="0" fontId="18" fillId="11" borderId="2" xfId="0" applyFont="1" applyFill="1" applyBorder="1" applyAlignment="1">
      <alignment horizontal="center"/>
    </xf>
    <xf numFmtId="0" fontId="18" fillId="11" borderId="2" xfId="0" applyFont="1" applyFill="1" applyBorder="1"/>
    <xf numFmtId="0" fontId="29" fillId="0" borderId="0" xfId="0" applyFont="1"/>
    <xf numFmtId="9" fontId="83" fillId="0" borderId="2" xfId="1" applyFont="1" applyBorder="1" applyAlignment="1">
      <alignment horizontal="center"/>
    </xf>
    <xf numFmtId="9" fontId="83" fillId="0" borderId="2" xfId="1" applyNumberFormat="1" applyFont="1" applyBorder="1" applyAlignment="1">
      <alignment horizontal="center"/>
    </xf>
    <xf numFmtId="3" fontId="83" fillId="0" borderId="2" xfId="0" applyNumberFormat="1" applyFont="1" applyBorder="1" applyAlignment="1">
      <alignment horizontal="center"/>
    </xf>
    <xf numFmtId="9" fontId="83" fillId="0" borderId="2" xfId="0" applyNumberFormat="1" applyFont="1" applyBorder="1" applyAlignment="1">
      <alignment horizontal="center"/>
    </xf>
    <xf numFmtId="3" fontId="84" fillId="11" borderId="2" xfId="0" applyNumberFormat="1" applyFont="1" applyFill="1" applyBorder="1" applyAlignment="1">
      <alignment horizontal="center"/>
    </xf>
    <xf numFmtId="9" fontId="84" fillId="11" borderId="2" xfId="1" applyFont="1" applyFill="1" applyBorder="1" applyAlignment="1">
      <alignment horizontal="center"/>
    </xf>
    <xf numFmtId="0" fontId="30" fillId="0" borderId="2" xfId="0" applyFont="1" applyBorder="1"/>
    <xf numFmtId="0" fontId="26" fillId="11" borderId="2" xfId="0" applyFont="1" applyFill="1" applyBorder="1"/>
    <xf numFmtId="0" fontId="82" fillId="0" borderId="0" xfId="0" applyFont="1"/>
    <xf numFmtId="0" fontId="26" fillId="11" borderId="81" xfId="0" applyFont="1" applyFill="1" applyBorder="1" applyAlignment="1">
      <alignment horizontal="center"/>
    </xf>
    <xf numFmtId="0" fontId="26" fillId="11" borderId="81" xfId="0" applyFont="1" applyFill="1" applyBorder="1"/>
    <xf numFmtId="0" fontId="30" fillId="0" borderId="81" xfId="0" applyFont="1" applyBorder="1"/>
    <xf numFmtId="3" fontId="82" fillId="0" borderId="83" xfId="0" applyNumberFormat="1" applyFont="1" applyBorder="1" applyAlignment="1">
      <alignment horizontal="center"/>
    </xf>
    <xf numFmtId="9" fontId="82" fillId="0" borderId="81" xfId="0" applyNumberFormat="1" applyFont="1" applyBorder="1" applyAlignment="1">
      <alignment horizontal="center"/>
    </xf>
    <xf numFmtId="9" fontId="82" fillId="0" borderId="81" xfId="1" applyFont="1" applyBorder="1" applyAlignment="1">
      <alignment horizontal="center"/>
    </xf>
    <xf numFmtId="9" fontId="82" fillId="0" borderId="81" xfId="1" applyNumberFormat="1" applyFont="1" applyBorder="1" applyAlignment="1">
      <alignment horizontal="center"/>
    </xf>
    <xf numFmtId="3" fontId="26" fillId="11" borderId="81" xfId="0" applyNumberFormat="1" applyFont="1" applyFill="1" applyBorder="1" applyAlignment="1">
      <alignment horizontal="center"/>
    </xf>
    <xf numFmtId="9" fontId="26" fillId="11" borderId="80" xfId="1" applyFont="1" applyFill="1" applyBorder="1" applyAlignment="1">
      <alignment horizontal="center"/>
    </xf>
    <xf numFmtId="165" fontId="0" fillId="0" borderId="0" xfId="1" applyNumberFormat="1" applyFont="1" applyBorder="1" applyAlignment="1">
      <alignment horizontal="center"/>
    </xf>
    <xf numFmtId="0" fontId="53" fillId="0" borderId="43" xfId="0" applyFont="1" applyFill="1" applyBorder="1" applyAlignment="1">
      <alignment horizontal="center"/>
    </xf>
    <xf numFmtId="0" fontId="53" fillId="0" borderId="44" xfId="0" applyFont="1" applyFill="1" applyBorder="1" applyAlignment="1">
      <alignment horizontal="center"/>
    </xf>
    <xf numFmtId="0" fontId="73" fillId="0" borderId="0" xfId="0" applyFont="1" applyAlignment="1">
      <alignment horizontal="center" wrapText="1"/>
    </xf>
    <xf numFmtId="0" fontId="53" fillId="9" borderId="42" xfId="0" applyFont="1" applyFill="1" applyBorder="1" applyAlignment="1">
      <alignment horizontal="center"/>
    </xf>
    <xf numFmtId="0" fontId="53" fillId="9" borderId="16" xfId="0" applyFont="1" applyFill="1" applyBorder="1" applyAlignment="1">
      <alignment horizontal="center"/>
    </xf>
    <xf numFmtId="0" fontId="26" fillId="27" borderId="40" xfId="0" applyFont="1" applyFill="1" applyBorder="1" applyAlignment="1">
      <alignment horizontal="center" vertical="center"/>
    </xf>
    <xf numFmtId="0" fontId="26" fillId="27" borderId="41" xfId="0" applyFont="1" applyFill="1" applyBorder="1" applyAlignment="1">
      <alignment horizontal="center" vertical="center"/>
    </xf>
    <xf numFmtId="0" fontId="53" fillId="9" borderId="42" xfId="0" applyFont="1" applyFill="1" applyBorder="1" applyAlignment="1">
      <alignment horizontal="center" wrapText="1"/>
    </xf>
    <xf numFmtId="0" fontId="53" fillId="9" borderId="16" xfId="0" applyFont="1" applyFill="1" applyBorder="1" applyAlignment="1">
      <alignment horizontal="center" wrapText="1"/>
    </xf>
    <xf numFmtId="0" fontId="28" fillId="26" borderId="43" xfId="2" applyFont="1" applyFill="1" applyBorder="1" applyAlignment="1">
      <alignment horizontal="left" vertical="center" indent="1"/>
    </xf>
    <xf numFmtId="0" fontId="53" fillId="0" borderId="46" xfId="0" applyFont="1" applyFill="1" applyBorder="1" applyAlignment="1">
      <alignment horizontal="center"/>
    </xf>
    <xf numFmtId="0" fontId="2" fillId="46" borderId="90" xfId="0" applyFont="1" applyFill="1" applyBorder="1" applyAlignment="1">
      <alignment horizontal="center"/>
    </xf>
    <xf numFmtId="0" fontId="2" fillId="46" borderId="91" xfId="0" applyFont="1" applyFill="1" applyBorder="1" applyAlignment="1">
      <alignment horizontal="center"/>
    </xf>
    <xf numFmtId="0" fontId="3" fillId="48" borderId="90" xfId="0" applyFont="1" applyFill="1" applyBorder="1" applyAlignment="1">
      <alignment horizontal="center" vertical="center"/>
    </xf>
    <xf numFmtId="0" fontId="3" fillId="48" borderId="91" xfId="0" applyFont="1" applyFill="1" applyBorder="1" applyAlignment="1">
      <alignment horizontal="center" vertical="center"/>
    </xf>
    <xf numFmtId="0" fontId="2" fillId="3" borderId="2" xfId="0" applyFont="1" applyFill="1" applyBorder="1" applyAlignment="1">
      <alignment horizontal="center" vertical="center" wrapText="1"/>
    </xf>
    <xf numFmtId="0" fontId="81" fillId="0" borderId="113" xfId="0" applyFont="1" applyBorder="1" applyAlignment="1">
      <alignment horizontal="center"/>
    </xf>
    <xf numFmtId="0" fontId="2" fillId="47" borderId="90" xfId="0" applyFont="1" applyFill="1" applyBorder="1" applyAlignment="1">
      <alignment horizontal="center"/>
    </xf>
    <xf numFmtId="0" fontId="2" fillId="47" borderId="96" xfId="0" applyFont="1" applyFill="1" applyBorder="1" applyAlignment="1">
      <alignment horizontal="center"/>
    </xf>
    <xf numFmtId="0" fontId="2" fillId="47" borderId="106" xfId="0" applyFont="1" applyFill="1" applyBorder="1" applyAlignment="1">
      <alignment horizontal="center"/>
    </xf>
    <xf numFmtId="0" fontId="2" fillId="47" borderId="91" xfId="0" applyFont="1" applyFill="1" applyBorder="1" applyAlignment="1">
      <alignment horizontal="center"/>
    </xf>
    <xf numFmtId="0" fontId="2" fillId="5" borderId="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3"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2" xfId="0" applyFont="1" applyFill="1" applyBorder="1" applyAlignment="1">
      <alignment horizontal="center" vertical="center" wrapText="1"/>
    </xf>
    <xf numFmtId="0" fontId="6" fillId="20" borderId="0" xfId="2" applyFill="1" applyBorder="1" applyAlignment="1">
      <alignment horizontal="center" vertical="center"/>
    </xf>
    <xf numFmtId="0" fontId="6" fillId="21" borderId="0" xfId="2" applyFill="1" applyBorder="1" applyAlignment="1">
      <alignment horizontal="center" vertical="center"/>
    </xf>
    <xf numFmtId="0" fontId="2" fillId="5" borderId="2" xfId="0" applyFont="1" applyFill="1" applyBorder="1" applyAlignment="1">
      <alignment horizontal="center" vertical="center" wrapText="1"/>
    </xf>
    <xf numFmtId="0" fontId="2" fillId="4" borderId="6"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35" borderId="2" xfId="0" applyFont="1" applyFill="1" applyBorder="1" applyAlignment="1">
      <alignment horizontal="center" vertical="center" wrapText="1"/>
    </xf>
    <xf numFmtId="0" fontId="24" fillId="35" borderId="72" xfId="0" applyFont="1" applyFill="1" applyBorder="1" applyAlignment="1">
      <alignment horizontal="center" vertical="center" wrapText="1"/>
    </xf>
    <xf numFmtId="0" fontId="24" fillId="35" borderId="73" xfId="0" applyFont="1" applyFill="1" applyBorder="1" applyAlignment="1">
      <alignment horizontal="center" vertical="center" wrapText="1"/>
    </xf>
    <xf numFmtId="0" fontId="2" fillId="35" borderId="4" xfId="0" applyFont="1" applyFill="1" applyBorder="1" applyAlignment="1">
      <alignment horizontal="center" vertical="center"/>
    </xf>
    <xf numFmtId="0" fontId="2" fillId="35" borderId="5" xfId="0" applyFont="1" applyFill="1" applyBorder="1" applyAlignment="1">
      <alignment horizontal="center" vertical="center"/>
    </xf>
    <xf numFmtId="0" fontId="0" fillId="0" borderId="0" xfId="0" applyAlignment="1">
      <alignment horizontal="center"/>
    </xf>
    <xf numFmtId="0" fontId="2" fillId="39" borderId="88" xfId="0" applyFont="1" applyFill="1" applyBorder="1" applyAlignment="1">
      <alignment horizontal="center" wrapText="1"/>
    </xf>
    <xf numFmtId="0" fontId="2" fillId="39" borderId="0" xfId="0" applyFont="1" applyFill="1" applyAlignment="1">
      <alignment horizontal="center" wrapText="1"/>
    </xf>
    <xf numFmtId="0" fontId="2" fillId="40" borderId="88" xfId="0" applyFont="1" applyFill="1" applyBorder="1" applyAlignment="1">
      <alignment horizontal="center" wrapText="1"/>
    </xf>
    <xf numFmtId="0" fontId="2" fillId="40" borderId="0" xfId="0" applyFont="1" applyFill="1" applyAlignment="1">
      <alignment horizontal="center" wrapText="1"/>
    </xf>
    <xf numFmtId="3" fontId="18" fillId="27" borderId="54" xfId="0" applyNumberFormat="1" applyFont="1" applyFill="1" applyBorder="1" applyAlignment="1">
      <alignment horizontal="center" vertical="center"/>
    </xf>
    <xf numFmtId="3" fontId="18" fillId="27" borderId="55" xfId="0" applyNumberFormat="1" applyFont="1" applyFill="1" applyBorder="1" applyAlignment="1">
      <alignment horizontal="center" vertical="center"/>
    </xf>
    <xf numFmtId="0" fontId="2" fillId="27" borderId="0" xfId="0" applyFont="1" applyFill="1" applyBorder="1" applyAlignment="1">
      <alignment horizontal="center" vertical="center"/>
    </xf>
    <xf numFmtId="0" fontId="18" fillId="28" borderId="36" xfId="0" applyFont="1" applyFill="1" applyBorder="1" applyAlignment="1">
      <alignment horizontal="center" vertical="center" wrapText="1"/>
    </xf>
    <xf numFmtId="0" fontId="18" fillId="28" borderId="37" xfId="0" applyFont="1" applyFill="1" applyBorder="1" applyAlignment="1">
      <alignment horizontal="center" vertical="center" wrapText="1"/>
    </xf>
    <xf numFmtId="0" fontId="18" fillId="28" borderId="38" xfId="0" applyFont="1" applyFill="1" applyBorder="1" applyAlignment="1">
      <alignment horizontal="center" vertical="center" wrapText="1"/>
    </xf>
    <xf numFmtId="0" fontId="2" fillId="24" borderId="2" xfId="0" applyFont="1" applyFill="1" applyBorder="1" applyAlignment="1">
      <alignment horizontal="center" vertical="center" wrapText="1"/>
    </xf>
    <xf numFmtId="0" fontId="20" fillId="44" borderId="2" xfId="0" applyFont="1" applyFill="1" applyBorder="1" applyAlignment="1">
      <alignment horizontal="center" vertical="center" wrapText="1"/>
    </xf>
    <xf numFmtId="0" fontId="2" fillId="32" borderId="9" xfId="0" applyNumberFormat="1" applyFont="1" applyFill="1" applyBorder="1" applyAlignment="1">
      <alignment horizontal="center" vertical="center" wrapText="1"/>
    </xf>
    <xf numFmtId="0" fontId="2" fillId="32" borderId="47" xfId="0" applyNumberFormat="1" applyFont="1" applyFill="1" applyBorder="1" applyAlignment="1">
      <alignment horizontal="center" vertical="center" wrapText="1"/>
    </xf>
    <xf numFmtId="3" fontId="18" fillId="30" borderId="62" xfId="0" applyNumberFormat="1" applyFont="1" applyFill="1" applyBorder="1" applyAlignment="1">
      <alignment horizontal="center" vertical="center"/>
    </xf>
    <xf numFmtId="3" fontId="18" fillId="30" borderId="55" xfId="0" applyNumberFormat="1" applyFont="1" applyFill="1" applyBorder="1" applyAlignment="1">
      <alignment horizontal="center" vertical="center"/>
    </xf>
    <xf numFmtId="0" fontId="2" fillId="30" borderId="37" xfId="0" applyFont="1" applyFill="1" applyBorder="1" applyAlignment="1">
      <alignment horizontal="center" vertical="center"/>
    </xf>
    <xf numFmtId="3" fontId="18" fillId="30" borderId="69" xfId="0" applyNumberFormat="1" applyFont="1" applyFill="1" applyBorder="1" applyAlignment="1">
      <alignment horizontal="center" vertical="center"/>
    </xf>
    <xf numFmtId="3" fontId="18" fillId="30" borderId="50" xfId="0" applyNumberFormat="1" applyFont="1" applyFill="1" applyBorder="1" applyAlignment="1">
      <alignment horizontal="center" vertical="center"/>
    </xf>
    <xf numFmtId="0" fontId="2" fillId="30" borderId="68" xfId="0" applyFont="1" applyFill="1" applyBorder="1" applyAlignment="1">
      <alignment horizontal="center" vertical="center"/>
    </xf>
    <xf numFmtId="0" fontId="2" fillId="46" borderId="2" xfId="0" applyFont="1" applyFill="1" applyBorder="1" applyAlignment="1">
      <alignment horizontal="center" wrapText="1"/>
    </xf>
    <xf numFmtId="0" fontId="2" fillId="40" borderId="2" xfId="0" applyFont="1" applyFill="1" applyBorder="1" applyAlignment="1">
      <alignment horizontal="center" wrapText="1"/>
    </xf>
    <xf numFmtId="3" fontId="18" fillId="30" borderId="39" xfId="0" applyNumberFormat="1" applyFont="1" applyFill="1" applyBorder="1" applyAlignment="1">
      <alignment horizontal="center" vertical="center"/>
    </xf>
    <xf numFmtId="0" fontId="2" fillId="24" borderId="2" xfId="0" applyFont="1" applyFill="1" applyBorder="1" applyAlignment="1">
      <alignment horizontal="center" wrapText="1"/>
    </xf>
    <xf numFmtId="0" fontId="20" fillId="44" borderId="2" xfId="0" applyFont="1" applyFill="1" applyBorder="1" applyAlignment="1">
      <alignment horizontal="center" wrapText="1"/>
    </xf>
    <xf numFmtId="0" fontId="2" fillId="32" borderId="48" xfId="0" applyNumberFormat="1" applyFont="1" applyFill="1" applyBorder="1" applyAlignment="1">
      <alignment horizontal="center" vertical="center" wrapText="1"/>
    </xf>
    <xf numFmtId="0" fontId="2" fillId="27" borderId="68" xfId="0" applyFont="1" applyFill="1" applyBorder="1" applyAlignment="1">
      <alignment horizontal="center" vertical="center"/>
    </xf>
    <xf numFmtId="0" fontId="2" fillId="27" borderId="37" xfId="0" applyFont="1" applyFill="1" applyBorder="1" applyAlignment="1">
      <alignment horizontal="center" vertical="center"/>
    </xf>
    <xf numFmtId="0" fontId="20" fillId="45" borderId="9" xfId="0" applyNumberFormat="1" applyFont="1" applyFill="1" applyBorder="1" applyAlignment="1">
      <alignment horizontal="center" vertical="center" wrapText="1"/>
    </xf>
    <xf numFmtId="0" fontId="20" fillId="45" borderId="47" xfId="0" applyNumberFormat="1" applyFont="1" applyFill="1" applyBorder="1" applyAlignment="1">
      <alignment horizontal="center" vertical="center" wrapText="1"/>
    </xf>
    <xf numFmtId="0" fontId="20" fillId="45" borderId="48" xfId="0" applyNumberFormat="1" applyFont="1" applyFill="1" applyBorder="1" applyAlignment="1">
      <alignment horizontal="center" vertical="center" wrapText="1"/>
    </xf>
    <xf numFmtId="3" fontId="18" fillId="30" borderId="69" xfId="0" applyNumberFormat="1" applyFont="1" applyFill="1" applyBorder="1" applyAlignment="1">
      <alignment horizontal="center" vertical="center" wrapText="1"/>
    </xf>
    <xf numFmtId="3" fontId="18" fillId="30" borderId="50" xfId="0" applyNumberFormat="1" applyFont="1" applyFill="1" applyBorder="1" applyAlignment="1">
      <alignment horizontal="center" vertical="center" wrapText="1"/>
    </xf>
    <xf numFmtId="0" fontId="2" fillId="27" borderId="31" xfId="0" applyFont="1" applyFill="1" applyBorder="1" applyAlignment="1">
      <alignment horizontal="center" vertical="center" wrapText="1"/>
    </xf>
    <xf numFmtId="0" fontId="2" fillId="27" borderId="74" xfId="0" applyFont="1" applyFill="1" applyBorder="1" applyAlignment="1">
      <alignment horizontal="center" vertical="center" wrapText="1"/>
    </xf>
    <xf numFmtId="3" fontId="18" fillId="30" borderId="75" xfId="0" applyNumberFormat="1" applyFont="1" applyFill="1" applyBorder="1" applyAlignment="1">
      <alignment horizontal="center" vertical="center" wrapText="1"/>
    </xf>
    <xf numFmtId="3" fontId="18" fillId="30" borderId="76" xfId="0" applyNumberFormat="1" applyFont="1" applyFill="1" applyBorder="1" applyAlignment="1">
      <alignment horizontal="center" vertical="center" wrapText="1"/>
    </xf>
  </cellXfs>
  <cellStyles count="8">
    <cellStyle name="EST" xfId="6" xr:uid="{00000000-0005-0000-0000-000000000000}"/>
    <cellStyle name="Estilo 1" xfId="4" xr:uid="{00000000-0005-0000-0000-000001000000}"/>
    <cellStyle name="Estilo 2" xfId="5" xr:uid="{00000000-0005-0000-0000-000002000000}"/>
    <cellStyle name="Estilo 3" xfId="7" xr:uid="{00000000-0005-0000-0000-000003000000}"/>
    <cellStyle name="Hipervínculo" xfId="2" builtinId="8"/>
    <cellStyle name="Normal" xfId="0" builtinId="0"/>
    <cellStyle name="Normal 2" xfId="3" xr:uid="{00000000-0005-0000-0000-000007000000}"/>
    <cellStyle name="Porcentaje" xfId="1" builtinId="5"/>
  </cellStyles>
  <dxfs count="264">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9C0006"/>
      </font>
    </dxf>
    <dxf>
      <font>
        <color rgb="FF9C0006"/>
      </font>
    </dxf>
  </dxfs>
  <tableStyles count="0" defaultTableStyle="TableStyleMedium2" defaultPivotStyle="PivotStyleLight16"/>
  <colors>
    <mruColors>
      <color rgb="FFD7AE85"/>
      <color rgb="FF00FFCC"/>
      <color rgb="FF996633"/>
      <color rgb="FFCB9661"/>
      <color rgb="FF663300"/>
      <color rgb="FFFF8FA4"/>
      <color rgb="FFFFCCCC"/>
      <color rgb="FF0033CC"/>
      <color rgb="FF0099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b="0" i="0" baseline="0">
                <a:effectLst/>
              </a:rPr>
              <a:t>Distribución de la Superficie </a:t>
            </a:r>
            <a:r>
              <a:rPr lang="es-ES" sz="1400" b="1" i="0" baseline="0">
                <a:effectLst/>
              </a:rPr>
              <a:t>Total de Frutos Secos </a:t>
            </a:r>
            <a:r>
              <a:rPr lang="es-ES" sz="1400" b="0" i="0" baseline="0">
                <a:effectLst/>
              </a:rPr>
              <a:t>en RSU REGEPA 2021</a:t>
            </a:r>
            <a:endParaRPr lang="es-E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view3D>
      <c:rotX val="30"/>
      <c:rotY val="1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55E-2"/>
          <c:y val="0.2313659230096238"/>
          <c:w val="0.89444444444444449"/>
          <c:h val="0.71770815106445029"/>
        </c:manualLayout>
      </c:layout>
      <c:pie3DChart>
        <c:varyColors val="1"/>
        <c:ser>
          <c:idx val="0"/>
          <c:order val="0"/>
          <c:tx>
            <c:strRef>
              <c:f>'FRUTOS SECOS TOTAL'!$D$5</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3C5-4F1B-B5B9-F85CE7FB550A}"/>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53C5-4F1B-B5B9-F85CE7FB550A}"/>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3C5-4F1B-B5B9-F85CE7FB550A}"/>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53C5-4F1B-B5B9-F85CE7FB550A}"/>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6-53C5-4F1B-B5B9-F85CE7FB550A}"/>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3C5-4F1B-B5B9-F85CE7FB550A}"/>
              </c:ext>
            </c:extLst>
          </c:dPt>
          <c:dLbls>
            <c:dLbl>
              <c:idx val="0"/>
              <c:layout>
                <c:manualLayout>
                  <c:x val="0.26352493438320207"/>
                  <c:y val="-0.14187007874015747"/>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3C5-4F1B-B5B9-F85CE7FB550A}"/>
                </c:ext>
              </c:extLst>
            </c:dLbl>
            <c:dLbl>
              <c:idx val="1"/>
              <c:layout>
                <c:manualLayout>
                  <c:x val="-3.6603561710636022E-2"/>
                  <c:y val="-5.6958175244254138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3C5-4F1B-B5B9-F85CE7FB550A}"/>
                </c:ext>
              </c:extLst>
            </c:dLbl>
            <c:dLbl>
              <c:idx val="2"/>
              <c:layout>
                <c:manualLayout>
                  <c:x val="4.6314768855525587E-2"/>
                  <c:y val="-2.95190919055912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3C5-4F1B-B5B9-F85CE7FB550A}"/>
                </c:ext>
              </c:extLst>
            </c:dLbl>
            <c:dLbl>
              <c:idx val="3"/>
              <c:layout>
                <c:manualLayout>
                  <c:x val="1.9899540596153665E-2"/>
                  <c:y val="7.55038647853136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3C5-4F1B-B5B9-F85CE7FB550A}"/>
                </c:ext>
              </c:extLst>
            </c:dLbl>
            <c:dLbl>
              <c:idx val="4"/>
              <c:layout>
                <c:manualLayout>
                  <c:x val="4.5932936370672271E-2"/>
                  <c:y val="6.4102116001564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3C5-4F1B-B5B9-F85CE7FB550A}"/>
                </c:ext>
              </c:extLst>
            </c:dLbl>
            <c:dLbl>
              <c:idx val="5"/>
              <c:layout>
                <c:manualLayout>
                  <c:x val="3.300583658226857E-2"/>
                  <c:y val="0.19832439209760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3C5-4F1B-B5B9-F85CE7FB5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'FRUTOS SECOS TOTAL'!$A$6:$A$11</c:f>
              <c:strCache>
                <c:ptCount val="6"/>
                <c:pt idx="0">
                  <c:v>ALMENDRO</c:v>
                </c:pt>
                <c:pt idx="1">
                  <c:v>PISTACHO</c:v>
                </c:pt>
                <c:pt idx="2">
                  <c:v>AVELLANO</c:v>
                </c:pt>
                <c:pt idx="3">
                  <c:v>ALGARROBO</c:v>
                </c:pt>
                <c:pt idx="4">
                  <c:v>CASTAÑO </c:v>
                </c:pt>
                <c:pt idx="5">
                  <c:v>NOGAL</c:v>
                </c:pt>
              </c:strCache>
            </c:strRef>
          </c:cat>
          <c:val>
            <c:numRef>
              <c:f>'FRUTOS SECOS TOTAL'!$D$6:$D$11</c:f>
              <c:numCache>
                <c:formatCode>#,##0</c:formatCode>
                <c:ptCount val="6"/>
                <c:pt idx="0">
                  <c:v>626160.97380000027</c:v>
                </c:pt>
                <c:pt idx="1">
                  <c:v>59658.180000000008</c:v>
                </c:pt>
                <c:pt idx="2">
                  <c:v>9911.1599999999908</c:v>
                </c:pt>
                <c:pt idx="3">
                  <c:v>16314.120000000004</c:v>
                </c:pt>
                <c:pt idx="4">
                  <c:v>10256.880000000003</c:v>
                </c:pt>
                <c:pt idx="5">
                  <c:v>9904.9199999999983</c:v>
                </c:pt>
              </c:numCache>
            </c:numRef>
          </c:val>
          <c:extLst>
            <c:ext xmlns:c16="http://schemas.microsoft.com/office/drawing/2014/chart" uri="{C3380CC4-5D6E-409C-BE32-E72D297353CC}">
              <c16:uniqueId val="{00000000-53C5-4F1B-B5B9-F85CE7FB550A}"/>
            </c:ext>
          </c:extLst>
        </c:ser>
        <c:dLbls>
          <c:dLblPos val="in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u="sng">
                <a:solidFill>
                  <a:sysClr val="windowText" lastClr="000000"/>
                </a:solidFill>
              </a:rPr>
              <a:t>ALMENDRO</a:t>
            </a:r>
            <a:r>
              <a:rPr lang="en-US" b="1" u="sng" baseline="0">
                <a:solidFill>
                  <a:sysClr val="windowText" lastClr="000000"/>
                </a:solidFill>
              </a:rPr>
              <a:t> SECANO</a:t>
            </a:r>
            <a:r>
              <a:rPr lang="en-US" b="1" u="sng">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RSU REGEPA 2021 vs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7908821638259073"/>
          <c:y val="0.20875000000000005"/>
          <c:w val="0.77196424521008944"/>
          <c:h val="0.5500692621755614"/>
        </c:manualLayout>
      </c:layout>
      <c:barChart>
        <c:barDir val="bar"/>
        <c:grouping val="clustered"/>
        <c:varyColors val="0"/>
        <c:ser>
          <c:idx val="0"/>
          <c:order val="0"/>
          <c:tx>
            <c:strRef>
              <c:f>'ALM-REPR'!$T$11</c:f>
              <c:strCache>
                <c:ptCount val="1"/>
                <c:pt idx="0">
                  <c:v>RSU REGEPA 2020</c:v>
                </c:pt>
              </c:strCache>
            </c:strRef>
          </c:tx>
          <c:spPr>
            <a:solidFill>
              <a:schemeClr val="accent2">
                <a:shade val="76000"/>
              </a:schemeClr>
            </a:solidFill>
            <a:ln>
              <a:noFill/>
            </a:ln>
            <a:effectLst/>
          </c:spPr>
          <c:invertIfNegative val="0"/>
          <c:dLbls>
            <c:dLbl>
              <c:idx val="0"/>
              <c:layout>
                <c:manualLayout>
                  <c:x val="9.4062316284538507E-3"/>
                  <c:y val="0"/>
                </c:manualLayout>
              </c:layout>
              <c:tx>
                <c:rich>
                  <a:bodyPr/>
                  <a:lstStyle/>
                  <a:p>
                    <a:fld id="{7DD00C57-187D-4736-8B57-635567D95DA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C6B-4CBD-ABC8-E190EF647868}"/>
                </c:ext>
              </c:extLst>
            </c:dLbl>
            <c:dLbl>
              <c:idx val="1"/>
              <c:layout>
                <c:manualLayout>
                  <c:x val="2.1164021164021163E-2"/>
                  <c:y val="-8.4875562720133283E-17"/>
                </c:manualLayout>
              </c:layout>
              <c:tx>
                <c:rich>
                  <a:bodyPr/>
                  <a:lstStyle/>
                  <a:p>
                    <a:fld id="{FFDBBCB8-F1C0-4CBC-9C04-387532B359C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C6B-4CBD-ABC8-E190EF647868}"/>
                </c:ext>
              </c:extLst>
            </c:dLbl>
            <c:dLbl>
              <c:idx val="2"/>
              <c:tx>
                <c:rich>
                  <a:bodyPr/>
                  <a:lstStyle/>
                  <a:p>
                    <a:fld id="{11FBDA1C-5371-425F-8FCE-E4603B8416B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C6B-4CBD-ABC8-E190EF647868}"/>
                </c:ext>
              </c:extLst>
            </c:dLbl>
            <c:dLbl>
              <c:idx val="3"/>
              <c:tx>
                <c:rich>
                  <a:bodyPr rot="0" spcFirstLastPara="1" vertOverflow="ellipsis" vert="horz" wrap="square" lIns="38100" tIns="19050" rIns="38100" bIns="19050" anchor="ctr" anchorCtr="1">
                    <a:spAutoFit/>
                  </a:bodyPr>
                  <a:lstStyle/>
                  <a:p>
                    <a:pPr>
                      <a:defRPr sz="1200" b="1" i="0" u="none" strike="noStrike" kern="1200" baseline="0">
                        <a:solidFill>
                          <a:srgbClr val="FF0000"/>
                        </a:solidFill>
                        <a:latin typeface="+mn-lt"/>
                        <a:ea typeface="+mn-ea"/>
                        <a:cs typeface="+mn-cs"/>
                      </a:defRPr>
                    </a:pPr>
                    <a:fld id="{9A8C77D7-EDA9-454A-830C-401CB3F4F333}" type="CELLRANGE">
                      <a:rPr lang="es-ES"/>
                      <a:pPr>
                        <a:defRPr sz="12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F0000"/>
                      </a:solidFill>
                      <a:latin typeface="+mn-lt"/>
                      <a:ea typeface="+mn-ea"/>
                      <a:cs typeface="+mn-cs"/>
                    </a:defRPr>
                  </a:pPr>
                  <a:endParaRPr lang="es-E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C6B-4CBD-ABC8-E190EF647868}"/>
                </c:ext>
              </c:extLst>
            </c:dLbl>
            <c:dLbl>
              <c:idx val="4"/>
              <c:tx>
                <c:rich>
                  <a:bodyPr/>
                  <a:lstStyle/>
                  <a:p>
                    <a:fld id="{D05738F6-6FDA-4A5A-8D84-2BCDCDE61EC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C6B-4CBD-ABC8-E190EF647868}"/>
                </c:ext>
              </c:extLst>
            </c:dLbl>
            <c:dLbl>
              <c:idx val="5"/>
              <c:tx>
                <c:rich>
                  <a:bodyPr rot="0" spcFirstLastPara="1" vertOverflow="ellipsis" vert="horz" wrap="square" lIns="38100" tIns="19050" rIns="38100" bIns="19050" anchor="ctr" anchorCtr="0">
                    <a:spAutoFit/>
                  </a:bodyPr>
                  <a:lstStyle/>
                  <a:p>
                    <a:pPr algn="ctr">
                      <a:defRPr lang="es-ES" sz="1200" b="1" i="0" u="none" strike="noStrike" kern="1200" baseline="0">
                        <a:solidFill>
                          <a:srgbClr val="FF0000"/>
                        </a:solidFill>
                        <a:latin typeface="+mn-lt"/>
                        <a:ea typeface="+mn-ea"/>
                        <a:cs typeface="+mn-cs"/>
                      </a:defRPr>
                    </a:pPr>
                    <a:fld id="{143D2E25-A1E1-4F77-8074-E8845223FF65}" type="CELLRANGE">
                      <a:rPr lang="es-ES"/>
                      <a:pPr algn="ctr">
                        <a:defRPr lang="es-ES" sz="12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0">
                  <a:spAutoFit/>
                </a:bodyPr>
                <a:lstStyle/>
                <a:p>
                  <a:pPr algn="ctr">
                    <a:defRPr lang="es-ES" sz="1200" b="1" i="0" u="none" strike="noStrike" kern="1200" baseline="0">
                      <a:solidFill>
                        <a:srgbClr val="FF0000"/>
                      </a:solidFill>
                      <a:latin typeface="+mn-lt"/>
                      <a:ea typeface="+mn-ea"/>
                      <a:cs typeface="+mn-cs"/>
                    </a:defRPr>
                  </a:pPr>
                  <a:endParaRPr lang="es-E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C6B-4CBD-ABC8-E190EF64786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'ALM-REPR'!$S$12:$S$17</c:f>
              <c:strCache>
                <c:ptCount val="6"/>
                <c:pt idx="0">
                  <c:v>ANDALUCÍA</c:v>
                </c:pt>
                <c:pt idx="1">
                  <c:v>C.-LA MANCHA</c:v>
                </c:pt>
                <c:pt idx="2">
                  <c:v>MURCIA</c:v>
                </c:pt>
                <c:pt idx="3">
                  <c:v>ARAGÓN</c:v>
                </c:pt>
                <c:pt idx="4">
                  <c:v>C. VALENCIANA</c:v>
                </c:pt>
                <c:pt idx="5">
                  <c:v>CATALUÑA</c:v>
                </c:pt>
              </c:strCache>
            </c:strRef>
          </c:cat>
          <c:val>
            <c:numRef>
              <c:f>'ALM-REPR'!$T$12:$T$17</c:f>
              <c:numCache>
                <c:formatCode>#,##0</c:formatCode>
                <c:ptCount val="6"/>
                <c:pt idx="0">
                  <c:v>142516</c:v>
                </c:pt>
                <c:pt idx="1">
                  <c:v>122807</c:v>
                </c:pt>
                <c:pt idx="2">
                  <c:v>72261.179999999993</c:v>
                </c:pt>
                <c:pt idx="3">
                  <c:v>58848.249999999956</c:v>
                </c:pt>
                <c:pt idx="4">
                  <c:v>53322.159999999967</c:v>
                </c:pt>
                <c:pt idx="5">
                  <c:v>23269.339999999986</c:v>
                </c:pt>
              </c:numCache>
            </c:numRef>
          </c:val>
          <c:extLst>
            <c:ext xmlns:c15="http://schemas.microsoft.com/office/drawing/2012/chart" uri="{02D57815-91ED-43cb-92C2-25804820EDAC}">
              <c15:datalabelsRange>
                <c15:f>'ALM-REPR'!$V$12:$V$17</c15:f>
                <c15:dlblRangeCache>
                  <c:ptCount val="6"/>
                  <c:pt idx="0">
                    <c:v>3,9%</c:v>
                  </c:pt>
                  <c:pt idx="1">
                    <c:v>4,9%</c:v>
                  </c:pt>
                  <c:pt idx="2">
                    <c:v>2,6%</c:v>
                  </c:pt>
                  <c:pt idx="3">
                    <c:v>-0,5%</c:v>
                  </c:pt>
                  <c:pt idx="4">
                    <c:v>2,0%</c:v>
                  </c:pt>
                  <c:pt idx="5">
                    <c:v>-5,4%</c:v>
                  </c:pt>
                </c15:dlblRangeCache>
              </c15:datalabelsRange>
            </c:ext>
            <c:ext xmlns:c16="http://schemas.microsoft.com/office/drawing/2014/chart" uri="{C3380CC4-5D6E-409C-BE32-E72D297353CC}">
              <c16:uniqueId val="{00000000-75C6-42A5-AC45-0F6B23C22A22}"/>
            </c:ext>
          </c:extLst>
        </c:ser>
        <c:ser>
          <c:idx val="1"/>
          <c:order val="1"/>
          <c:tx>
            <c:strRef>
              <c:f>'ALM-REPR'!$U$11</c:f>
              <c:strCache>
                <c:ptCount val="1"/>
                <c:pt idx="0">
                  <c:v>RSU REGEPA 2021</c:v>
                </c:pt>
              </c:strCache>
            </c:strRef>
          </c:tx>
          <c:spPr>
            <a:solidFill>
              <a:schemeClr val="accent2">
                <a:tint val="77000"/>
              </a:schemeClr>
            </a:solidFill>
            <a:ln>
              <a:noFill/>
            </a:ln>
            <a:effectLst/>
          </c:spPr>
          <c:invertIfNegative val="0"/>
          <c:dLbls>
            <c:delete val="1"/>
          </c:dLbls>
          <c:cat>
            <c:strRef>
              <c:f>'ALM-REPR'!$S$12:$S$17</c:f>
              <c:strCache>
                <c:ptCount val="6"/>
                <c:pt idx="0">
                  <c:v>ANDALUCÍA</c:v>
                </c:pt>
                <c:pt idx="1">
                  <c:v>C.-LA MANCHA</c:v>
                </c:pt>
                <c:pt idx="2">
                  <c:v>MURCIA</c:v>
                </c:pt>
                <c:pt idx="3">
                  <c:v>ARAGÓN</c:v>
                </c:pt>
                <c:pt idx="4">
                  <c:v>C. VALENCIANA</c:v>
                </c:pt>
                <c:pt idx="5">
                  <c:v>CATALUÑA</c:v>
                </c:pt>
              </c:strCache>
            </c:strRef>
          </c:cat>
          <c:val>
            <c:numRef>
              <c:f>'ALM-REPR'!$U$12:$U$17</c:f>
              <c:numCache>
                <c:formatCode>#,##0</c:formatCode>
                <c:ptCount val="6"/>
                <c:pt idx="0">
                  <c:v>148042.47140000013</c:v>
                </c:pt>
                <c:pt idx="1">
                  <c:v>128880.31080000008</c:v>
                </c:pt>
                <c:pt idx="2">
                  <c:v>74140.410000000062</c:v>
                </c:pt>
                <c:pt idx="3">
                  <c:v>58530.640000000029</c:v>
                </c:pt>
                <c:pt idx="4">
                  <c:v>54378.517699999968</c:v>
                </c:pt>
                <c:pt idx="5">
                  <c:v>22011.300000000047</c:v>
                </c:pt>
              </c:numCache>
            </c:numRef>
          </c:val>
          <c:extLst>
            <c:ext xmlns:c16="http://schemas.microsoft.com/office/drawing/2014/chart" uri="{C3380CC4-5D6E-409C-BE32-E72D297353CC}">
              <c16:uniqueId val="{00000001-75C6-42A5-AC45-0F6B23C22A22}"/>
            </c:ext>
          </c:extLst>
        </c:ser>
        <c:dLbls>
          <c:dLblPos val="outEnd"/>
          <c:showLegendKey val="0"/>
          <c:showVal val="1"/>
          <c:showCatName val="0"/>
          <c:showSerName val="0"/>
          <c:showPercent val="0"/>
          <c:showBubbleSize val="0"/>
        </c:dLbls>
        <c:gapWidth val="150"/>
        <c:axId val="2128813328"/>
        <c:axId val="2128813872"/>
      </c:barChart>
      <c:catAx>
        <c:axId val="21288133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2128813872"/>
        <c:crosses val="autoZero"/>
        <c:auto val="1"/>
        <c:lblAlgn val="ctr"/>
        <c:lblOffset val="100"/>
        <c:noMultiLvlLbl val="0"/>
      </c:catAx>
      <c:valAx>
        <c:axId val="21288138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a:t>
                </a:r>
                <a:r>
                  <a:rPr lang="es-ES" b="1" baseline="0">
                    <a:solidFill>
                      <a:schemeClr val="tx1"/>
                    </a:solidFill>
                  </a:rPr>
                  <a:t> </a:t>
                </a:r>
                <a:r>
                  <a:rPr lang="es-ES" b="1">
                    <a:solidFill>
                      <a:schemeClr val="tx1"/>
                    </a:solidFill>
                  </a:rPr>
                  <a:t>(ha)</a:t>
                </a:r>
              </a:p>
            </c:rich>
          </c:tx>
          <c:layout>
            <c:manualLayout>
              <c:xMode val="edge"/>
              <c:yMode val="edge"/>
              <c:x val="0.47850657222064097"/>
              <c:y val="0.8430705016039661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13328"/>
        <c:crosses val="autoZero"/>
        <c:crossBetween val="between"/>
      </c:valAx>
      <c:spPr>
        <a:noFill/>
        <a:ln>
          <a:noFill/>
        </a:ln>
        <a:effectLst/>
      </c:spPr>
    </c:plotArea>
    <c:legend>
      <c:legendPos val="b"/>
      <c:layout>
        <c:manualLayout>
          <c:xMode val="edge"/>
          <c:yMode val="edge"/>
          <c:x val="0.21436696918909232"/>
          <c:y val="0.91346420239136761"/>
          <c:w val="0.55673287414415662"/>
          <c:h val="8.653579760863226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Pistacho Secano Convencional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0"/>
            <c:invertIfNegative val="0"/>
            <c:bubble3D val="0"/>
            <c:spPr>
              <a:solidFill>
                <a:srgbClr val="C0504D"/>
              </a:solidFill>
              <a:ln>
                <a:noFill/>
              </a:ln>
              <a:effectLst/>
            </c:spPr>
            <c:extLst>
              <c:ext xmlns:c16="http://schemas.microsoft.com/office/drawing/2014/chart" uri="{C3380CC4-5D6E-409C-BE32-E72D297353CC}">
                <c16:uniqueId val="{00000001-DAA2-400A-BF3A-A5F75E726C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'PIS-EDAD'!$A$225:$A$237</c15:sqref>
                  </c15:fullRef>
                </c:ext>
              </c:extLst>
              <c:f>('PIS-EDAD'!$A$225:$A$227,'PIS-EDAD'!$A$229:$A$230,'PIS-EDAD'!$A$232:$A$237)</c:f>
              <c:strCache>
                <c:ptCount val="11"/>
                <c:pt idx="0">
                  <c:v>ANDALUCÍA</c:v>
                </c:pt>
                <c:pt idx="1">
                  <c:v>ARAGÓN</c:v>
                </c:pt>
                <c:pt idx="2">
                  <c:v>C. VALENCIANA</c:v>
                </c:pt>
                <c:pt idx="3">
                  <c:v>C.-LA MANCHA</c:v>
                </c:pt>
                <c:pt idx="4">
                  <c:v>C. y LEÓN</c:v>
                </c:pt>
                <c:pt idx="5">
                  <c:v>EXTREMADURA</c:v>
                </c:pt>
                <c:pt idx="6">
                  <c:v>LA RIOJA</c:v>
                </c:pt>
                <c:pt idx="7">
                  <c:v>MADRID</c:v>
                </c:pt>
                <c:pt idx="8">
                  <c:v>MURCIA</c:v>
                </c:pt>
                <c:pt idx="9">
                  <c:v>NAVARRA</c:v>
                </c:pt>
                <c:pt idx="10">
                  <c:v>ESPAÑA</c:v>
                </c:pt>
              </c:strCache>
            </c:strRef>
          </c:cat>
          <c:val>
            <c:numRef>
              <c:extLst>
                <c:ext xmlns:c15="http://schemas.microsoft.com/office/drawing/2012/chart" uri="{02D57815-91ED-43cb-92C2-25804820EDAC}">
                  <c15:fullRef>
                    <c15:sqref>'PIS-EDAD'!$Y$225:$Y$237</c15:sqref>
                  </c15:fullRef>
                </c:ext>
              </c:extLst>
              <c:f>('PIS-EDAD'!$Y$225:$Y$227,'PIS-EDAD'!$Y$229:$Y$230,'PIS-EDAD'!$Y$232:$Y$237)</c:f>
              <c:numCache>
                <c:formatCode>0.00%</c:formatCode>
                <c:ptCount val="11"/>
                <c:pt idx="0">
                  <c:v>4.7870265024213847E-4</c:v>
                </c:pt>
                <c:pt idx="1">
                  <c:v>1.9593107520532505E-3</c:v>
                </c:pt>
                <c:pt idx="2">
                  <c:v>1.127061335864278E-3</c:v>
                </c:pt>
                <c:pt idx="3">
                  <c:v>6.5670897907507035E-4</c:v>
                </c:pt>
                <c:pt idx="4">
                  <c:v>2.2151087506655188E-3</c:v>
                </c:pt>
                <c:pt idx="5">
                  <c:v>2.9507181167571436E-3</c:v>
                </c:pt>
                <c:pt idx="6">
                  <c:v>1.1015237745548008E-3</c:v>
                </c:pt>
                <c:pt idx="7">
                  <c:v>8.2191780821917802E-4</c:v>
                </c:pt>
                <c:pt idx="8">
                  <c:v>8.1499592502037478E-5</c:v>
                </c:pt>
                <c:pt idx="9">
                  <c:v>1.0271460014673515E-2</c:v>
                </c:pt>
                <c:pt idx="10">
                  <c:v>8.0916244688103152E-4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5922640"/>
        <c:axId val="105917200"/>
      </c:barChart>
      <c:catAx>
        <c:axId val="105922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7200"/>
        <c:crosses val="autoZero"/>
        <c:auto val="1"/>
        <c:lblAlgn val="ctr"/>
        <c:lblOffset val="100"/>
        <c:noMultiLvlLbl val="0"/>
      </c:catAx>
      <c:valAx>
        <c:axId val="10591720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a:t>
            </a:r>
            <a:r>
              <a:rPr lang="es-ES" b="1" baseline="0">
                <a:solidFill>
                  <a:sysClr val="windowText" lastClr="000000"/>
                </a:solidFill>
              </a:rPr>
              <a:t> </a:t>
            </a:r>
            <a:r>
              <a:rPr lang="es-ES" b="1">
                <a:solidFill>
                  <a:sysClr val="windowText" lastClr="000000"/>
                </a:solidFill>
              </a:rPr>
              <a:t>Regadío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'PIS-EDAD'!$C$295:$X$295</c:f>
              <c:numCache>
                <c:formatCode>#,##0</c:formatCode>
                <c:ptCount val="22"/>
                <c:pt idx="0">
                  <c:v>122.62</c:v>
                </c:pt>
                <c:pt idx="1">
                  <c:v>39.31</c:v>
                </c:pt>
                <c:pt idx="2">
                  <c:v>4.16</c:v>
                </c:pt>
                <c:pt idx="3">
                  <c:v>69.12</c:v>
                </c:pt>
                <c:pt idx="4">
                  <c:v>23.84</c:v>
                </c:pt>
                <c:pt idx="5">
                  <c:v>29.73</c:v>
                </c:pt>
                <c:pt idx="6">
                  <c:v>13.920000000000002</c:v>
                </c:pt>
                <c:pt idx="7">
                  <c:v>36.059999999999995</c:v>
                </c:pt>
                <c:pt idx="8">
                  <c:v>55.49</c:v>
                </c:pt>
                <c:pt idx="9">
                  <c:v>55.849999999999994</c:v>
                </c:pt>
                <c:pt idx="10">
                  <c:v>50.730000000000004</c:v>
                </c:pt>
                <c:pt idx="11">
                  <c:v>76.25</c:v>
                </c:pt>
                <c:pt idx="12">
                  <c:v>104.9</c:v>
                </c:pt>
                <c:pt idx="13">
                  <c:v>183.04</c:v>
                </c:pt>
                <c:pt idx="14">
                  <c:v>278.79999999999995</c:v>
                </c:pt>
                <c:pt idx="15">
                  <c:v>619.85000000000014</c:v>
                </c:pt>
                <c:pt idx="16">
                  <c:v>637.87000000000012</c:v>
                </c:pt>
                <c:pt idx="17">
                  <c:v>1235.3000000000004</c:v>
                </c:pt>
                <c:pt idx="18">
                  <c:v>1994.19</c:v>
                </c:pt>
                <c:pt idx="19">
                  <c:v>1878.75</c:v>
                </c:pt>
                <c:pt idx="20">
                  <c:v>2478.61</c:v>
                </c:pt>
                <c:pt idx="21">
                  <c:v>1942.0000000000002</c:v>
                </c:pt>
              </c:numCache>
            </c:numRef>
          </c:val>
          <c:extLst>
            <c:ext xmlns:c16="http://schemas.microsoft.com/office/drawing/2014/chart" uri="{C3380CC4-5D6E-409C-BE32-E72D297353CC}">
              <c16:uniqueId val="{00000000-F409-495B-BE16-9EC55728C86E}"/>
            </c:ext>
          </c:extLst>
        </c:ser>
        <c:dLbls>
          <c:showLegendKey val="0"/>
          <c:showVal val="0"/>
          <c:showCatName val="0"/>
          <c:showSerName val="0"/>
          <c:showPercent val="0"/>
          <c:showBubbleSize val="0"/>
        </c:dLbls>
        <c:gapWidth val="219"/>
        <c:overlap val="-27"/>
        <c:axId val="105920464"/>
        <c:axId val="105921008"/>
      </c:barChart>
      <c:catAx>
        <c:axId val="1059204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1008"/>
        <c:crosses val="autoZero"/>
        <c:auto val="1"/>
        <c:lblAlgn val="ctr"/>
        <c:lblOffset val="100"/>
        <c:noMultiLvlLbl val="0"/>
      </c:catAx>
      <c:valAx>
        <c:axId val="10592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0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Regadío </a:t>
            </a:r>
            <a:r>
              <a:rPr lang="es-ES" b="1" baseline="0">
                <a:solidFill>
                  <a:sysClr val="windowText" lastClr="000000"/>
                </a:solidFill>
              </a:rPr>
              <a:t>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'PIS-EDAD'!$AO$259</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51DAB1FA-ECD3-4BEE-AFE7-1527C90B548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325-4930-8CE3-B741D6ED421C}"/>
                </c:ext>
              </c:extLst>
            </c:dLbl>
            <c:dLbl>
              <c:idx val="1"/>
              <c:tx>
                <c:rich>
                  <a:bodyPr/>
                  <a:lstStyle/>
                  <a:p>
                    <a:fld id="{452D02A0-DD1F-4EE4-B9DA-BC6CBB82064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325-4930-8CE3-B741D6ED421C}"/>
                </c:ext>
              </c:extLst>
            </c:dLbl>
            <c:dLbl>
              <c:idx val="2"/>
              <c:tx>
                <c:rich>
                  <a:bodyPr/>
                  <a:lstStyle/>
                  <a:p>
                    <a:fld id="{3A9A6156-B9AE-4DE5-9FD7-A0BF1D8D7DB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325-4930-8CE3-B741D6ED421C}"/>
                </c:ext>
              </c:extLst>
            </c:dLbl>
            <c:dLbl>
              <c:idx val="3"/>
              <c:tx>
                <c:rich>
                  <a:bodyPr/>
                  <a:lstStyle/>
                  <a:p>
                    <a:fld id="{9F99DA0C-A764-453E-997B-5A73F2D57AA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25-4930-8CE3-B741D6ED421C}"/>
                </c:ext>
              </c:extLst>
            </c:dLbl>
            <c:dLbl>
              <c:idx val="4"/>
              <c:tx>
                <c:rich>
                  <a:bodyPr/>
                  <a:lstStyle/>
                  <a:p>
                    <a:fld id="{C202B716-94D6-4CE0-8926-D07C419A604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25-4930-8CE3-B741D6ED421C}"/>
                </c:ext>
              </c:extLst>
            </c:dLbl>
            <c:dLbl>
              <c:idx val="5"/>
              <c:tx>
                <c:rich>
                  <a:bodyPr/>
                  <a:lstStyle/>
                  <a:p>
                    <a:fld id="{B31BAD87-5F35-4349-A6FF-090177D29CF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25-4930-8CE3-B741D6ED421C}"/>
                </c:ext>
              </c:extLst>
            </c:dLbl>
            <c:dLbl>
              <c:idx val="6"/>
              <c:tx>
                <c:rich>
                  <a:bodyPr/>
                  <a:lstStyle/>
                  <a:p>
                    <a:fld id="{16CE43CC-6A42-433C-A9BB-03536440658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25-4930-8CE3-B741D6ED421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'PIS-EDAD'!$AN$260:$AN$266</c:f>
              <c:strCache>
                <c:ptCount val="7"/>
                <c:pt idx="0">
                  <c:v>C.-LA MANCHA</c:v>
                </c:pt>
                <c:pt idx="1">
                  <c:v>ANDALUCÍA</c:v>
                </c:pt>
                <c:pt idx="2">
                  <c:v>EXTREMADURA</c:v>
                </c:pt>
                <c:pt idx="3">
                  <c:v>CATALUÑA</c:v>
                </c:pt>
                <c:pt idx="4">
                  <c:v>ARAGÓN</c:v>
                </c:pt>
                <c:pt idx="5">
                  <c:v>C. y LEÓN</c:v>
                </c:pt>
                <c:pt idx="6">
                  <c:v>MADRID</c:v>
                </c:pt>
              </c:strCache>
            </c:strRef>
          </c:cat>
          <c:val>
            <c:numRef>
              <c:f>'PIS-EDAD'!$AO$260:$AO$266</c:f>
              <c:numCache>
                <c:formatCode>#,##0</c:formatCode>
                <c:ptCount val="7"/>
                <c:pt idx="0">
                  <c:v>4896.0200000000004</c:v>
                </c:pt>
                <c:pt idx="1">
                  <c:v>459.89</c:v>
                </c:pt>
                <c:pt idx="2">
                  <c:v>256.32</c:v>
                </c:pt>
                <c:pt idx="3">
                  <c:v>200.98000000000002</c:v>
                </c:pt>
                <c:pt idx="4">
                  <c:v>182.4</c:v>
                </c:pt>
                <c:pt idx="5">
                  <c:v>132.56</c:v>
                </c:pt>
                <c:pt idx="6">
                  <c:v>109.94</c:v>
                </c:pt>
              </c:numCache>
            </c:numRef>
          </c:val>
          <c:extLst>
            <c:ext xmlns:c15="http://schemas.microsoft.com/office/drawing/2012/chart" uri="{02D57815-91ED-43cb-92C2-25804820EDAC}">
              <c15:datalabelsRange>
                <c15:f>'PIS-EDAD'!$AQ$260:$AQ$266</c15:f>
                <c15:dlblRangeCache>
                  <c:ptCount val="7"/>
                  <c:pt idx="0">
                    <c:v>55%</c:v>
                  </c:pt>
                  <c:pt idx="1">
                    <c:v>42%</c:v>
                  </c:pt>
                  <c:pt idx="2">
                    <c:v>46%</c:v>
                  </c:pt>
                  <c:pt idx="3">
                    <c:v>47%</c:v>
                  </c:pt>
                  <c:pt idx="4">
                    <c:v>41%</c:v>
                  </c:pt>
                  <c:pt idx="5">
                    <c:v>35%</c:v>
                  </c:pt>
                  <c:pt idx="6">
                    <c:v>54%</c:v>
                  </c:pt>
                </c15:dlblRangeCache>
              </c15:datalabelsRange>
            </c:ext>
            <c:ext xmlns:c16="http://schemas.microsoft.com/office/drawing/2014/chart" uri="{C3380CC4-5D6E-409C-BE32-E72D297353CC}">
              <c16:uniqueId val="{00000007-0325-4930-8CE3-B741D6ED421C}"/>
            </c:ext>
          </c:extLst>
        </c:ser>
        <c:ser>
          <c:idx val="1"/>
          <c:order val="1"/>
          <c:tx>
            <c:strRef>
              <c:f>'PIS-EDAD'!$AP$259</c:f>
              <c:strCache>
                <c:ptCount val="1"/>
                <c:pt idx="0">
                  <c:v>Total</c:v>
                </c:pt>
              </c:strCache>
            </c:strRef>
          </c:tx>
          <c:spPr>
            <a:solidFill>
              <a:schemeClr val="accent1">
                <a:tint val="77000"/>
              </a:schemeClr>
            </a:solidFill>
            <a:ln>
              <a:solidFill>
                <a:schemeClr val="accent5">
                  <a:lumMod val="75000"/>
                </a:schemeClr>
              </a:solidFill>
            </a:ln>
            <a:effectLst/>
          </c:spPr>
          <c:invertIfNegative val="0"/>
          <c:cat>
            <c:strRef>
              <c:f>'PIS-EDAD'!$AN$260:$AN$266</c:f>
              <c:strCache>
                <c:ptCount val="7"/>
                <c:pt idx="0">
                  <c:v>C.-LA MANCHA</c:v>
                </c:pt>
                <c:pt idx="1">
                  <c:v>ANDALUCÍA</c:v>
                </c:pt>
                <c:pt idx="2">
                  <c:v>EXTREMADURA</c:v>
                </c:pt>
                <c:pt idx="3">
                  <c:v>CATALUÑA</c:v>
                </c:pt>
                <c:pt idx="4">
                  <c:v>ARAGÓN</c:v>
                </c:pt>
                <c:pt idx="5">
                  <c:v>C. y LEÓN</c:v>
                </c:pt>
                <c:pt idx="6">
                  <c:v>MADRID</c:v>
                </c:pt>
              </c:strCache>
            </c:strRef>
          </c:cat>
          <c:val>
            <c:numRef>
              <c:f>'PIS-EDAD'!$AP$260:$AP$266</c:f>
              <c:numCache>
                <c:formatCode>#,##0</c:formatCode>
                <c:ptCount val="7"/>
                <c:pt idx="0">
                  <c:v>8917.33</c:v>
                </c:pt>
                <c:pt idx="1">
                  <c:v>1099.6999999999998</c:v>
                </c:pt>
                <c:pt idx="2">
                  <c:v>558.29000000000008</c:v>
                </c:pt>
                <c:pt idx="3">
                  <c:v>425.89</c:v>
                </c:pt>
                <c:pt idx="4">
                  <c:v>449.48</c:v>
                </c:pt>
                <c:pt idx="5">
                  <c:v>379.12</c:v>
                </c:pt>
                <c:pt idx="6">
                  <c:v>202.54000000000002</c:v>
                </c:pt>
              </c:numCache>
            </c:numRef>
          </c:val>
          <c:extLst>
            <c:ext xmlns:c16="http://schemas.microsoft.com/office/drawing/2014/chart" uri="{C3380CC4-5D6E-409C-BE32-E72D297353CC}">
              <c16:uniqueId val="{00000008-0325-4930-8CE3-B741D6ED421C}"/>
            </c:ext>
          </c:extLst>
        </c:ser>
        <c:dLbls>
          <c:showLegendKey val="0"/>
          <c:showVal val="0"/>
          <c:showCatName val="0"/>
          <c:showSerName val="0"/>
          <c:showPercent val="0"/>
          <c:showBubbleSize val="0"/>
        </c:dLbls>
        <c:gapWidth val="100"/>
        <c:axId val="105917744"/>
        <c:axId val="105918288"/>
      </c:barChart>
      <c:catAx>
        <c:axId val="10591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8288"/>
        <c:crosses val="autoZero"/>
        <c:auto val="1"/>
        <c:lblAlgn val="ctr"/>
        <c:lblOffset val="100"/>
        <c:noMultiLvlLbl val="0"/>
      </c:catAx>
      <c:valAx>
        <c:axId val="10591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7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Regadío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'PIS-EDAD'!$AK$260</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'PIS-EDAD'!$AI$261:$AI$270</c:f>
              <c:strCache>
                <c:ptCount val="10"/>
                <c:pt idx="0">
                  <c:v>CIUDAD REAL</c:v>
                </c:pt>
                <c:pt idx="1">
                  <c:v>ALBACETE</c:v>
                </c:pt>
                <c:pt idx="2">
                  <c:v>TOLEDO</c:v>
                </c:pt>
                <c:pt idx="3">
                  <c:v>CUENCA</c:v>
                </c:pt>
                <c:pt idx="4">
                  <c:v>LLEIDA</c:v>
                </c:pt>
                <c:pt idx="5">
                  <c:v>GRANADA</c:v>
                </c:pt>
                <c:pt idx="6">
                  <c:v>CÓRDOBA</c:v>
                </c:pt>
                <c:pt idx="7">
                  <c:v>BADAJOZ</c:v>
                </c:pt>
                <c:pt idx="8">
                  <c:v>CÁCERES</c:v>
                </c:pt>
                <c:pt idx="9">
                  <c:v>MADRID</c:v>
                </c:pt>
              </c:strCache>
            </c:strRef>
          </c:cat>
          <c:val>
            <c:numRef>
              <c:f>'PIS-EDAD'!$AK$261:$AK$270</c:f>
              <c:numCache>
                <c:formatCode>#,##0</c:formatCode>
                <c:ptCount val="10"/>
                <c:pt idx="0">
                  <c:v>3396.9900000000007</c:v>
                </c:pt>
                <c:pt idx="1">
                  <c:v>2166.29</c:v>
                </c:pt>
                <c:pt idx="2">
                  <c:v>2503.2600000000002</c:v>
                </c:pt>
                <c:pt idx="3">
                  <c:v>729.86</c:v>
                </c:pt>
                <c:pt idx="4">
                  <c:v>413.33000000000004</c:v>
                </c:pt>
                <c:pt idx="5">
                  <c:v>356.91</c:v>
                </c:pt>
                <c:pt idx="6">
                  <c:v>340.57000000000005</c:v>
                </c:pt>
                <c:pt idx="7">
                  <c:v>242.92000000000002</c:v>
                </c:pt>
                <c:pt idx="8">
                  <c:v>315.37</c:v>
                </c:pt>
                <c:pt idx="9">
                  <c:v>202.54000000000002</c:v>
                </c:pt>
              </c:numCache>
            </c:numRef>
          </c:val>
          <c:extLst>
            <c:ext xmlns:c16="http://schemas.microsoft.com/office/drawing/2014/chart" uri="{C3380CC4-5D6E-409C-BE32-E72D297353CC}">
              <c16:uniqueId val="{0000000A-AF0B-4C81-95BE-E3B14ED68BAC}"/>
            </c:ext>
          </c:extLst>
        </c:ser>
        <c:ser>
          <c:idx val="0"/>
          <c:order val="1"/>
          <c:tx>
            <c:strRef>
              <c:f>'PIS-EDAD'!$AJ$260</c:f>
              <c:strCache>
                <c:ptCount val="1"/>
                <c:pt idx="0">
                  <c:v>Plantaciones jóvenes</c:v>
                </c:pt>
              </c:strCache>
            </c:strRef>
          </c:tx>
          <c:spPr>
            <a:solidFill>
              <a:schemeClr val="accent1">
                <a:shade val="76000"/>
              </a:schemeClr>
            </a:solidFill>
            <a:ln>
              <a:solidFill>
                <a:schemeClr val="accent1">
                  <a:lumMod val="50000"/>
                </a:schemeClr>
              </a:solidFill>
            </a:ln>
            <a:effectLst/>
          </c:spPr>
          <c:invertIfNegative val="0"/>
          <c:dLbls>
            <c:dLbl>
              <c:idx val="0"/>
              <c:tx>
                <c:rich>
                  <a:bodyPr/>
                  <a:lstStyle/>
                  <a:p>
                    <a:fld id="{363D5AB8-6419-44B1-884D-B32F9FF79C53}"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08C-4EA6-BDDA-2ED24BA853A2}"/>
                </c:ext>
              </c:extLst>
            </c:dLbl>
            <c:dLbl>
              <c:idx val="1"/>
              <c:tx>
                <c:rich>
                  <a:bodyPr/>
                  <a:lstStyle/>
                  <a:p>
                    <a:fld id="{C7D7F5D5-AE38-40E0-B312-258D87C8042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08C-4EA6-BDDA-2ED24BA853A2}"/>
                </c:ext>
              </c:extLst>
            </c:dLbl>
            <c:dLbl>
              <c:idx val="2"/>
              <c:tx>
                <c:rich>
                  <a:bodyPr/>
                  <a:lstStyle/>
                  <a:p>
                    <a:fld id="{B1556CE7-27CE-448D-AA2B-8C68C38B457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08C-4EA6-BDDA-2ED24BA853A2}"/>
                </c:ext>
              </c:extLst>
            </c:dLbl>
            <c:dLbl>
              <c:idx val="3"/>
              <c:tx>
                <c:rich>
                  <a:bodyPr/>
                  <a:lstStyle/>
                  <a:p>
                    <a:fld id="{28422817-0DA2-412F-8580-9366A9D2299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08C-4EA6-BDDA-2ED24BA853A2}"/>
                </c:ext>
              </c:extLst>
            </c:dLbl>
            <c:dLbl>
              <c:idx val="4"/>
              <c:tx>
                <c:rich>
                  <a:bodyPr/>
                  <a:lstStyle/>
                  <a:p>
                    <a:fld id="{B9B636A4-8174-43C0-BAE3-9880571EE69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8C-4EA6-BDDA-2ED24BA853A2}"/>
                </c:ext>
              </c:extLst>
            </c:dLbl>
            <c:dLbl>
              <c:idx val="5"/>
              <c:tx>
                <c:rich>
                  <a:bodyPr/>
                  <a:lstStyle/>
                  <a:p>
                    <a:fld id="{C3F68F30-599E-4B4A-A8D0-FC8EB1A5466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08C-4EA6-BDDA-2ED24BA853A2}"/>
                </c:ext>
              </c:extLst>
            </c:dLbl>
            <c:dLbl>
              <c:idx val="6"/>
              <c:tx>
                <c:rich>
                  <a:bodyPr/>
                  <a:lstStyle/>
                  <a:p>
                    <a:fld id="{5EF6CCB7-04CA-4A5B-A68C-C8A3A6C978B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8C-4EA6-BDDA-2ED24BA853A2}"/>
                </c:ext>
              </c:extLst>
            </c:dLbl>
            <c:dLbl>
              <c:idx val="7"/>
              <c:tx>
                <c:rich>
                  <a:bodyPr/>
                  <a:lstStyle/>
                  <a:p>
                    <a:fld id="{9EFB4D3D-BB26-440E-A13D-AF69267E6C1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08C-4EA6-BDDA-2ED24BA853A2}"/>
                </c:ext>
              </c:extLst>
            </c:dLbl>
            <c:dLbl>
              <c:idx val="8"/>
              <c:tx>
                <c:rich>
                  <a:bodyPr/>
                  <a:lstStyle/>
                  <a:p>
                    <a:fld id="{DF656C28-84D1-4B4B-9D9E-B633C28B553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08C-4EA6-BDDA-2ED24BA853A2}"/>
                </c:ext>
              </c:extLst>
            </c:dLbl>
            <c:dLbl>
              <c:idx val="9"/>
              <c:tx>
                <c:rich>
                  <a:bodyPr/>
                  <a:lstStyle/>
                  <a:p>
                    <a:fld id="{E537C8DE-9017-4C05-A714-3D08DEB6390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08C-4EA6-BDDA-2ED24BA853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'PIS-EDAD'!$AI$261:$AI$270</c:f>
              <c:strCache>
                <c:ptCount val="10"/>
                <c:pt idx="0">
                  <c:v>CIUDAD REAL</c:v>
                </c:pt>
                <c:pt idx="1">
                  <c:v>ALBACETE</c:v>
                </c:pt>
                <c:pt idx="2">
                  <c:v>TOLEDO</c:v>
                </c:pt>
                <c:pt idx="3">
                  <c:v>CUENCA</c:v>
                </c:pt>
                <c:pt idx="4">
                  <c:v>LLEIDA</c:v>
                </c:pt>
                <c:pt idx="5">
                  <c:v>GRANADA</c:v>
                </c:pt>
                <c:pt idx="6">
                  <c:v>CÓRDOBA</c:v>
                </c:pt>
                <c:pt idx="7">
                  <c:v>BADAJOZ</c:v>
                </c:pt>
                <c:pt idx="8">
                  <c:v>CÁCERES</c:v>
                </c:pt>
                <c:pt idx="9">
                  <c:v>MADRID</c:v>
                </c:pt>
              </c:strCache>
            </c:strRef>
          </c:cat>
          <c:val>
            <c:numRef>
              <c:f>'PIS-EDAD'!$AJ$261:$AJ$270</c:f>
              <c:numCache>
                <c:formatCode>#,##0</c:formatCode>
                <c:ptCount val="10"/>
                <c:pt idx="0">
                  <c:v>1647.64</c:v>
                </c:pt>
                <c:pt idx="1">
                  <c:v>1363.77</c:v>
                </c:pt>
                <c:pt idx="2">
                  <c:v>1290.75</c:v>
                </c:pt>
                <c:pt idx="3">
                  <c:v>573.76</c:v>
                </c:pt>
                <c:pt idx="4">
                  <c:v>195.22000000000003</c:v>
                </c:pt>
                <c:pt idx="5">
                  <c:v>178.73000000000002</c:v>
                </c:pt>
                <c:pt idx="6">
                  <c:v>134.87</c:v>
                </c:pt>
                <c:pt idx="7">
                  <c:v>128.99</c:v>
                </c:pt>
                <c:pt idx="8">
                  <c:v>127.33000000000001</c:v>
                </c:pt>
                <c:pt idx="9">
                  <c:v>109.94</c:v>
                </c:pt>
              </c:numCache>
            </c:numRef>
          </c:val>
          <c:extLst>
            <c:ext xmlns:c15="http://schemas.microsoft.com/office/drawing/2012/chart" uri="{02D57815-91ED-43cb-92C2-25804820EDAC}">
              <c15:datalabelsRange>
                <c15:f>'PIS-EDAD'!$AL$261:$AL$270</c15:f>
                <c15:dlblRangeCache>
                  <c:ptCount val="10"/>
                  <c:pt idx="0">
                    <c:v>49%</c:v>
                  </c:pt>
                  <c:pt idx="1">
                    <c:v>63%</c:v>
                  </c:pt>
                  <c:pt idx="2">
                    <c:v>52%</c:v>
                  </c:pt>
                  <c:pt idx="3">
                    <c:v>79%</c:v>
                  </c:pt>
                  <c:pt idx="4">
                    <c:v>47%</c:v>
                  </c:pt>
                  <c:pt idx="5">
                    <c:v>50%</c:v>
                  </c:pt>
                  <c:pt idx="6">
                    <c:v>40%</c:v>
                  </c:pt>
                  <c:pt idx="7">
                    <c:v>53%</c:v>
                  </c:pt>
                  <c:pt idx="8">
                    <c:v>40%</c:v>
                  </c:pt>
                  <c:pt idx="9">
                    <c:v>54%</c:v>
                  </c:pt>
                </c15:dlblRangeCache>
              </c15:datalabelsRange>
            </c:ext>
            <c:ext xmlns:c16="http://schemas.microsoft.com/office/drawing/2014/chart" uri="{C3380CC4-5D6E-409C-BE32-E72D297353CC}">
              <c16:uniqueId val="{0000000B-AF0B-4C81-95BE-E3B14ED68BAC}"/>
            </c:ext>
          </c:extLst>
        </c:ser>
        <c:dLbls>
          <c:showLegendKey val="0"/>
          <c:showVal val="0"/>
          <c:showCatName val="0"/>
          <c:showSerName val="0"/>
          <c:showPercent val="0"/>
          <c:showBubbleSize val="0"/>
        </c:dLbls>
        <c:gapWidth val="150"/>
        <c:overlap val="-40"/>
        <c:axId val="142822768"/>
        <c:axId val="142819504"/>
      </c:barChart>
      <c:catAx>
        <c:axId val="142822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19504"/>
        <c:crosses val="autoZero"/>
        <c:auto val="1"/>
        <c:lblAlgn val="ctr"/>
        <c:lblOffset val="100"/>
        <c:noMultiLvlLbl val="0"/>
      </c:catAx>
      <c:valAx>
        <c:axId val="14281950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22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Pistacho Regadío Convencional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9"/>
            <c:invertIfNegative val="0"/>
            <c:bubble3D val="0"/>
            <c:spPr>
              <a:solidFill>
                <a:srgbClr val="C0504D"/>
              </a:solidFill>
              <a:ln>
                <a:noFill/>
              </a:ln>
              <a:effectLst/>
            </c:spPr>
            <c:extLst>
              <c:ext xmlns:c16="http://schemas.microsoft.com/office/drawing/2014/chart" uri="{C3380CC4-5D6E-409C-BE32-E72D297353CC}">
                <c16:uniqueId val="{00000001-CBDB-4C4B-8264-231FF44D14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'PIS-EDAD'!$A$300:$A$312</c15:sqref>
                  </c15:fullRef>
                </c:ext>
              </c:extLst>
              <c:f>('PIS-EDAD'!$A$300:$A$302,'PIS-EDAD'!$A$304,'PIS-EDAD'!$A$307:$A$312)</c:f>
              <c:strCache>
                <c:ptCount val="10"/>
                <c:pt idx="0">
                  <c:v>ANDALUCÍA</c:v>
                </c:pt>
                <c:pt idx="1">
                  <c:v>ARAGÓN</c:v>
                </c:pt>
                <c:pt idx="2">
                  <c:v>C. VALENCIANA</c:v>
                </c:pt>
                <c:pt idx="3">
                  <c:v>C.-LA MANCHA</c:v>
                </c:pt>
                <c:pt idx="4">
                  <c:v>EXTREMADURA</c:v>
                </c:pt>
                <c:pt idx="5">
                  <c:v>LA RIOJA</c:v>
                </c:pt>
                <c:pt idx="6">
                  <c:v>MADRID</c:v>
                </c:pt>
                <c:pt idx="7">
                  <c:v>MURCIA</c:v>
                </c:pt>
                <c:pt idx="8">
                  <c:v>NAVARRA</c:v>
                </c:pt>
                <c:pt idx="9">
                  <c:v>ESPAÑA</c:v>
                </c:pt>
              </c:strCache>
            </c:strRef>
          </c:cat>
          <c:val>
            <c:numRef>
              <c:extLst>
                <c:ext xmlns:c15="http://schemas.microsoft.com/office/drawing/2012/chart" uri="{02D57815-91ED-43cb-92C2-25804820EDAC}">
                  <c15:fullRef>
                    <c15:sqref>'PIS-EDAD'!$Y$300:$Y$312</c15:sqref>
                  </c15:fullRef>
                </c:ext>
              </c:extLst>
              <c:f>('PIS-EDAD'!$Y$300:$Y$302,'PIS-EDAD'!$Y$304,'PIS-EDAD'!$Y$307:$Y$312)</c:f>
              <c:numCache>
                <c:formatCode>0.00%</c:formatCode>
                <c:ptCount val="10"/>
                <c:pt idx="0">
                  <c:v>4.1829589888151317E-4</c:v>
                </c:pt>
                <c:pt idx="1">
                  <c:v>8.8991723769689423E-4</c:v>
                </c:pt>
                <c:pt idx="2">
                  <c:v>2.7367268746579092E-4</c:v>
                </c:pt>
                <c:pt idx="3">
                  <c:v>4.3735064195224357E-4</c:v>
                </c:pt>
                <c:pt idx="4">
                  <c:v>3.5823675867380748E-4</c:v>
                </c:pt>
                <c:pt idx="5">
                  <c:v>4.7343503419253032E-3</c:v>
                </c:pt>
                <c:pt idx="6">
                  <c:v>1.2343240841315294E-3</c:v>
                </c:pt>
                <c:pt idx="7">
                  <c:v>1.3931163661905875E-2</c:v>
                </c:pt>
                <c:pt idx="8">
                  <c:v>2.1659446851049649E-3</c:v>
                </c:pt>
                <c:pt idx="9">
                  <c:v>5.4196155751413738E-4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2820048"/>
        <c:axId val="142834736"/>
      </c:barChart>
      <c:catAx>
        <c:axId val="14282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4736"/>
        <c:crosses val="autoZero"/>
        <c:auto val="1"/>
        <c:lblAlgn val="ctr"/>
        <c:lblOffset val="100"/>
        <c:noMultiLvlLbl val="0"/>
      </c:catAx>
      <c:valAx>
        <c:axId val="1428347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Pistacho Secano Total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rgbClr val="F1A78A"/>
            </a:solidFill>
            <a:ln>
              <a:noFill/>
            </a:ln>
            <a:effectLst/>
          </c:spPr>
          <c:invertIfNegative val="0"/>
          <c:dPt>
            <c:idx val="10"/>
            <c:invertIfNegative val="0"/>
            <c:bubble3D val="0"/>
            <c:spPr>
              <a:solidFill>
                <a:srgbClr val="C0504D"/>
              </a:solidFill>
              <a:ln>
                <a:noFill/>
              </a:ln>
              <a:effectLst/>
            </c:spPr>
            <c:extLst>
              <c:ext xmlns:c16="http://schemas.microsoft.com/office/drawing/2014/chart" uri="{C3380CC4-5D6E-409C-BE32-E72D297353CC}">
                <c16:uniqueId val="{00000001-DC18-43B2-BDCB-08347BE392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'PIS-EDAD'!$A$72:$A$84</c15:sqref>
                  </c15:fullRef>
                </c:ext>
              </c:extLst>
              <c:f>('PIS-EDAD'!$A$72:$A$74,'PIS-EDAD'!$A$76:$A$77,'PIS-EDAD'!$A$79:$A$84)</c:f>
              <c:strCache>
                <c:ptCount val="11"/>
                <c:pt idx="0">
                  <c:v>ANDALUCÍA</c:v>
                </c:pt>
                <c:pt idx="1">
                  <c:v>ARAGÓN</c:v>
                </c:pt>
                <c:pt idx="2">
                  <c:v>C. VALENCIANA</c:v>
                </c:pt>
                <c:pt idx="3">
                  <c:v>C.-LA MANCHA</c:v>
                </c:pt>
                <c:pt idx="4">
                  <c:v>C. y LEÓN</c:v>
                </c:pt>
                <c:pt idx="5">
                  <c:v>EXTREMADURA</c:v>
                </c:pt>
                <c:pt idx="6">
                  <c:v>LA RIOJA</c:v>
                </c:pt>
                <c:pt idx="7">
                  <c:v>MADRID</c:v>
                </c:pt>
                <c:pt idx="8">
                  <c:v>MURCIA</c:v>
                </c:pt>
                <c:pt idx="9">
                  <c:v>NAVARRA</c:v>
                </c:pt>
                <c:pt idx="10">
                  <c:v>ESPAÑA</c:v>
                </c:pt>
              </c:strCache>
            </c:strRef>
          </c:cat>
          <c:val>
            <c:numRef>
              <c:extLst>
                <c:ext xmlns:c15="http://schemas.microsoft.com/office/drawing/2012/chart" uri="{02D57815-91ED-43cb-92C2-25804820EDAC}">
                  <c15:fullRef>
                    <c15:sqref>'PIS-EDAD'!$Y$72:$Y$84</c15:sqref>
                  </c15:fullRef>
                </c:ext>
              </c:extLst>
              <c:f>('PIS-EDAD'!$Y$72:$Y$74,'PIS-EDAD'!$Y$76:$Y$77,'PIS-EDAD'!$Y$79:$Y$84)</c:f>
              <c:numCache>
                <c:formatCode>0.00%</c:formatCode>
                <c:ptCount val="11"/>
                <c:pt idx="0">
                  <c:v>3.9355535005903343E-4</c:v>
                </c:pt>
                <c:pt idx="1">
                  <c:v>1.7948018902217379E-3</c:v>
                </c:pt>
                <c:pt idx="2">
                  <c:v>1.1046559201374683E-3</c:v>
                </c:pt>
                <c:pt idx="3">
                  <c:v>5.7593748780864883E-4</c:v>
                </c:pt>
                <c:pt idx="4">
                  <c:v>1.7232827257525939E-3</c:v>
                </c:pt>
                <c:pt idx="5">
                  <c:v>2.5503093817938562E-3</c:v>
                </c:pt>
                <c:pt idx="6">
                  <c:v>1.0045203415369162E-3</c:v>
                </c:pt>
                <c:pt idx="7">
                  <c:v>7.5826066668610928E-4</c:v>
                </c:pt>
                <c:pt idx="8">
                  <c:v>7.3008688033876051E-5</c:v>
                </c:pt>
                <c:pt idx="9">
                  <c:v>9.2653871608206501E-3</c:v>
                </c:pt>
                <c:pt idx="10">
                  <c:v>6.8488700840900398E-4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2835280"/>
        <c:axId val="142824944"/>
      </c:barChart>
      <c:catAx>
        <c:axId val="142835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4944"/>
        <c:crosses val="autoZero"/>
        <c:auto val="1"/>
        <c:lblAlgn val="ctr"/>
        <c:lblOffset val="100"/>
        <c:noMultiLvlLbl val="0"/>
      </c:catAx>
      <c:valAx>
        <c:axId val="14282494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Secano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'PIS-EDAD'!$C$67:$X$67</c:f>
              <c:numCache>
                <c:formatCode>#,##0</c:formatCode>
                <c:ptCount val="22"/>
                <c:pt idx="0">
                  <c:v>293.38</c:v>
                </c:pt>
                <c:pt idx="1">
                  <c:v>103.53</c:v>
                </c:pt>
                <c:pt idx="2">
                  <c:v>115.07000000000001</c:v>
                </c:pt>
                <c:pt idx="3">
                  <c:v>109.20000000000002</c:v>
                </c:pt>
                <c:pt idx="4">
                  <c:v>169.69</c:v>
                </c:pt>
                <c:pt idx="5">
                  <c:v>161.26999999999998</c:v>
                </c:pt>
                <c:pt idx="6">
                  <c:v>237.02999999999997</c:v>
                </c:pt>
                <c:pt idx="7">
                  <c:v>169.35999999999999</c:v>
                </c:pt>
                <c:pt idx="8">
                  <c:v>128.08000000000001</c:v>
                </c:pt>
                <c:pt idx="9">
                  <c:v>280.43</c:v>
                </c:pt>
                <c:pt idx="10">
                  <c:v>439.27</c:v>
                </c:pt>
                <c:pt idx="11">
                  <c:v>417.75</c:v>
                </c:pt>
                <c:pt idx="12">
                  <c:v>556.34999999999991</c:v>
                </c:pt>
                <c:pt idx="13">
                  <c:v>728.01</c:v>
                </c:pt>
                <c:pt idx="14">
                  <c:v>1195.8600000000001</c:v>
                </c:pt>
                <c:pt idx="15">
                  <c:v>2927.51</c:v>
                </c:pt>
                <c:pt idx="16">
                  <c:v>3405.59</c:v>
                </c:pt>
                <c:pt idx="17">
                  <c:v>4661.4500000000007</c:v>
                </c:pt>
                <c:pt idx="18">
                  <c:v>7099.94</c:v>
                </c:pt>
                <c:pt idx="19">
                  <c:v>7537.9000000000024</c:v>
                </c:pt>
                <c:pt idx="20">
                  <c:v>7324.9599999999991</c:v>
                </c:pt>
                <c:pt idx="21">
                  <c:v>5515.26</c:v>
                </c:pt>
              </c:numCache>
            </c:numRef>
          </c:val>
          <c:extLst>
            <c:ext xmlns:c16="http://schemas.microsoft.com/office/drawing/2014/chart" uri="{C3380CC4-5D6E-409C-BE32-E72D297353CC}">
              <c16:uniqueId val="{00000000-E27C-4505-B8EF-2AFFA1A9CD40}"/>
            </c:ext>
          </c:extLst>
        </c:ser>
        <c:dLbls>
          <c:showLegendKey val="0"/>
          <c:showVal val="0"/>
          <c:showCatName val="0"/>
          <c:showSerName val="0"/>
          <c:showPercent val="0"/>
          <c:showBubbleSize val="0"/>
        </c:dLbls>
        <c:gapWidth val="219"/>
        <c:overlap val="-27"/>
        <c:axId val="142832016"/>
        <c:axId val="142830384"/>
      </c:barChart>
      <c:catAx>
        <c:axId val="1428320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0384"/>
        <c:crosses val="autoZero"/>
        <c:auto val="1"/>
        <c:lblAlgn val="ctr"/>
        <c:lblOffset val="100"/>
        <c:noMultiLvlLbl val="0"/>
      </c:catAx>
      <c:valAx>
        <c:axId val="142830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2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Secano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4210944391777783"/>
          <c:y val="0.19609195402298851"/>
          <c:w val="0.82103997376880056"/>
          <c:h val="0.61810752104262834"/>
        </c:manualLayout>
      </c:layout>
      <c:barChart>
        <c:barDir val="bar"/>
        <c:grouping val="clustered"/>
        <c:varyColors val="0"/>
        <c:ser>
          <c:idx val="1"/>
          <c:order val="0"/>
          <c:tx>
            <c:strRef>
              <c:f>'PIS-EDAD'!$AK$32</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'PIS-EDAD'!$AI$33:$AI$42</c:f>
              <c:strCache>
                <c:ptCount val="10"/>
                <c:pt idx="0">
                  <c:v>TOLEDO</c:v>
                </c:pt>
                <c:pt idx="1">
                  <c:v>CIUDAD REAL</c:v>
                </c:pt>
                <c:pt idx="2">
                  <c:v>ALBACETE</c:v>
                </c:pt>
                <c:pt idx="3">
                  <c:v>CUENCA</c:v>
                </c:pt>
                <c:pt idx="4">
                  <c:v>GRANADA</c:v>
                </c:pt>
                <c:pt idx="5">
                  <c:v>BADAJOZ</c:v>
                </c:pt>
                <c:pt idx="6">
                  <c:v>VALLADOLID</c:v>
                </c:pt>
                <c:pt idx="7">
                  <c:v>ZAMORA</c:v>
                </c:pt>
                <c:pt idx="8">
                  <c:v>MURCIA</c:v>
                </c:pt>
                <c:pt idx="9">
                  <c:v>JAÉN</c:v>
                </c:pt>
              </c:strCache>
            </c:strRef>
          </c:cat>
          <c:val>
            <c:numRef>
              <c:f>'PIS-EDAD'!$AK$33:$AK$42</c:f>
              <c:numCache>
                <c:formatCode>#,##0</c:formatCode>
                <c:ptCount val="10"/>
                <c:pt idx="0">
                  <c:v>9550.83</c:v>
                </c:pt>
                <c:pt idx="1">
                  <c:v>10496.230000000001</c:v>
                </c:pt>
                <c:pt idx="2">
                  <c:v>8331.9299999999985</c:v>
                </c:pt>
                <c:pt idx="3">
                  <c:v>5933.8</c:v>
                </c:pt>
                <c:pt idx="4">
                  <c:v>1925.3199999999997</c:v>
                </c:pt>
                <c:pt idx="5">
                  <c:v>1266.22</c:v>
                </c:pt>
                <c:pt idx="6">
                  <c:v>780.0100000000001</c:v>
                </c:pt>
                <c:pt idx="7">
                  <c:v>595.66000000000008</c:v>
                </c:pt>
                <c:pt idx="8">
                  <c:v>547.88</c:v>
                </c:pt>
                <c:pt idx="9">
                  <c:v>573.04000000000008</c:v>
                </c:pt>
              </c:numCache>
            </c:numRef>
          </c:val>
          <c:extLst>
            <c:ext xmlns:c16="http://schemas.microsoft.com/office/drawing/2014/chart" uri="{C3380CC4-5D6E-409C-BE32-E72D297353CC}">
              <c16:uniqueId val="{0000000A-568B-4220-ABCF-91FCF181E8E6}"/>
            </c:ext>
          </c:extLst>
        </c:ser>
        <c:ser>
          <c:idx val="0"/>
          <c:order val="1"/>
          <c:tx>
            <c:strRef>
              <c:f>'PIS-EDAD'!$AJ$32</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B11093B5-F663-48E7-ACAF-4589B9B38DB5}"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EF5-4671-8EB9-9FE6F3160461}"/>
                </c:ext>
              </c:extLst>
            </c:dLbl>
            <c:dLbl>
              <c:idx val="1"/>
              <c:tx>
                <c:rich>
                  <a:bodyPr/>
                  <a:lstStyle/>
                  <a:p>
                    <a:fld id="{CDD24523-7481-449F-8284-A8204B93213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F5-4671-8EB9-9FE6F3160461}"/>
                </c:ext>
              </c:extLst>
            </c:dLbl>
            <c:dLbl>
              <c:idx val="2"/>
              <c:tx>
                <c:rich>
                  <a:bodyPr/>
                  <a:lstStyle/>
                  <a:p>
                    <a:fld id="{0DDE8037-F197-4727-BBCD-B979ACD4C85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F5-4671-8EB9-9FE6F3160461}"/>
                </c:ext>
              </c:extLst>
            </c:dLbl>
            <c:dLbl>
              <c:idx val="3"/>
              <c:tx>
                <c:rich>
                  <a:bodyPr/>
                  <a:lstStyle/>
                  <a:p>
                    <a:fld id="{551F603B-D22A-4F7B-971D-06455545BD7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F5-4671-8EB9-9FE6F3160461}"/>
                </c:ext>
              </c:extLst>
            </c:dLbl>
            <c:dLbl>
              <c:idx val="4"/>
              <c:tx>
                <c:rich>
                  <a:bodyPr/>
                  <a:lstStyle/>
                  <a:p>
                    <a:fld id="{36334353-A01A-4A51-9EF3-8F907A8017A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F5-4671-8EB9-9FE6F3160461}"/>
                </c:ext>
              </c:extLst>
            </c:dLbl>
            <c:dLbl>
              <c:idx val="5"/>
              <c:tx>
                <c:rich>
                  <a:bodyPr/>
                  <a:lstStyle/>
                  <a:p>
                    <a:fld id="{1B1608B5-A184-440F-81F7-9F2B453192F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F5-4671-8EB9-9FE6F3160461}"/>
                </c:ext>
              </c:extLst>
            </c:dLbl>
            <c:dLbl>
              <c:idx val="6"/>
              <c:tx>
                <c:rich>
                  <a:bodyPr/>
                  <a:lstStyle/>
                  <a:p>
                    <a:fld id="{14EC05B4-2D10-467A-9D38-16E82EEDA03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F5-4671-8EB9-9FE6F3160461}"/>
                </c:ext>
              </c:extLst>
            </c:dLbl>
            <c:dLbl>
              <c:idx val="7"/>
              <c:tx>
                <c:rich>
                  <a:bodyPr/>
                  <a:lstStyle/>
                  <a:p>
                    <a:fld id="{9EFC19E3-2E91-4B28-A994-3F14367C4D5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F5-4671-8EB9-9FE6F3160461}"/>
                </c:ext>
              </c:extLst>
            </c:dLbl>
            <c:dLbl>
              <c:idx val="8"/>
              <c:tx>
                <c:rich>
                  <a:bodyPr/>
                  <a:lstStyle/>
                  <a:p>
                    <a:fld id="{D0C41BC7-22C9-4DE1-9142-39936E1C542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F5-4671-8EB9-9FE6F3160461}"/>
                </c:ext>
              </c:extLst>
            </c:dLbl>
            <c:dLbl>
              <c:idx val="9"/>
              <c:tx>
                <c:rich>
                  <a:bodyPr/>
                  <a:lstStyle/>
                  <a:p>
                    <a:fld id="{76FFAEB6-B798-4B8A-B4D9-357E38DADEC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EF5-4671-8EB9-9FE6F31604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'PIS-EDAD'!$AI$33:$AI$42</c:f>
              <c:strCache>
                <c:ptCount val="10"/>
                <c:pt idx="0">
                  <c:v>TOLEDO</c:v>
                </c:pt>
                <c:pt idx="1">
                  <c:v>CIUDAD REAL</c:v>
                </c:pt>
                <c:pt idx="2">
                  <c:v>ALBACETE</c:v>
                </c:pt>
                <c:pt idx="3">
                  <c:v>CUENCA</c:v>
                </c:pt>
                <c:pt idx="4">
                  <c:v>GRANADA</c:v>
                </c:pt>
                <c:pt idx="5">
                  <c:v>BADAJOZ</c:v>
                </c:pt>
                <c:pt idx="6">
                  <c:v>VALLADOLID</c:v>
                </c:pt>
                <c:pt idx="7">
                  <c:v>ZAMORA</c:v>
                </c:pt>
                <c:pt idx="8">
                  <c:v>MURCIA</c:v>
                </c:pt>
                <c:pt idx="9">
                  <c:v>JAÉN</c:v>
                </c:pt>
              </c:strCache>
            </c:strRef>
          </c:cat>
          <c:val>
            <c:numRef>
              <c:f>'PIS-EDAD'!$AJ$33:$AJ$42</c:f>
              <c:numCache>
                <c:formatCode>#,##0</c:formatCode>
                <c:ptCount val="10"/>
                <c:pt idx="0">
                  <c:v>6024.9500000000016</c:v>
                </c:pt>
                <c:pt idx="1">
                  <c:v>5845.1999999999989</c:v>
                </c:pt>
                <c:pt idx="2">
                  <c:v>5573.5299999999988</c:v>
                </c:pt>
                <c:pt idx="3">
                  <c:v>4197.71</c:v>
                </c:pt>
                <c:pt idx="4">
                  <c:v>1453.5699999999997</c:v>
                </c:pt>
                <c:pt idx="5">
                  <c:v>750.71999999999991</c:v>
                </c:pt>
                <c:pt idx="6">
                  <c:v>535.30000000000007</c:v>
                </c:pt>
                <c:pt idx="7">
                  <c:v>387.65999999999997</c:v>
                </c:pt>
                <c:pt idx="8">
                  <c:v>253</c:v>
                </c:pt>
                <c:pt idx="9">
                  <c:v>228.72</c:v>
                </c:pt>
              </c:numCache>
            </c:numRef>
          </c:val>
          <c:extLst>
            <c:ext xmlns:c15="http://schemas.microsoft.com/office/drawing/2012/chart" uri="{02D57815-91ED-43cb-92C2-25804820EDAC}">
              <c15:datalabelsRange>
                <c15:f>'PIS-EDAD'!$AL$33:$AL$42</c15:f>
                <c15:dlblRangeCache>
                  <c:ptCount val="10"/>
                  <c:pt idx="0">
                    <c:v>63%</c:v>
                  </c:pt>
                  <c:pt idx="1">
                    <c:v>56%</c:v>
                  </c:pt>
                  <c:pt idx="2">
                    <c:v>67%</c:v>
                  </c:pt>
                  <c:pt idx="3">
                    <c:v>71%</c:v>
                  </c:pt>
                  <c:pt idx="4">
                    <c:v>75%</c:v>
                  </c:pt>
                  <c:pt idx="5">
                    <c:v>59%</c:v>
                  </c:pt>
                  <c:pt idx="6">
                    <c:v>69%</c:v>
                  </c:pt>
                  <c:pt idx="7">
                    <c:v>65%</c:v>
                  </c:pt>
                  <c:pt idx="8">
                    <c:v>46%</c:v>
                  </c:pt>
                  <c:pt idx="9">
                    <c:v>40%</c:v>
                  </c:pt>
                </c15:dlblRangeCache>
              </c15:datalabelsRange>
            </c:ext>
            <c:ext xmlns:c16="http://schemas.microsoft.com/office/drawing/2014/chart" uri="{C3380CC4-5D6E-409C-BE32-E72D297353CC}">
              <c16:uniqueId val="{0000000B-568B-4220-ABCF-91FCF181E8E6}"/>
            </c:ext>
          </c:extLst>
        </c:ser>
        <c:dLbls>
          <c:showLegendKey val="0"/>
          <c:showVal val="0"/>
          <c:showCatName val="0"/>
          <c:showSerName val="0"/>
          <c:showPercent val="0"/>
          <c:showBubbleSize val="0"/>
        </c:dLbls>
        <c:gapWidth val="150"/>
        <c:overlap val="-40"/>
        <c:axId val="142825488"/>
        <c:axId val="142832560"/>
      </c:barChart>
      <c:catAx>
        <c:axId val="14282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32560"/>
        <c:crosses val="autoZero"/>
        <c:auto val="1"/>
        <c:lblAlgn val="ctr"/>
        <c:lblOffset val="100"/>
        <c:noMultiLvlLbl val="0"/>
      </c:catAx>
      <c:valAx>
        <c:axId val="14283256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2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a:t>
            </a:r>
            <a:r>
              <a:rPr lang="es-ES" b="1" baseline="0">
                <a:solidFill>
                  <a:sysClr val="windowText" lastClr="000000"/>
                </a:solidFill>
              </a:rPr>
              <a:t> </a:t>
            </a:r>
            <a:r>
              <a:rPr lang="es-ES" b="1">
                <a:solidFill>
                  <a:sysClr val="windowText" lastClr="000000"/>
                </a:solidFill>
              </a:rPr>
              <a:t>Secano </a:t>
            </a:r>
            <a:r>
              <a:rPr lang="es-ES" b="1" baseline="0">
                <a:solidFill>
                  <a:sysClr val="windowText" lastClr="000000"/>
                </a:solidFill>
              </a:rPr>
              <a:t>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'PIS-EDAD'!$AO$28</c:f>
              <c:strCache>
                <c:ptCount val="1"/>
                <c:pt idx="0">
                  <c:v>Plantaciones jóvenes</c:v>
                </c:pt>
              </c:strCache>
            </c:strRef>
          </c:tx>
          <c:spPr>
            <a:solidFill>
              <a:schemeClr val="accent2">
                <a:shade val="76000"/>
              </a:schemeClr>
            </a:solidFill>
            <a:ln>
              <a:noFill/>
            </a:ln>
            <a:effectLst/>
          </c:spPr>
          <c:invertIfNegative val="0"/>
          <c:dLbls>
            <c:dLbl>
              <c:idx val="0"/>
              <c:tx>
                <c:rich>
                  <a:bodyPr/>
                  <a:lstStyle/>
                  <a:p>
                    <a:fld id="{6EF695E3-6F9D-4E8E-BBA4-ED82953E102B}"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34-4A64-8731-BD406F61BE7D}"/>
                </c:ext>
              </c:extLst>
            </c:dLbl>
            <c:dLbl>
              <c:idx val="1"/>
              <c:tx>
                <c:rich>
                  <a:bodyPr/>
                  <a:lstStyle/>
                  <a:p>
                    <a:fld id="{7D33F794-B4DB-4A8D-9930-077FEB3570D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B34-4A64-8731-BD406F61BE7D}"/>
                </c:ext>
              </c:extLst>
            </c:dLbl>
            <c:dLbl>
              <c:idx val="2"/>
              <c:tx>
                <c:rich>
                  <a:bodyPr/>
                  <a:lstStyle/>
                  <a:p>
                    <a:fld id="{C598F870-D837-43B5-87F8-0FC95738332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B34-4A64-8731-BD406F61BE7D}"/>
                </c:ext>
              </c:extLst>
            </c:dLbl>
            <c:dLbl>
              <c:idx val="3"/>
              <c:tx>
                <c:rich>
                  <a:bodyPr/>
                  <a:lstStyle/>
                  <a:p>
                    <a:fld id="{74C81BE7-C5DF-4755-A080-550BF19432F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B34-4A64-8731-BD406F61BE7D}"/>
                </c:ext>
              </c:extLst>
            </c:dLbl>
            <c:dLbl>
              <c:idx val="4"/>
              <c:tx>
                <c:rich>
                  <a:bodyPr/>
                  <a:lstStyle/>
                  <a:p>
                    <a:fld id="{1A196447-4E40-4BDB-8329-FAEEE6E48EC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B34-4A64-8731-BD406F61BE7D}"/>
                </c:ext>
              </c:extLst>
            </c:dLbl>
            <c:dLbl>
              <c:idx val="5"/>
              <c:tx>
                <c:rich>
                  <a:bodyPr/>
                  <a:lstStyle/>
                  <a:p>
                    <a:fld id="{0791FF89-DD6C-4A6A-A43C-7A049F95AE2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B34-4A64-8731-BD406F61BE7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'PIS-EDAD'!$AN$29:$AN$36</c15:sqref>
                  </c15:fullRef>
                </c:ext>
              </c:extLst>
              <c:f>'PIS-EDAD'!$AN$29:$AN$34</c:f>
              <c:strCache>
                <c:ptCount val="6"/>
                <c:pt idx="0">
                  <c:v>C.-LA MANCHA</c:v>
                </c:pt>
                <c:pt idx="1">
                  <c:v>ANDALUCÍA</c:v>
                </c:pt>
                <c:pt idx="2">
                  <c:v>C. y LEÓN</c:v>
                </c:pt>
                <c:pt idx="3">
                  <c:v>EXTREMADURA</c:v>
                </c:pt>
                <c:pt idx="4">
                  <c:v>ARAGÓN</c:v>
                </c:pt>
                <c:pt idx="5">
                  <c:v>MURCIA</c:v>
                </c:pt>
              </c:strCache>
            </c:strRef>
          </c:cat>
          <c:val>
            <c:numRef>
              <c:extLst>
                <c:ext xmlns:c15="http://schemas.microsoft.com/office/drawing/2012/chart" uri="{02D57815-91ED-43cb-92C2-25804820EDAC}">
                  <c15:fullRef>
                    <c15:sqref>'PIS-EDAD'!$AO$29:$AO$36</c15:sqref>
                  </c15:fullRef>
                </c:ext>
              </c:extLst>
              <c:f>'PIS-EDAD'!$AO$29:$AO$34</c:f>
              <c:numCache>
                <c:formatCode>#,##0</c:formatCode>
                <c:ptCount val="6"/>
                <c:pt idx="0">
                  <c:v>21818.71</c:v>
                </c:pt>
                <c:pt idx="1">
                  <c:v>2514.6799999999998</c:v>
                </c:pt>
                <c:pt idx="2">
                  <c:v>1296.6399999999999</c:v>
                </c:pt>
                <c:pt idx="3">
                  <c:v>840.72999999999979</c:v>
                </c:pt>
                <c:pt idx="4">
                  <c:v>302.96000000000004</c:v>
                </c:pt>
                <c:pt idx="5">
                  <c:v>253</c:v>
                </c:pt>
              </c:numCache>
            </c:numRef>
          </c:val>
          <c:extLst>
            <c:ext xmlns:c15="http://schemas.microsoft.com/office/drawing/2012/chart" uri="{02D57815-91ED-43cb-92C2-25804820EDAC}">
              <c15:datalabelsRange>
                <c15:f>'PIS-EDAD'!$AQ$29:$AQ$36</c15:f>
                <c15:dlblRangeCache>
                  <c:ptCount val="8"/>
                  <c:pt idx="0">
                    <c:v>63%</c:v>
                  </c:pt>
                  <c:pt idx="1">
                    <c:v>61%</c:v>
                  </c:pt>
                  <c:pt idx="2">
                    <c:v>66%</c:v>
                  </c:pt>
                  <c:pt idx="3">
                    <c:v>59%</c:v>
                  </c:pt>
                  <c:pt idx="4">
                    <c:v>69%</c:v>
                  </c:pt>
                  <c:pt idx="5">
                    <c:v>46%</c:v>
                  </c:pt>
                  <c:pt idx="6">
                    <c:v>58%</c:v>
                  </c:pt>
                  <c:pt idx="7">
                    <c:v>52%</c:v>
                  </c:pt>
                </c15:dlblRangeCache>
              </c15:datalabelsRange>
            </c:ext>
            <c:ext xmlns:c16="http://schemas.microsoft.com/office/drawing/2014/chart" uri="{C3380CC4-5D6E-409C-BE32-E72D297353CC}">
              <c16:uniqueId val="{00000006-DB34-4A64-8731-BD406F61BE7D}"/>
            </c:ext>
          </c:extLst>
        </c:ser>
        <c:ser>
          <c:idx val="1"/>
          <c:order val="1"/>
          <c:tx>
            <c:strRef>
              <c:f>'PIS-EDAD'!$AP$28</c:f>
              <c:strCache>
                <c:ptCount val="1"/>
                <c:pt idx="0">
                  <c:v>Total</c:v>
                </c:pt>
              </c:strCache>
            </c:strRef>
          </c:tx>
          <c:spPr>
            <a:solidFill>
              <a:schemeClr val="accent2">
                <a:tint val="77000"/>
              </a:schemeClr>
            </a:solidFill>
            <a:ln>
              <a:solidFill>
                <a:schemeClr val="accent2">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'PIS-EDAD'!$AN$29:$AN$36</c15:sqref>
                  </c15:fullRef>
                </c:ext>
              </c:extLst>
              <c:f>'PIS-EDAD'!$AN$29:$AN$34</c:f>
              <c:strCache>
                <c:ptCount val="6"/>
                <c:pt idx="0">
                  <c:v>C.-LA MANCHA</c:v>
                </c:pt>
                <c:pt idx="1">
                  <c:v>ANDALUCÍA</c:v>
                </c:pt>
                <c:pt idx="2">
                  <c:v>C. y LEÓN</c:v>
                </c:pt>
                <c:pt idx="3">
                  <c:v>EXTREMADURA</c:v>
                </c:pt>
                <c:pt idx="4">
                  <c:v>ARAGÓN</c:v>
                </c:pt>
                <c:pt idx="5">
                  <c:v>MURCIA</c:v>
                </c:pt>
              </c:strCache>
            </c:strRef>
          </c:cat>
          <c:val>
            <c:numRef>
              <c:extLst>
                <c:ext xmlns:c15="http://schemas.microsoft.com/office/drawing/2012/chart" uri="{02D57815-91ED-43cb-92C2-25804820EDAC}">
                  <c15:fullRef>
                    <c15:sqref>'PIS-EDAD'!$AP$29:$AP$36</c15:sqref>
                  </c15:fullRef>
                </c:ext>
              </c:extLst>
              <c:f>'PIS-EDAD'!$AP$29:$AP$34</c:f>
              <c:numCache>
                <c:formatCode>#,##0</c:formatCode>
                <c:ptCount val="6"/>
                <c:pt idx="0">
                  <c:v>34604.449999999997</c:v>
                </c:pt>
                <c:pt idx="1">
                  <c:v>4141.7299999999996</c:v>
                </c:pt>
                <c:pt idx="2">
                  <c:v>1955.5699999999997</c:v>
                </c:pt>
                <c:pt idx="3">
                  <c:v>1435.12</c:v>
                </c:pt>
                <c:pt idx="4">
                  <c:v>440.16000000000008</c:v>
                </c:pt>
                <c:pt idx="5">
                  <c:v>547.88</c:v>
                </c:pt>
              </c:numCache>
            </c:numRef>
          </c:val>
          <c:extLst>
            <c:ext xmlns:c16="http://schemas.microsoft.com/office/drawing/2014/chart" uri="{C3380CC4-5D6E-409C-BE32-E72D297353CC}">
              <c16:uniqueId val="{00000007-DB34-4A64-8731-BD406F61BE7D}"/>
            </c:ext>
          </c:extLst>
        </c:ser>
        <c:dLbls>
          <c:showLegendKey val="0"/>
          <c:showVal val="0"/>
          <c:showCatName val="0"/>
          <c:showSerName val="0"/>
          <c:showPercent val="0"/>
          <c:showBubbleSize val="0"/>
        </c:dLbls>
        <c:gapWidth val="100"/>
        <c:axId val="142824400"/>
        <c:axId val="142821136"/>
      </c:barChart>
      <c:catAx>
        <c:axId val="14282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1136"/>
        <c:crosses val="autoZero"/>
        <c:auto val="1"/>
        <c:lblAlgn val="ctr"/>
        <c:lblOffset val="100"/>
        <c:noMultiLvlLbl val="0"/>
      </c:catAx>
      <c:valAx>
        <c:axId val="1428211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Regadío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'PIS-EDAD'!$C$142:$X$142</c:f>
              <c:numCache>
                <c:formatCode>#,##0</c:formatCode>
                <c:ptCount val="22"/>
                <c:pt idx="0">
                  <c:v>189.03</c:v>
                </c:pt>
                <c:pt idx="1">
                  <c:v>39.31</c:v>
                </c:pt>
                <c:pt idx="2">
                  <c:v>13.74</c:v>
                </c:pt>
                <c:pt idx="3">
                  <c:v>92.26</c:v>
                </c:pt>
                <c:pt idx="4">
                  <c:v>80.169999999999987</c:v>
                </c:pt>
                <c:pt idx="5">
                  <c:v>63.849999999999994</c:v>
                </c:pt>
                <c:pt idx="6">
                  <c:v>49.360000000000007</c:v>
                </c:pt>
                <c:pt idx="7">
                  <c:v>42.86</c:v>
                </c:pt>
                <c:pt idx="8">
                  <c:v>71.349999999999994</c:v>
                </c:pt>
                <c:pt idx="9">
                  <c:v>139.11000000000001</c:v>
                </c:pt>
                <c:pt idx="10">
                  <c:v>151.58999999999997</c:v>
                </c:pt>
                <c:pt idx="11">
                  <c:v>118.35</c:v>
                </c:pt>
                <c:pt idx="12">
                  <c:v>187.34</c:v>
                </c:pt>
                <c:pt idx="13">
                  <c:v>278.25</c:v>
                </c:pt>
                <c:pt idx="14">
                  <c:v>502.4</c:v>
                </c:pt>
                <c:pt idx="15">
                  <c:v>1079.8800000000001</c:v>
                </c:pt>
                <c:pt idx="16">
                  <c:v>904.94000000000017</c:v>
                </c:pt>
                <c:pt idx="17">
                  <c:v>1551.0700000000004</c:v>
                </c:pt>
                <c:pt idx="18">
                  <c:v>2431.9299999999998</c:v>
                </c:pt>
                <c:pt idx="19">
                  <c:v>2296.48</c:v>
                </c:pt>
                <c:pt idx="20">
                  <c:v>2772.9</c:v>
                </c:pt>
                <c:pt idx="21">
                  <c:v>2250.7300000000005</c:v>
                </c:pt>
              </c:numCache>
            </c:numRef>
          </c:val>
          <c:extLst>
            <c:ext xmlns:c16="http://schemas.microsoft.com/office/drawing/2014/chart" uri="{C3380CC4-5D6E-409C-BE32-E72D297353CC}">
              <c16:uniqueId val="{00000000-A0E2-4003-9FAA-120B9502464A}"/>
            </c:ext>
          </c:extLst>
        </c:ser>
        <c:dLbls>
          <c:showLegendKey val="0"/>
          <c:showVal val="0"/>
          <c:showCatName val="0"/>
          <c:showSerName val="0"/>
          <c:showPercent val="0"/>
          <c:showBubbleSize val="0"/>
        </c:dLbls>
        <c:gapWidth val="219"/>
        <c:overlap val="-27"/>
        <c:axId val="142833648"/>
        <c:axId val="142834192"/>
      </c:barChart>
      <c:catAx>
        <c:axId val="142833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4192"/>
        <c:crosses val="autoZero"/>
        <c:auto val="1"/>
        <c:lblAlgn val="ctr"/>
        <c:lblOffset val="100"/>
        <c:noMultiLvlLbl val="0"/>
      </c:catAx>
      <c:valAx>
        <c:axId val="14283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3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u="sng">
                <a:solidFill>
                  <a:sysClr val="windowText" lastClr="000000"/>
                </a:solidFill>
              </a:rPr>
              <a:t>ALMENDRO</a:t>
            </a:r>
            <a:r>
              <a:rPr lang="en-US" b="1" u="sng" baseline="0">
                <a:solidFill>
                  <a:sysClr val="windowText" lastClr="000000"/>
                </a:solidFill>
              </a:rPr>
              <a:t> SECANO</a:t>
            </a:r>
            <a:endParaRPr lang="en-US" b="1" u="sng">
              <a:solidFill>
                <a:sysClr val="windowText" lastClr="000000"/>
              </a:solidFill>
            </a:endParaRP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RSU REGEPA  vs SUPERFICIES ANUALES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'ALM-REPR'!$O$11</c:f>
              <c:strCache>
                <c:ptCount val="1"/>
                <c:pt idx="0">
                  <c:v>SUP.ANUALES 2021</c:v>
                </c:pt>
              </c:strCache>
            </c:strRef>
          </c:tx>
          <c:spPr>
            <a:solidFill>
              <a:schemeClr val="accent2">
                <a:shade val="76000"/>
              </a:schemeClr>
            </a:solidFill>
            <a:ln>
              <a:noFill/>
            </a:ln>
            <a:effectLst/>
          </c:spPr>
          <c:invertIfNegative val="0"/>
          <c:dLbls>
            <c:delete val="1"/>
          </c:dLbls>
          <c:cat>
            <c:strRef>
              <c:f>'ALM-REPR'!$M$12:$M$17</c:f>
              <c:strCache>
                <c:ptCount val="6"/>
                <c:pt idx="0">
                  <c:v>ANDALUCÍA</c:v>
                </c:pt>
                <c:pt idx="1">
                  <c:v>C.-LA MANCHA</c:v>
                </c:pt>
                <c:pt idx="2">
                  <c:v>MURCIA</c:v>
                </c:pt>
                <c:pt idx="3">
                  <c:v>ARAGÓN</c:v>
                </c:pt>
                <c:pt idx="4">
                  <c:v>C. VALENCIANA</c:v>
                </c:pt>
                <c:pt idx="5">
                  <c:v>CATALUÑA</c:v>
                </c:pt>
              </c:strCache>
            </c:strRef>
          </c:cat>
          <c:val>
            <c:numRef>
              <c:f>'ALM-REPR'!$O$12:$O$17</c:f>
              <c:numCache>
                <c:formatCode>#,##0</c:formatCode>
                <c:ptCount val="6"/>
                <c:pt idx="0">
                  <c:v>199644</c:v>
                </c:pt>
                <c:pt idx="1">
                  <c:v>123986</c:v>
                </c:pt>
                <c:pt idx="2">
                  <c:v>75304</c:v>
                </c:pt>
                <c:pt idx="3">
                  <c:v>63554</c:v>
                </c:pt>
                <c:pt idx="4">
                  <c:v>77419</c:v>
                </c:pt>
                <c:pt idx="5">
                  <c:v>28213</c:v>
                </c:pt>
              </c:numCache>
            </c:numRef>
          </c:val>
          <c:extLst>
            <c:ext xmlns:c16="http://schemas.microsoft.com/office/drawing/2014/chart" uri="{C3380CC4-5D6E-409C-BE32-E72D297353CC}">
              <c16:uniqueId val="{00000000-1E47-4384-9135-CF96F579B113}"/>
            </c:ext>
          </c:extLst>
        </c:ser>
        <c:ser>
          <c:idx val="0"/>
          <c:order val="1"/>
          <c:tx>
            <c:strRef>
              <c:f>'ALM-REPR'!$N$11</c:f>
              <c:strCache>
                <c:ptCount val="1"/>
                <c:pt idx="0">
                  <c:v>RSU REGEPA 2021</c:v>
                </c:pt>
              </c:strCache>
            </c:strRef>
          </c:tx>
          <c:spPr>
            <a:solidFill>
              <a:schemeClr val="accent2">
                <a:tint val="77000"/>
              </a:schemeClr>
            </a:solidFill>
            <a:ln>
              <a:noFill/>
            </a:ln>
            <a:effectLst/>
          </c:spPr>
          <c:invertIfNegative val="0"/>
          <c:dLbls>
            <c:dLbl>
              <c:idx val="0"/>
              <c:tx>
                <c:rich>
                  <a:bodyPr/>
                  <a:lstStyle/>
                  <a:p>
                    <a:fld id="{4AF65590-1A3B-417F-942E-17655044696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E47-4384-9135-CF96F579B113}"/>
                </c:ext>
              </c:extLst>
            </c:dLbl>
            <c:dLbl>
              <c:idx val="1"/>
              <c:tx>
                <c:rich>
                  <a:bodyPr/>
                  <a:lstStyle/>
                  <a:p>
                    <a:fld id="{1A30637A-914E-46E5-B8D5-763FCA83D8F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E47-4384-9135-CF96F579B113}"/>
                </c:ext>
              </c:extLst>
            </c:dLbl>
            <c:dLbl>
              <c:idx val="2"/>
              <c:tx>
                <c:rich>
                  <a:bodyPr/>
                  <a:lstStyle/>
                  <a:p>
                    <a:fld id="{47298A7B-9206-47A0-9092-21665EB5616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E47-4384-9135-CF96F579B113}"/>
                </c:ext>
              </c:extLst>
            </c:dLbl>
            <c:dLbl>
              <c:idx val="3"/>
              <c:tx>
                <c:rich>
                  <a:bodyPr/>
                  <a:lstStyle/>
                  <a:p>
                    <a:fld id="{D5417497-BA45-49FE-A5B9-91402BB56A9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47-4384-9135-CF96F579B113}"/>
                </c:ext>
              </c:extLst>
            </c:dLbl>
            <c:dLbl>
              <c:idx val="4"/>
              <c:tx>
                <c:rich>
                  <a:bodyPr/>
                  <a:lstStyle/>
                  <a:p>
                    <a:fld id="{4EEB6555-3383-4349-9F71-B8DDE7369D0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47-4384-9135-CF96F579B113}"/>
                </c:ext>
              </c:extLst>
            </c:dLbl>
            <c:dLbl>
              <c:idx val="5"/>
              <c:tx>
                <c:rich>
                  <a:bodyPr/>
                  <a:lstStyle/>
                  <a:p>
                    <a:fld id="{F131CF8D-B598-46BF-92F0-7FF68BF2FFD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47-4384-9135-CF96F579B11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'ALM-REPR'!$M$12:$M$17</c:f>
              <c:strCache>
                <c:ptCount val="6"/>
                <c:pt idx="0">
                  <c:v>ANDALUCÍA</c:v>
                </c:pt>
                <c:pt idx="1">
                  <c:v>C.-LA MANCHA</c:v>
                </c:pt>
                <c:pt idx="2">
                  <c:v>MURCIA</c:v>
                </c:pt>
                <c:pt idx="3">
                  <c:v>ARAGÓN</c:v>
                </c:pt>
                <c:pt idx="4">
                  <c:v>C. VALENCIANA</c:v>
                </c:pt>
                <c:pt idx="5">
                  <c:v>CATALUÑA</c:v>
                </c:pt>
              </c:strCache>
            </c:strRef>
          </c:cat>
          <c:val>
            <c:numRef>
              <c:f>'ALM-REPR'!$N$12:$N$17</c:f>
              <c:numCache>
                <c:formatCode>#,##0</c:formatCode>
                <c:ptCount val="6"/>
                <c:pt idx="0">
                  <c:v>148042.47140000013</c:v>
                </c:pt>
                <c:pt idx="1">
                  <c:v>128880.31080000008</c:v>
                </c:pt>
                <c:pt idx="2">
                  <c:v>74140.410000000062</c:v>
                </c:pt>
                <c:pt idx="3">
                  <c:v>58530.640000000029</c:v>
                </c:pt>
                <c:pt idx="4">
                  <c:v>54378.517699999968</c:v>
                </c:pt>
                <c:pt idx="5">
                  <c:v>22011.300000000047</c:v>
                </c:pt>
              </c:numCache>
            </c:numRef>
          </c:val>
          <c:extLst>
            <c:ext xmlns:c15="http://schemas.microsoft.com/office/drawing/2012/chart" uri="{02D57815-91ED-43cb-92C2-25804820EDAC}">
              <c15:datalabelsRange>
                <c15:f>'ALM-REPR'!$P$12:$P$17</c15:f>
                <c15:dlblRangeCache>
                  <c:ptCount val="6"/>
                  <c:pt idx="0">
                    <c:v>74%</c:v>
                  </c:pt>
                  <c:pt idx="1">
                    <c:v>104%</c:v>
                  </c:pt>
                  <c:pt idx="2">
                    <c:v>98%</c:v>
                  </c:pt>
                  <c:pt idx="3">
                    <c:v>92%</c:v>
                  </c:pt>
                  <c:pt idx="4">
                    <c:v>70%</c:v>
                  </c:pt>
                  <c:pt idx="5">
                    <c:v>78%</c:v>
                  </c:pt>
                </c15:dlblRangeCache>
              </c15:datalabelsRange>
            </c:ext>
            <c:ext xmlns:c16="http://schemas.microsoft.com/office/drawing/2014/chart" uri="{C3380CC4-5D6E-409C-BE32-E72D297353CC}">
              <c16:uniqueId val="{00000007-1E47-4384-9135-CF96F579B113}"/>
            </c:ext>
          </c:extLst>
        </c:ser>
        <c:dLbls>
          <c:dLblPos val="outEnd"/>
          <c:showLegendKey val="0"/>
          <c:showVal val="1"/>
          <c:showCatName val="0"/>
          <c:showSerName val="0"/>
          <c:showPercent val="0"/>
          <c:showBubbleSize val="0"/>
        </c:dLbls>
        <c:gapWidth val="219"/>
        <c:axId val="2128802448"/>
        <c:axId val="2128807344"/>
      </c:barChart>
      <c:catAx>
        <c:axId val="212880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7344"/>
        <c:crosses val="autoZero"/>
        <c:auto val="1"/>
        <c:lblAlgn val="ctr"/>
        <c:lblOffset val="100"/>
        <c:noMultiLvlLbl val="0"/>
      </c:catAx>
      <c:valAx>
        <c:axId val="2128807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Superficies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2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Regadío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'PIS-EDAD'!$AK$109</c:f>
              <c:strCache>
                <c:ptCount val="1"/>
                <c:pt idx="0">
                  <c:v>Total</c:v>
                </c:pt>
              </c:strCache>
            </c:strRef>
          </c:tx>
          <c:spPr>
            <a:solidFill>
              <a:schemeClr val="accent1">
                <a:tint val="77000"/>
              </a:schemeClr>
            </a:solidFill>
            <a:ln>
              <a:solidFill>
                <a:schemeClr val="accent1">
                  <a:lumMod val="50000"/>
                </a:schemeClr>
              </a:solidFill>
            </a:ln>
            <a:effectLst/>
          </c:spPr>
          <c:invertIfNegative val="0"/>
          <c:cat>
            <c:strRef>
              <c:f>'PIS-EDAD'!$AI$110:$AI$119</c:f>
              <c:strCache>
                <c:ptCount val="10"/>
                <c:pt idx="0">
                  <c:v>CIUDAD REAL</c:v>
                </c:pt>
                <c:pt idx="1">
                  <c:v>ALBACETE</c:v>
                </c:pt>
                <c:pt idx="2">
                  <c:v>TOLEDO</c:v>
                </c:pt>
                <c:pt idx="3">
                  <c:v>CUENCA</c:v>
                </c:pt>
                <c:pt idx="4">
                  <c:v>GRANADA</c:v>
                </c:pt>
                <c:pt idx="5">
                  <c:v>LLEIDA</c:v>
                </c:pt>
                <c:pt idx="6">
                  <c:v>CÓRDOBA</c:v>
                </c:pt>
                <c:pt idx="7">
                  <c:v>MADRID</c:v>
                </c:pt>
                <c:pt idx="8">
                  <c:v>BADAJOZ</c:v>
                </c:pt>
                <c:pt idx="9">
                  <c:v>CÁCERES</c:v>
                </c:pt>
              </c:strCache>
            </c:strRef>
          </c:cat>
          <c:val>
            <c:numRef>
              <c:f>'PIS-EDAD'!$AK$110:$AK$119</c:f>
              <c:numCache>
                <c:formatCode>#,##0</c:formatCode>
                <c:ptCount val="10"/>
                <c:pt idx="0">
                  <c:v>4242.66</c:v>
                </c:pt>
                <c:pt idx="1">
                  <c:v>2708.44</c:v>
                </c:pt>
                <c:pt idx="2">
                  <c:v>3306.6800000000003</c:v>
                </c:pt>
                <c:pt idx="3">
                  <c:v>994.76</c:v>
                </c:pt>
                <c:pt idx="4">
                  <c:v>510.96000000000004</c:v>
                </c:pt>
                <c:pt idx="5">
                  <c:v>429.41</c:v>
                </c:pt>
                <c:pt idx="6">
                  <c:v>411.29</c:v>
                </c:pt>
                <c:pt idx="7">
                  <c:v>225.36</c:v>
                </c:pt>
                <c:pt idx="8">
                  <c:v>247.58</c:v>
                </c:pt>
                <c:pt idx="9">
                  <c:v>317.50000000000006</c:v>
                </c:pt>
              </c:numCache>
            </c:numRef>
          </c:val>
          <c:extLst>
            <c:ext xmlns:c16="http://schemas.microsoft.com/office/drawing/2014/chart" uri="{C3380CC4-5D6E-409C-BE32-E72D297353CC}">
              <c16:uniqueId val="{0000000A-16B7-4EA5-A0C6-BE9351B04C8A}"/>
            </c:ext>
          </c:extLst>
        </c:ser>
        <c:ser>
          <c:idx val="0"/>
          <c:order val="1"/>
          <c:tx>
            <c:strRef>
              <c:f>'PIS-EDAD'!$AJ$109</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49A2FF8B-8F8A-41F6-96A5-0C673613FD24}"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C9C-4AD2-AFB9-E2EF99B3DC7A}"/>
                </c:ext>
              </c:extLst>
            </c:dLbl>
            <c:dLbl>
              <c:idx val="1"/>
              <c:tx>
                <c:rich>
                  <a:bodyPr/>
                  <a:lstStyle/>
                  <a:p>
                    <a:fld id="{C001311E-483C-444C-A870-C98DECFCF45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C9C-4AD2-AFB9-E2EF99B3DC7A}"/>
                </c:ext>
              </c:extLst>
            </c:dLbl>
            <c:dLbl>
              <c:idx val="2"/>
              <c:tx>
                <c:rich>
                  <a:bodyPr/>
                  <a:lstStyle/>
                  <a:p>
                    <a:fld id="{E0AFB5DF-3157-4E07-BEDA-DF1F78E8EFB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C9C-4AD2-AFB9-E2EF99B3DC7A}"/>
                </c:ext>
              </c:extLst>
            </c:dLbl>
            <c:dLbl>
              <c:idx val="3"/>
              <c:tx>
                <c:rich>
                  <a:bodyPr/>
                  <a:lstStyle/>
                  <a:p>
                    <a:fld id="{C1F431DC-C715-4B5D-91A7-D4B343B2753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C9C-4AD2-AFB9-E2EF99B3DC7A}"/>
                </c:ext>
              </c:extLst>
            </c:dLbl>
            <c:dLbl>
              <c:idx val="4"/>
              <c:tx>
                <c:rich>
                  <a:bodyPr/>
                  <a:lstStyle/>
                  <a:p>
                    <a:fld id="{95908101-6746-4BB6-A672-9E7249E2A3D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C9C-4AD2-AFB9-E2EF99B3DC7A}"/>
                </c:ext>
              </c:extLst>
            </c:dLbl>
            <c:dLbl>
              <c:idx val="5"/>
              <c:tx>
                <c:rich>
                  <a:bodyPr/>
                  <a:lstStyle/>
                  <a:p>
                    <a:fld id="{7100D234-5D5F-4A5E-B4B4-46BEB4D9269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C9C-4AD2-AFB9-E2EF99B3DC7A}"/>
                </c:ext>
              </c:extLst>
            </c:dLbl>
            <c:dLbl>
              <c:idx val="6"/>
              <c:tx>
                <c:rich>
                  <a:bodyPr/>
                  <a:lstStyle/>
                  <a:p>
                    <a:fld id="{A2194066-C6BD-4C8D-A5B8-44E3B4AD2A3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C9C-4AD2-AFB9-E2EF99B3DC7A}"/>
                </c:ext>
              </c:extLst>
            </c:dLbl>
            <c:dLbl>
              <c:idx val="7"/>
              <c:tx>
                <c:rich>
                  <a:bodyPr/>
                  <a:lstStyle/>
                  <a:p>
                    <a:fld id="{8D39DEBC-08F3-45C9-B5DF-2242189C9E6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C9C-4AD2-AFB9-E2EF99B3DC7A}"/>
                </c:ext>
              </c:extLst>
            </c:dLbl>
            <c:dLbl>
              <c:idx val="8"/>
              <c:tx>
                <c:rich>
                  <a:bodyPr/>
                  <a:lstStyle/>
                  <a:p>
                    <a:fld id="{B1BC66CF-DDFB-442C-8C18-38BF93463A2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C9C-4AD2-AFB9-E2EF99B3DC7A}"/>
                </c:ext>
              </c:extLst>
            </c:dLbl>
            <c:dLbl>
              <c:idx val="9"/>
              <c:tx>
                <c:rich>
                  <a:bodyPr/>
                  <a:lstStyle/>
                  <a:p>
                    <a:fld id="{19A310F1-454C-4685-8F12-DC74CFD4333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C9C-4AD2-AFB9-E2EF99B3DC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'PIS-EDAD'!$AI$110:$AI$119</c:f>
              <c:strCache>
                <c:ptCount val="10"/>
                <c:pt idx="0">
                  <c:v>CIUDAD REAL</c:v>
                </c:pt>
                <c:pt idx="1">
                  <c:v>ALBACETE</c:v>
                </c:pt>
                <c:pt idx="2">
                  <c:v>TOLEDO</c:v>
                </c:pt>
                <c:pt idx="3">
                  <c:v>CUENCA</c:v>
                </c:pt>
                <c:pt idx="4">
                  <c:v>GRANADA</c:v>
                </c:pt>
                <c:pt idx="5">
                  <c:v>LLEIDA</c:v>
                </c:pt>
                <c:pt idx="6">
                  <c:v>CÓRDOBA</c:v>
                </c:pt>
                <c:pt idx="7">
                  <c:v>MADRID</c:v>
                </c:pt>
                <c:pt idx="8">
                  <c:v>BADAJOZ</c:v>
                </c:pt>
                <c:pt idx="9">
                  <c:v>CÁCERES</c:v>
                </c:pt>
              </c:strCache>
            </c:strRef>
          </c:cat>
          <c:val>
            <c:numRef>
              <c:f>'PIS-EDAD'!$AJ$110:$AJ$119</c:f>
              <c:numCache>
                <c:formatCode>#,##0</c:formatCode>
                <c:ptCount val="10"/>
                <c:pt idx="0">
                  <c:v>1861.9</c:v>
                </c:pt>
                <c:pt idx="1">
                  <c:v>1603.31</c:v>
                </c:pt>
                <c:pt idx="2">
                  <c:v>1591.83</c:v>
                </c:pt>
                <c:pt idx="3">
                  <c:v>661.03</c:v>
                </c:pt>
                <c:pt idx="4">
                  <c:v>210.79999999999998</c:v>
                </c:pt>
                <c:pt idx="5">
                  <c:v>198.74</c:v>
                </c:pt>
                <c:pt idx="6">
                  <c:v>138.85000000000002</c:v>
                </c:pt>
                <c:pt idx="7">
                  <c:v>132.76</c:v>
                </c:pt>
                <c:pt idx="8">
                  <c:v>128.99</c:v>
                </c:pt>
                <c:pt idx="9">
                  <c:v>128.79000000000002</c:v>
                </c:pt>
              </c:numCache>
            </c:numRef>
          </c:val>
          <c:extLst>
            <c:ext xmlns:c15="http://schemas.microsoft.com/office/drawing/2012/chart" uri="{02D57815-91ED-43cb-92C2-25804820EDAC}">
              <c15:datalabelsRange>
                <c15:f>'PIS-EDAD'!$AL$110:$AL$119</c15:f>
                <c15:dlblRangeCache>
                  <c:ptCount val="10"/>
                  <c:pt idx="0">
                    <c:v>44%</c:v>
                  </c:pt>
                  <c:pt idx="1">
                    <c:v>59%</c:v>
                  </c:pt>
                  <c:pt idx="2">
                    <c:v>48%</c:v>
                  </c:pt>
                  <c:pt idx="3">
                    <c:v>66%</c:v>
                  </c:pt>
                  <c:pt idx="4">
                    <c:v>41%</c:v>
                  </c:pt>
                  <c:pt idx="5">
                    <c:v>46%</c:v>
                  </c:pt>
                  <c:pt idx="6">
                    <c:v>34%</c:v>
                  </c:pt>
                  <c:pt idx="7">
                    <c:v>59%</c:v>
                  </c:pt>
                  <c:pt idx="8">
                    <c:v>52%</c:v>
                  </c:pt>
                  <c:pt idx="9">
                    <c:v>41%</c:v>
                  </c:pt>
                </c15:dlblRangeCache>
              </c15:datalabelsRange>
            </c:ext>
            <c:ext xmlns:c16="http://schemas.microsoft.com/office/drawing/2014/chart" uri="{C3380CC4-5D6E-409C-BE32-E72D297353CC}">
              <c16:uniqueId val="{0000000B-16B7-4EA5-A0C6-BE9351B04C8A}"/>
            </c:ext>
          </c:extLst>
        </c:ser>
        <c:dLbls>
          <c:showLegendKey val="0"/>
          <c:showVal val="0"/>
          <c:showCatName val="0"/>
          <c:showSerName val="0"/>
          <c:showPercent val="0"/>
          <c:showBubbleSize val="0"/>
        </c:dLbls>
        <c:gapWidth val="150"/>
        <c:overlap val="-40"/>
        <c:axId val="142836368"/>
        <c:axId val="142847248"/>
      </c:barChart>
      <c:catAx>
        <c:axId val="142836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47248"/>
        <c:crosses val="autoZero"/>
        <c:auto val="1"/>
        <c:lblAlgn val="ctr"/>
        <c:lblOffset val="100"/>
        <c:noMultiLvlLbl val="0"/>
      </c:catAx>
      <c:valAx>
        <c:axId val="1428472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36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Regadío </a:t>
            </a:r>
            <a:r>
              <a:rPr lang="es-ES" b="1" baseline="0">
                <a:solidFill>
                  <a:sysClr val="windowText" lastClr="000000"/>
                </a:solidFill>
              </a:rPr>
              <a:t>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'PIS-EDAD'!$AO$107</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8DB3E612-0176-4DC9-AB8D-4F8BB72EB074}"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DAD-490F-B3EB-0759A33E88B9}"/>
                </c:ext>
              </c:extLst>
            </c:dLbl>
            <c:dLbl>
              <c:idx val="1"/>
              <c:tx>
                <c:rich>
                  <a:bodyPr/>
                  <a:lstStyle/>
                  <a:p>
                    <a:fld id="{6BE39BD9-0DC7-400D-8529-ADEB11EA3CD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DAD-490F-B3EB-0759A33E88B9}"/>
                </c:ext>
              </c:extLst>
            </c:dLbl>
            <c:dLbl>
              <c:idx val="2"/>
              <c:tx>
                <c:rich>
                  <a:bodyPr/>
                  <a:lstStyle/>
                  <a:p>
                    <a:fld id="{947C90B7-FDF2-42E7-B6DA-3A32A0DE70C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DAD-490F-B3EB-0759A33E88B9}"/>
                </c:ext>
              </c:extLst>
            </c:dLbl>
            <c:dLbl>
              <c:idx val="3"/>
              <c:tx>
                <c:rich>
                  <a:bodyPr/>
                  <a:lstStyle/>
                  <a:p>
                    <a:fld id="{7B731091-6558-4A47-A4BF-F2A5BF6F027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DAD-490F-B3EB-0759A33E88B9}"/>
                </c:ext>
              </c:extLst>
            </c:dLbl>
            <c:dLbl>
              <c:idx val="4"/>
              <c:tx>
                <c:rich>
                  <a:bodyPr/>
                  <a:lstStyle/>
                  <a:p>
                    <a:fld id="{2DEF7546-8FA2-4F98-A014-4D5B8666726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DAD-490F-B3EB-0759A33E88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'PIS-EDAD'!$AN$108:$AN$114</c15:sqref>
                  </c15:fullRef>
                </c:ext>
              </c:extLst>
              <c:f>'PIS-EDAD'!$AN$108:$AN$112</c:f>
              <c:strCache>
                <c:ptCount val="5"/>
                <c:pt idx="0">
                  <c:v>C.-LA MANCHA</c:v>
                </c:pt>
                <c:pt idx="1">
                  <c:v>ANDALUCÍA</c:v>
                </c:pt>
                <c:pt idx="2">
                  <c:v>EXTREMADURA</c:v>
                </c:pt>
                <c:pt idx="3">
                  <c:v>CATALUÑA</c:v>
                </c:pt>
                <c:pt idx="4">
                  <c:v>ARAGÓN</c:v>
                </c:pt>
              </c:strCache>
            </c:strRef>
          </c:cat>
          <c:val>
            <c:numRef>
              <c:extLst>
                <c:ext xmlns:c15="http://schemas.microsoft.com/office/drawing/2012/chart" uri="{02D57815-91ED-43cb-92C2-25804820EDAC}">
                  <c15:fullRef>
                    <c15:sqref>'PIS-EDAD'!$AO$108:$AO$114</c15:sqref>
                  </c15:fullRef>
                </c:ext>
              </c:extLst>
              <c:f>'PIS-EDAD'!$AO$108:$AO$112</c:f>
              <c:numCache>
                <c:formatCode>#,##0</c:formatCode>
                <c:ptCount val="5"/>
                <c:pt idx="0">
                  <c:v>5740.67</c:v>
                </c:pt>
                <c:pt idx="1">
                  <c:v>522.54</c:v>
                </c:pt>
                <c:pt idx="2">
                  <c:v>257.77999999999997</c:v>
                </c:pt>
                <c:pt idx="3">
                  <c:v>204.56000000000003</c:v>
                </c:pt>
                <c:pt idx="4">
                  <c:v>202.65</c:v>
                </c:pt>
              </c:numCache>
            </c:numRef>
          </c:val>
          <c:extLst>
            <c:ext xmlns:c15="http://schemas.microsoft.com/office/drawing/2012/chart" uri="{02D57815-91ED-43cb-92C2-25804820EDAC}">
              <c15:datalabelsRange>
                <c15:f>'PIS-EDAD'!$AQ$108:$AQ$114</c15:f>
                <c15:dlblRangeCache>
                  <c:ptCount val="7"/>
                  <c:pt idx="0">
                    <c:v>50%</c:v>
                  </c:pt>
                  <c:pt idx="1">
                    <c:v>38%</c:v>
                  </c:pt>
                  <c:pt idx="2">
                    <c:v>46%</c:v>
                  </c:pt>
                  <c:pt idx="3">
                    <c:v>45%</c:v>
                  </c:pt>
                  <c:pt idx="4">
                    <c:v>41%</c:v>
                  </c:pt>
                  <c:pt idx="5">
                    <c:v>31%</c:v>
                  </c:pt>
                  <c:pt idx="6">
                    <c:v>59%</c:v>
                  </c:pt>
                </c15:dlblRangeCache>
              </c15:datalabelsRange>
            </c:ext>
            <c:ext xmlns:c16="http://schemas.microsoft.com/office/drawing/2014/chart" uri="{C3380CC4-5D6E-409C-BE32-E72D297353CC}">
              <c16:uniqueId val="{00000005-2DAD-490F-B3EB-0759A33E88B9}"/>
            </c:ext>
          </c:extLst>
        </c:ser>
        <c:ser>
          <c:idx val="1"/>
          <c:order val="1"/>
          <c:tx>
            <c:strRef>
              <c:f>'PIS-EDAD'!$AP$107</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extLst>
                <c:ext xmlns:c15="http://schemas.microsoft.com/office/drawing/2012/chart" uri="{02D57815-91ED-43cb-92C2-25804820EDAC}">
                  <c15:fullRef>
                    <c15:sqref>'PIS-EDAD'!$AN$108:$AN$114</c15:sqref>
                  </c15:fullRef>
                </c:ext>
              </c:extLst>
              <c:f>'PIS-EDAD'!$AN$108:$AN$112</c:f>
              <c:strCache>
                <c:ptCount val="5"/>
                <c:pt idx="0">
                  <c:v>C.-LA MANCHA</c:v>
                </c:pt>
                <c:pt idx="1">
                  <c:v>ANDALUCÍA</c:v>
                </c:pt>
                <c:pt idx="2">
                  <c:v>EXTREMADURA</c:v>
                </c:pt>
                <c:pt idx="3">
                  <c:v>CATALUÑA</c:v>
                </c:pt>
                <c:pt idx="4">
                  <c:v>ARAGÓN</c:v>
                </c:pt>
              </c:strCache>
            </c:strRef>
          </c:cat>
          <c:val>
            <c:numRef>
              <c:extLst>
                <c:ext xmlns:c15="http://schemas.microsoft.com/office/drawing/2012/chart" uri="{02D57815-91ED-43cb-92C2-25804820EDAC}">
                  <c15:fullRef>
                    <c15:sqref>'PIS-EDAD'!$AP$108:$AP$114</c15:sqref>
                  </c15:fullRef>
                </c:ext>
              </c:extLst>
              <c:f>'PIS-EDAD'!$AP$108:$AP$112</c:f>
              <c:numCache>
                <c:formatCode>#,##0</c:formatCode>
                <c:ptCount val="5"/>
                <c:pt idx="0">
                  <c:v>11399.79</c:v>
                </c:pt>
                <c:pt idx="1">
                  <c:v>1384.8</c:v>
                </c:pt>
                <c:pt idx="2">
                  <c:v>565.07999999999993</c:v>
                </c:pt>
                <c:pt idx="3">
                  <c:v>457.09000000000003</c:v>
                </c:pt>
                <c:pt idx="4">
                  <c:v>488.41999999999996</c:v>
                </c:pt>
              </c:numCache>
            </c:numRef>
          </c:val>
          <c:extLst>
            <c:ext xmlns:c16="http://schemas.microsoft.com/office/drawing/2014/chart" uri="{C3380CC4-5D6E-409C-BE32-E72D297353CC}">
              <c16:uniqueId val="{00000006-2DAD-490F-B3EB-0759A33E88B9}"/>
            </c:ext>
          </c:extLst>
        </c:ser>
        <c:dLbls>
          <c:showLegendKey val="0"/>
          <c:showVal val="0"/>
          <c:showCatName val="0"/>
          <c:showSerName val="0"/>
          <c:showPercent val="0"/>
          <c:showBubbleSize val="0"/>
        </c:dLbls>
        <c:gapWidth val="100"/>
        <c:axId val="142835824"/>
        <c:axId val="142821680"/>
      </c:barChart>
      <c:catAx>
        <c:axId val="14283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1680"/>
        <c:crosses val="autoZero"/>
        <c:auto val="1"/>
        <c:lblAlgn val="ctr"/>
        <c:lblOffset val="100"/>
        <c:noMultiLvlLbl val="0"/>
      </c:catAx>
      <c:valAx>
        <c:axId val="1428216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5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Pistacho Regadío Total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rgbClr val="F1A78A"/>
            </a:solidFill>
            <a:ln>
              <a:noFill/>
            </a:ln>
            <a:effectLst/>
          </c:spPr>
          <c:invertIfNegative val="0"/>
          <c:dPt>
            <c:idx val="9"/>
            <c:invertIfNegative val="0"/>
            <c:bubble3D val="0"/>
            <c:spPr>
              <a:solidFill>
                <a:srgbClr val="C0504D"/>
              </a:solidFill>
              <a:ln>
                <a:noFill/>
              </a:ln>
              <a:effectLst/>
            </c:spPr>
            <c:extLst>
              <c:ext xmlns:c16="http://schemas.microsoft.com/office/drawing/2014/chart" uri="{C3380CC4-5D6E-409C-BE32-E72D297353CC}">
                <c16:uniqueId val="{00000001-5EE9-438F-8D94-E95F2E87DCC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'PIS-EDAD'!$A$148:$A$160</c15:sqref>
                  </c15:fullRef>
                </c:ext>
              </c:extLst>
              <c:f>('PIS-EDAD'!$A$148:$A$150,'PIS-EDAD'!$A$152,'PIS-EDAD'!$A$155:$A$160)</c:f>
              <c:strCache>
                <c:ptCount val="10"/>
                <c:pt idx="0">
                  <c:v>ANDALUCÍA</c:v>
                </c:pt>
                <c:pt idx="1">
                  <c:v>ARAGÓN</c:v>
                </c:pt>
                <c:pt idx="2">
                  <c:v>C. VALENCIANA</c:v>
                </c:pt>
                <c:pt idx="3">
                  <c:v>C.-LA MANCHA</c:v>
                </c:pt>
                <c:pt idx="4">
                  <c:v>EXTREMADURA</c:v>
                </c:pt>
                <c:pt idx="5">
                  <c:v>LA RIOJA</c:v>
                </c:pt>
                <c:pt idx="6">
                  <c:v>MADRID</c:v>
                </c:pt>
                <c:pt idx="7">
                  <c:v>MURCIA</c:v>
                </c:pt>
                <c:pt idx="8">
                  <c:v>NAVARRA</c:v>
                </c:pt>
                <c:pt idx="9">
                  <c:v>ESPAÑA</c:v>
                </c:pt>
              </c:strCache>
            </c:strRef>
          </c:cat>
          <c:val>
            <c:numRef>
              <c:extLst>
                <c:ext xmlns:c15="http://schemas.microsoft.com/office/drawing/2012/chart" uri="{02D57815-91ED-43cb-92C2-25804820EDAC}">
                  <c15:fullRef>
                    <c15:sqref>'PIS-EDAD'!$Y$148:$Y$160</c15:sqref>
                  </c15:fullRef>
                </c:ext>
              </c:extLst>
              <c:f>('PIS-EDAD'!$Y$148:$Y$150,'PIS-EDAD'!$Y$152,'PIS-EDAD'!$Y$155:$Y$160)</c:f>
              <c:numCache>
                <c:formatCode>0.00%</c:formatCode>
                <c:ptCount val="10"/>
                <c:pt idx="0">
                  <c:v>3.4655037976145784E-4</c:v>
                </c:pt>
                <c:pt idx="1">
                  <c:v>8.1896728225707381E-4</c:v>
                </c:pt>
                <c:pt idx="2">
                  <c:v>2.2753128555176336E-4</c:v>
                </c:pt>
                <c:pt idx="3">
                  <c:v>3.8860364971635445E-4</c:v>
                </c:pt>
                <c:pt idx="4">
                  <c:v>4.7780845190061586E-4</c:v>
                </c:pt>
                <c:pt idx="5">
                  <c:v>4.7343503419253032E-3</c:v>
                </c:pt>
                <c:pt idx="6">
                  <c:v>1.1093361732339368E-3</c:v>
                </c:pt>
                <c:pt idx="7">
                  <c:v>3.0254935026287079E-3</c:v>
                </c:pt>
                <c:pt idx="8">
                  <c:v>2.1659446851049649E-3</c:v>
                </c:pt>
                <c:pt idx="9">
                  <c:v>4.6558716105030823E-4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2822224"/>
        <c:axId val="142847792"/>
      </c:barChart>
      <c:catAx>
        <c:axId val="14282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7792"/>
        <c:crosses val="autoZero"/>
        <c:auto val="1"/>
        <c:lblAlgn val="ctr"/>
        <c:lblOffset val="100"/>
        <c:noMultiLvlLbl val="0"/>
      </c:catAx>
      <c:valAx>
        <c:axId val="14284779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a:t>
            </a:r>
            <a:r>
              <a:rPr lang="es-ES" b="1" baseline="0">
                <a:solidFill>
                  <a:sysClr val="windowText" lastClr="000000"/>
                </a:solidFill>
              </a:rPr>
              <a:t> </a:t>
            </a:r>
            <a:r>
              <a:rPr lang="es-ES" b="1">
                <a:solidFill>
                  <a:sysClr val="windowText" lastClr="000000"/>
                </a:solidFill>
              </a:rPr>
              <a:t>Secano</a:t>
            </a:r>
            <a:r>
              <a:rPr lang="es-ES" b="1" baseline="0">
                <a:solidFill>
                  <a:sysClr val="windowText" lastClr="000000"/>
                </a:solidFill>
              </a:rPr>
              <a:t> Convencional vs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4651251837199745"/>
          <c:y val="2.62475319942332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'PIS-EDAD'!$C$220:$X$220</c:f>
              <c:numCache>
                <c:formatCode>#,##0</c:formatCode>
                <c:ptCount val="22"/>
                <c:pt idx="0">
                  <c:v>175.21999999999997</c:v>
                </c:pt>
                <c:pt idx="1">
                  <c:v>40.490000000000009</c:v>
                </c:pt>
                <c:pt idx="2">
                  <c:v>59.64</c:v>
                </c:pt>
                <c:pt idx="3">
                  <c:v>78.170000000000016</c:v>
                </c:pt>
                <c:pt idx="4">
                  <c:v>93.210000000000008</c:v>
                </c:pt>
                <c:pt idx="5">
                  <c:v>124.83999999999999</c:v>
                </c:pt>
                <c:pt idx="6">
                  <c:v>154.70999999999998</c:v>
                </c:pt>
                <c:pt idx="7">
                  <c:v>120.04999999999998</c:v>
                </c:pt>
                <c:pt idx="8">
                  <c:v>68.87</c:v>
                </c:pt>
                <c:pt idx="9">
                  <c:v>159.62</c:v>
                </c:pt>
                <c:pt idx="10">
                  <c:v>298.96999999999997</c:v>
                </c:pt>
                <c:pt idx="11">
                  <c:v>197.32</c:v>
                </c:pt>
                <c:pt idx="12">
                  <c:v>370.56</c:v>
                </c:pt>
                <c:pt idx="13">
                  <c:v>433.89000000000004</c:v>
                </c:pt>
                <c:pt idx="14">
                  <c:v>846.1400000000001</c:v>
                </c:pt>
                <c:pt idx="15">
                  <c:v>2108.75</c:v>
                </c:pt>
                <c:pt idx="16">
                  <c:v>2203.04</c:v>
                </c:pt>
                <c:pt idx="17">
                  <c:v>3270.7400000000007</c:v>
                </c:pt>
                <c:pt idx="18">
                  <c:v>5587.94</c:v>
                </c:pt>
                <c:pt idx="19">
                  <c:v>6162.9700000000021</c:v>
                </c:pt>
                <c:pt idx="20">
                  <c:v>6192.5199999999986</c:v>
                </c:pt>
                <c:pt idx="21">
                  <c:v>4475.55</c:v>
                </c:pt>
              </c:numCache>
            </c:numRef>
          </c:val>
          <c:extLst>
            <c:ext xmlns:c16="http://schemas.microsoft.com/office/drawing/2014/chart" uri="{C3380CC4-5D6E-409C-BE32-E72D297353CC}">
              <c16:uniqueId val="{00000004-F7CB-4D35-BAC1-0C92352F3F52}"/>
            </c:ext>
          </c:extLst>
        </c:ser>
        <c:ser>
          <c:idx val="0"/>
          <c:order val="1"/>
          <c:tx>
            <c:v>Ecológico</c:v>
          </c:tx>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'PIS-EDAD'!$C$373:$X$373</c:f>
              <c:numCache>
                <c:formatCode>#,##0</c:formatCode>
                <c:ptCount val="22"/>
                <c:pt idx="0">
                  <c:v>118.16000000000003</c:v>
                </c:pt>
                <c:pt idx="1">
                  <c:v>63.04</c:v>
                </c:pt>
                <c:pt idx="2">
                  <c:v>55.430000000000007</c:v>
                </c:pt>
                <c:pt idx="3">
                  <c:v>31.03</c:v>
                </c:pt>
                <c:pt idx="4">
                  <c:v>76.48</c:v>
                </c:pt>
                <c:pt idx="5">
                  <c:v>36.429999999999993</c:v>
                </c:pt>
                <c:pt idx="6">
                  <c:v>82.32</c:v>
                </c:pt>
                <c:pt idx="7">
                  <c:v>49.31</c:v>
                </c:pt>
                <c:pt idx="8">
                  <c:v>59.21</c:v>
                </c:pt>
                <c:pt idx="9">
                  <c:v>120.81</c:v>
                </c:pt>
                <c:pt idx="10">
                  <c:v>140.30000000000001</c:v>
                </c:pt>
                <c:pt idx="11">
                  <c:v>220.43</c:v>
                </c:pt>
                <c:pt idx="12">
                  <c:v>185.78999999999996</c:v>
                </c:pt>
                <c:pt idx="13">
                  <c:v>294.12</c:v>
                </c:pt>
                <c:pt idx="14">
                  <c:v>349.71999999999997</c:v>
                </c:pt>
                <c:pt idx="15">
                  <c:v>818.76000000000022</c:v>
                </c:pt>
                <c:pt idx="16">
                  <c:v>1202.5500000000002</c:v>
                </c:pt>
                <c:pt idx="17">
                  <c:v>1390.71</c:v>
                </c:pt>
                <c:pt idx="18">
                  <c:v>1512.0000000000002</c:v>
                </c:pt>
                <c:pt idx="19">
                  <c:v>1374.9300000000003</c:v>
                </c:pt>
                <c:pt idx="20">
                  <c:v>1132.44</c:v>
                </c:pt>
                <c:pt idx="21">
                  <c:v>1039.71</c:v>
                </c:pt>
              </c:numCache>
            </c:numRef>
          </c:val>
          <c:extLst>
            <c:ext xmlns:c16="http://schemas.microsoft.com/office/drawing/2014/chart" uri="{C3380CC4-5D6E-409C-BE32-E72D297353CC}">
              <c16:uniqueId val="{00000003-F7CB-4D35-BAC1-0C92352F3F52}"/>
            </c:ext>
          </c:extLst>
        </c:ser>
        <c:dLbls>
          <c:showLegendKey val="0"/>
          <c:showVal val="0"/>
          <c:showCatName val="0"/>
          <c:showSerName val="0"/>
          <c:showPercent val="0"/>
          <c:showBubbleSize val="0"/>
        </c:dLbls>
        <c:gapWidth val="219"/>
        <c:overlap val="-27"/>
        <c:axId val="105936784"/>
        <c:axId val="105937872"/>
      </c:barChart>
      <c:catAx>
        <c:axId val="1059367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7872"/>
        <c:crosses val="autoZero"/>
        <c:auto val="1"/>
        <c:lblAlgn val="ctr"/>
        <c:lblOffset val="100"/>
        <c:noMultiLvlLbl val="0"/>
      </c:catAx>
      <c:valAx>
        <c:axId val="10593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a:t>
            </a:r>
            <a:r>
              <a:rPr lang="es-ES" b="1" baseline="0">
                <a:solidFill>
                  <a:sysClr val="windowText" lastClr="000000"/>
                </a:solidFill>
              </a:rPr>
              <a:t> </a:t>
            </a:r>
            <a:r>
              <a:rPr lang="es-ES" b="1">
                <a:solidFill>
                  <a:sysClr val="windowText" lastClr="000000"/>
                </a:solidFill>
              </a:rPr>
              <a:t>Regadío Convencional vs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'PIS-EDAD'!$C$295:$X$295</c:f>
              <c:numCache>
                <c:formatCode>#,##0</c:formatCode>
                <c:ptCount val="22"/>
                <c:pt idx="0">
                  <c:v>122.62</c:v>
                </c:pt>
                <c:pt idx="1">
                  <c:v>39.31</c:v>
                </c:pt>
                <c:pt idx="2">
                  <c:v>4.16</c:v>
                </c:pt>
                <c:pt idx="3">
                  <c:v>69.12</c:v>
                </c:pt>
                <c:pt idx="4">
                  <c:v>23.84</c:v>
                </c:pt>
                <c:pt idx="5">
                  <c:v>29.73</c:v>
                </c:pt>
                <c:pt idx="6">
                  <c:v>13.920000000000002</c:v>
                </c:pt>
                <c:pt idx="7">
                  <c:v>36.059999999999995</c:v>
                </c:pt>
                <c:pt idx="8">
                  <c:v>55.49</c:v>
                </c:pt>
                <c:pt idx="9">
                  <c:v>55.849999999999994</c:v>
                </c:pt>
                <c:pt idx="10">
                  <c:v>50.730000000000004</c:v>
                </c:pt>
                <c:pt idx="11">
                  <c:v>76.25</c:v>
                </c:pt>
                <c:pt idx="12">
                  <c:v>104.9</c:v>
                </c:pt>
                <c:pt idx="13">
                  <c:v>183.04</c:v>
                </c:pt>
                <c:pt idx="14">
                  <c:v>278.79999999999995</c:v>
                </c:pt>
                <c:pt idx="15">
                  <c:v>619.85000000000014</c:v>
                </c:pt>
                <c:pt idx="16">
                  <c:v>637.87000000000012</c:v>
                </c:pt>
                <c:pt idx="17">
                  <c:v>1235.3000000000004</c:v>
                </c:pt>
                <c:pt idx="18">
                  <c:v>1994.19</c:v>
                </c:pt>
                <c:pt idx="19">
                  <c:v>1878.75</c:v>
                </c:pt>
                <c:pt idx="20">
                  <c:v>2478.61</c:v>
                </c:pt>
                <c:pt idx="21">
                  <c:v>1942.0000000000002</c:v>
                </c:pt>
              </c:numCache>
            </c:numRef>
          </c:val>
          <c:extLst>
            <c:ext xmlns:c16="http://schemas.microsoft.com/office/drawing/2014/chart" uri="{C3380CC4-5D6E-409C-BE32-E72D297353CC}">
              <c16:uniqueId val="{00000004-DDEC-4602-9364-2DFAAE62F359}"/>
            </c:ext>
          </c:extLst>
        </c:ser>
        <c:ser>
          <c:idx val="0"/>
          <c:order val="1"/>
          <c:spPr>
            <a:solidFill>
              <a:srgbClr val="00FFCC"/>
            </a:solidFill>
            <a:ln>
              <a:solidFill>
                <a:schemeClr val="tx1"/>
              </a:solidFill>
            </a:ln>
            <a:effectLst/>
          </c:spPr>
          <c:invertIfNegative val="0"/>
          <c:cat>
            <c:numRef>
              <c:f>'PIS-EDAD'!$C$394:$X$394</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'PIS-EDAD'!$C$446:$X$446</c:f>
              <c:numCache>
                <c:formatCode>#,##0</c:formatCode>
                <c:ptCount val="22"/>
                <c:pt idx="0">
                  <c:v>66.41</c:v>
                </c:pt>
                <c:pt idx="1">
                  <c:v>0</c:v>
                </c:pt>
                <c:pt idx="2">
                  <c:v>9.58</c:v>
                </c:pt>
                <c:pt idx="3">
                  <c:v>23.14</c:v>
                </c:pt>
                <c:pt idx="4">
                  <c:v>56.329999999999991</c:v>
                </c:pt>
                <c:pt idx="5">
                  <c:v>34.119999999999997</c:v>
                </c:pt>
                <c:pt idx="6">
                  <c:v>35.440000000000005</c:v>
                </c:pt>
                <c:pt idx="7">
                  <c:v>6.8000000000000007</c:v>
                </c:pt>
                <c:pt idx="8">
                  <c:v>15.86</c:v>
                </c:pt>
                <c:pt idx="9">
                  <c:v>83.26</c:v>
                </c:pt>
                <c:pt idx="10">
                  <c:v>100.85999999999999</c:v>
                </c:pt>
                <c:pt idx="11">
                  <c:v>42.1</c:v>
                </c:pt>
                <c:pt idx="12">
                  <c:v>82.44</c:v>
                </c:pt>
                <c:pt idx="13">
                  <c:v>95.21</c:v>
                </c:pt>
                <c:pt idx="14">
                  <c:v>223.6</c:v>
                </c:pt>
                <c:pt idx="15">
                  <c:v>460.03</c:v>
                </c:pt>
                <c:pt idx="16">
                  <c:v>267.07000000000005</c:v>
                </c:pt>
                <c:pt idx="17">
                  <c:v>315.77</c:v>
                </c:pt>
                <c:pt idx="18">
                  <c:v>437.73999999999995</c:v>
                </c:pt>
                <c:pt idx="19">
                  <c:v>417.73</c:v>
                </c:pt>
                <c:pt idx="20">
                  <c:v>294.28999999999991</c:v>
                </c:pt>
                <c:pt idx="21">
                  <c:v>308.73</c:v>
                </c:pt>
              </c:numCache>
            </c:numRef>
          </c:val>
          <c:extLst>
            <c:ext xmlns:c16="http://schemas.microsoft.com/office/drawing/2014/chart" uri="{C3380CC4-5D6E-409C-BE32-E72D297353CC}">
              <c16:uniqueId val="{00000003-DDEC-4602-9364-2DFAAE62F359}"/>
            </c:ext>
          </c:extLst>
        </c:ser>
        <c:dLbls>
          <c:showLegendKey val="0"/>
          <c:showVal val="0"/>
          <c:showCatName val="0"/>
          <c:showSerName val="0"/>
          <c:showPercent val="0"/>
          <c:showBubbleSize val="0"/>
        </c:dLbls>
        <c:gapWidth val="219"/>
        <c:overlap val="-27"/>
        <c:axId val="105931344"/>
        <c:axId val="105916656"/>
      </c:barChart>
      <c:catAx>
        <c:axId val="1059313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6656"/>
        <c:crosses val="autoZero"/>
        <c:auto val="1"/>
        <c:lblAlgn val="ctr"/>
        <c:lblOffset val="100"/>
        <c:noMultiLvlLbl val="0"/>
      </c:catAx>
      <c:valAx>
        <c:axId val="10591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1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Regadío </a:t>
            </a:r>
            <a:r>
              <a:rPr lang="es-ES" baseline="0"/>
              <a:t>Convencional: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1"/>
            <c:invertIfNegative val="0"/>
            <c:bubble3D val="0"/>
            <c:spPr>
              <a:solidFill>
                <a:srgbClr val="C0504D"/>
              </a:solidFill>
              <a:ln>
                <a:noFill/>
              </a:ln>
              <a:effectLst/>
            </c:spPr>
            <c:extLst>
              <c:ext xmlns:c16="http://schemas.microsoft.com/office/drawing/2014/chart" uri="{C3380CC4-5D6E-409C-BE32-E72D297353CC}">
                <c16:uniqueId val="{00000001-7444-48E2-8578-122583FACDB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'ALM-EDAD'!$A$300:$A$312</c15:sqref>
                  </c15:fullRef>
                </c:ext>
              </c:extLst>
              <c:f>('ALM-EDAD'!$A$300:$A$302,'ALM-EDAD'!$A$304:$A$312)</c:f>
              <c:strCache>
                <c:ptCount val="12"/>
                <c:pt idx="0">
                  <c:v>ANDALUCÍA</c:v>
                </c:pt>
                <c:pt idx="1">
                  <c:v>ARAGÓN</c:v>
                </c:pt>
                <c:pt idx="2">
                  <c:v>C. VALENCIANA</c:v>
                </c:pt>
                <c:pt idx="3">
                  <c:v>C.-LA MANCHA</c:v>
                </c:pt>
                <c:pt idx="4">
                  <c:v>C. y LEÓN</c:v>
                </c:pt>
                <c:pt idx="5">
                  <c:v>ISLAS BALEARES</c:v>
                </c:pt>
                <c:pt idx="6">
                  <c:v>EXTREMADURA</c:v>
                </c:pt>
                <c:pt idx="7">
                  <c:v>LA RIOJA</c:v>
                </c:pt>
                <c:pt idx="8">
                  <c:v>MADRID</c:v>
                </c:pt>
                <c:pt idx="9">
                  <c:v>MURCIA</c:v>
                </c:pt>
                <c:pt idx="10">
                  <c:v>NAVARRA</c:v>
                </c:pt>
                <c:pt idx="11">
                  <c:v>ESPAÑA</c:v>
                </c:pt>
              </c:strCache>
            </c:strRef>
          </c:cat>
          <c:val>
            <c:numRef>
              <c:extLst>
                <c:ext xmlns:c15="http://schemas.microsoft.com/office/drawing/2012/chart" uri="{02D57815-91ED-43cb-92C2-25804820EDAC}">
                  <c15:fullRef>
                    <c15:sqref>'ALM-EDAD'!$Y$300:$Y$312</c15:sqref>
                  </c15:fullRef>
                </c:ext>
              </c:extLst>
              <c:f>('ALM-EDAD'!$Y$300:$Y$302,'ALM-EDAD'!$Y$304:$Y$312)</c:f>
              <c:numCache>
                <c:formatCode>0.0%</c:formatCode>
                <c:ptCount val="12"/>
                <c:pt idx="0" formatCode="0.00%">
                  <c:v>4.0999128274450556E-4</c:v>
                </c:pt>
                <c:pt idx="1">
                  <c:v>8.9903363468851305E-4</c:v>
                </c:pt>
                <c:pt idx="2">
                  <c:v>2.076130549025031E-3</c:v>
                </c:pt>
                <c:pt idx="3" formatCode="0.00%">
                  <c:v>3.8338387982200941E-4</c:v>
                </c:pt>
                <c:pt idx="4">
                  <c:v>1.5499917941610897E-3</c:v>
                </c:pt>
                <c:pt idx="5" formatCode="0.00%">
                  <c:v>3.5058052009651265E-4</c:v>
                </c:pt>
                <c:pt idx="6" formatCode="0.00%">
                  <c:v>3.491186881895702E-4</c:v>
                </c:pt>
                <c:pt idx="7">
                  <c:v>6.484467832286539E-3</c:v>
                </c:pt>
                <c:pt idx="8">
                  <c:v>1.0612244897959184E-3</c:v>
                </c:pt>
                <c:pt idx="9">
                  <c:v>2.3917820442331574E-3</c:v>
                </c:pt>
                <c:pt idx="10">
                  <c:v>2.102670740349206E-3</c:v>
                </c:pt>
                <c:pt idx="11">
                  <c:v>7.5045901547475199E-4</c:v>
                </c:pt>
              </c:numCache>
            </c:numRef>
          </c:val>
          <c:extLst>
            <c:ext xmlns:c16="http://schemas.microsoft.com/office/drawing/2014/chart" uri="{C3380CC4-5D6E-409C-BE32-E72D297353CC}">
              <c16:uniqueId val="{00000002-7444-48E2-8578-122583FACDBB}"/>
            </c:ext>
          </c:extLst>
        </c:ser>
        <c:dLbls>
          <c:dLblPos val="outEnd"/>
          <c:showLegendKey val="0"/>
          <c:showVal val="1"/>
          <c:showCatName val="0"/>
          <c:showSerName val="0"/>
          <c:showPercent val="0"/>
          <c:showBubbleSize val="0"/>
        </c:dLbls>
        <c:gapWidth val="182"/>
        <c:axId val="105932432"/>
        <c:axId val="105926448"/>
      </c:barChart>
      <c:catAx>
        <c:axId val="105932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6448"/>
        <c:crosses val="autoZero"/>
        <c:auto val="1"/>
        <c:lblAlgn val="ctr"/>
        <c:lblOffset val="100"/>
        <c:noMultiLvlLbl val="0"/>
      </c:catAx>
      <c:valAx>
        <c:axId val="10592644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Regadío Total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1"/>
            <c:invertIfNegative val="0"/>
            <c:bubble3D val="0"/>
            <c:spPr>
              <a:solidFill>
                <a:srgbClr val="C0504D"/>
              </a:solidFill>
              <a:ln>
                <a:noFill/>
              </a:ln>
              <a:effectLst/>
            </c:spPr>
            <c:extLst>
              <c:ext xmlns:c16="http://schemas.microsoft.com/office/drawing/2014/chart" uri="{C3380CC4-5D6E-409C-BE32-E72D297353CC}">
                <c16:uniqueId val="{00000001-573A-44C6-A78A-46BBD8A767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'ALM-EDAD'!$A$148:$A$160</c15:sqref>
                  </c15:fullRef>
                </c:ext>
              </c:extLst>
              <c:f>('ALM-EDAD'!$A$148:$A$150,'ALM-EDAD'!$A$152:$A$160)</c:f>
              <c:strCache>
                <c:ptCount val="12"/>
                <c:pt idx="0">
                  <c:v>ANDALUCÍA</c:v>
                </c:pt>
                <c:pt idx="1">
                  <c:v>ARAGÓN</c:v>
                </c:pt>
                <c:pt idx="2">
                  <c:v>C. VALENCIANA</c:v>
                </c:pt>
                <c:pt idx="3">
                  <c:v>C.-LA MANCHA</c:v>
                </c:pt>
                <c:pt idx="4">
                  <c:v>C. y LEÓN</c:v>
                </c:pt>
                <c:pt idx="5">
                  <c:v>ISLAS BALEARES</c:v>
                </c:pt>
                <c:pt idx="6">
                  <c:v>EXTREMADURA</c:v>
                </c:pt>
                <c:pt idx="7">
                  <c:v>LA RIOJA</c:v>
                </c:pt>
                <c:pt idx="8">
                  <c:v>MADRID</c:v>
                </c:pt>
                <c:pt idx="9">
                  <c:v>MURCIA</c:v>
                </c:pt>
                <c:pt idx="10">
                  <c:v>NAVARRA</c:v>
                </c:pt>
                <c:pt idx="11">
                  <c:v>ESPAÑA</c:v>
                </c:pt>
              </c:strCache>
            </c:strRef>
          </c:cat>
          <c:val>
            <c:numRef>
              <c:extLst>
                <c:ext xmlns:c15="http://schemas.microsoft.com/office/drawing/2012/chart" uri="{02D57815-91ED-43cb-92C2-25804820EDAC}">
                  <c15:fullRef>
                    <c15:sqref>'ALM-EDAD'!$Y$148:$Y$160</c15:sqref>
                  </c15:fullRef>
                </c:ext>
              </c:extLst>
              <c:f>('ALM-EDAD'!$Y$148:$Y$150,'ALM-EDAD'!$Y$152:$Y$160)</c:f>
              <c:numCache>
                <c:formatCode>0.0%</c:formatCode>
                <c:ptCount val="12"/>
                <c:pt idx="0" formatCode="0.00%">
                  <c:v>4.0813055047930508E-4</c:v>
                </c:pt>
                <c:pt idx="1">
                  <c:v>8.9796907026124439E-4</c:v>
                </c:pt>
                <c:pt idx="2">
                  <c:v>1.5701484969052951E-3</c:v>
                </c:pt>
                <c:pt idx="3">
                  <c:v>5.2542925074343394E-4</c:v>
                </c:pt>
                <c:pt idx="4">
                  <c:v>1.2346216973869594E-3</c:v>
                </c:pt>
                <c:pt idx="5" formatCode="0.00%">
                  <c:v>4.3159257660768224E-4</c:v>
                </c:pt>
                <c:pt idx="6" formatCode="0.00%">
                  <c:v>3.4899636925472116E-4</c:v>
                </c:pt>
                <c:pt idx="7">
                  <c:v>6.4731865475208712E-3</c:v>
                </c:pt>
                <c:pt idx="8">
                  <c:v>9.7825269019489818E-4</c:v>
                </c:pt>
                <c:pt idx="9">
                  <c:v>2.0336455031766741E-3</c:v>
                </c:pt>
                <c:pt idx="10">
                  <c:v>1.951122026642545E-3</c:v>
                </c:pt>
                <c:pt idx="11">
                  <c:v>7.4743892763608482E-4</c:v>
                </c:pt>
              </c:numCache>
            </c:numRef>
          </c:val>
          <c:extLst>
            <c:ext xmlns:c16="http://schemas.microsoft.com/office/drawing/2014/chart" uri="{C3380CC4-5D6E-409C-BE32-E72D297353CC}">
              <c16:uniqueId val="{00000002-573A-44C6-A78A-46BBD8A767C0}"/>
            </c:ext>
          </c:extLst>
        </c:ser>
        <c:dLbls>
          <c:dLblPos val="outEnd"/>
          <c:showLegendKey val="0"/>
          <c:showVal val="1"/>
          <c:showCatName val="0"/>
          <c:showSerName val="0"/>
          <c:showPercent val="0"/>
          <c:showBubbleSize val="0"/>
        </c:dLbls>
        <c:gapWidth val="182"/>
        <c:axId val="105926992"/>
        <c:axId val="105935696"/>
      </c:barChart>
      <c:catAx>
        <c:axId val="105926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5696"/>
        <c:crosses val="autoZero"/>
        <c:auto val="1"/>
        <c:lblAlgn val="ctr"/>
        <c:lblOffset val="100"/>
        <c:noMultiLvlLbl val="0"/>
      </c:catAx>
      <c:valAx>
        <c:axId val="10593569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sz="1800" b="1"/>
              <a:t>Pistacho: </a:t>
            </a:r>
            <a:r>
              <a:rPr lang="en-US" sz="1800"/>
              <a:t>Nuevas Plantaciones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ES"/>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996633"/>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1-57CA-4391-94B6-8D90E8EC121A}"/>
              </c:ext>
            </c:extLst>
          </c:dPt>
          <c:dPt>
            <c:idx val="1"/>
            <c:invertIfNegative val="0"/>
            <c:bubble3D val="0"/>
            <c:spPr>
              <a:solidFill>
                <a:schemeClr val="accent1">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57CA-4391-94B6-8D90E8EC121A}"/>
              </c:ext>
            </c:extLst>
          </c:dPt>
          <c:dPt>
            <c:idx val="2"/>
            <c:invertIfNegative val="0"/>
            <c:bubble3D val="0"/>
            <c:spPr>
              <a:solidFill>
                <a:schemeClr val="accent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57CA-4391-94B6-8D90E8EC121A}"/>
              </c:ext>
            </c:extLst>
          </c:dPt>
          <c:dPt>
            <c:idx val="3"/>
            <c:invertIfNegative val="0"/>
            <c:bubble3D val="0"/>
            <c:spPr>
              <a:solidFill>
                <a:srgbClr val="00FFCC"/>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7-57CA-4391-94B6-8D90E8EC121A}"/>
              </c:ext>
            </c:extLst>
          </c:dPt>
          <c:dLbls>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7-57CA-4391-94B6-8D90E8EC121A}"/>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'PIS-EDAD'!$H$471:$I$474</c:f>
              <c:multiLvlStrCache>
                <c:ptCount val="4"/>
                <c:lvl>
                  <c:pt idx="0">
                    <c:v>SECANO</c:v>
                  </c:pt>
                  <c:pt idx="1">
                    <c:v>REGADÍO</c:v>
                  </c:pt>
                  <c:pt idx="2">
                    <c:v>SECANO </c:v>
                  </c:pt>
                  <c:pt idx="3">
                    <c:v>REGADÍO</c:v>
                  </c:pt>
                </c:lvl>
                <c:lvl>
                  <c:pt idx="0">
                    <c:v>CONVENCIONAL</c:v>
                  </c:pt>
                  <c:pt idx="2">
                    <c:v>ECOLÓGICO</c:v>
                  </c:pt>
                </c:lvl>
              </c:multiLvlStrCache>
            </c:multiLvlStrRef>
          </c:cat>
          <c:val>
            <c:numRef>
              <c:f>'PIS-EDAD'!$J$471:$J$474</c:f>
              <c:numCache>
                <c:formatCode>0%</c:formatCode>
                <c:ptCount val="4"/>
                <c:pt idx="0">
                  <c:v>0.66767010354718115</c:v>
                </c:pt>
                <c:pt idx="1">
                  <c:v>0.51493377932764073</c:v>
                </c:pt>
                <c:pt idx="2">
                  <c:v>0.48440385946669501</c:v>
                </c:pt>
                <c:pt idx="3">
                  <c:v>0.29999559154163785</c:v>
                </c:pt>
              </c:numCache>
            </c:numRef>
          </c:val>
          <c:extLst>
            <c:ext xmlns:c16="http://schemas.microsoft.com/office/drawing/2014/chart" uri="{C3380CC4-5D6E-409C-BE32-E72D297353CC}">
              <c16:uniqueId val="{00000008-57CA-4391-94B6-8D90E8EC121A}"/>
            </c:ext>
          </c:extLst>
        </c:ser>
        <c:dLbls>
          <c:dLblPos val="inEnd"/>
          <c:showLegendKey val="0"/>
          <c:showVal val="1"/>
          <c:showCatName val="0"/>
          <c:showSerName val="0"/>
          <c:showPercent val="0"/>
          <c:showBubbleSize val="0"/>
        </c:dLbls>
        <c:gapWidth val="41"/>
        <c:axId val="1449655487"/>
        <c:axId val="1449638847"/>
      </c:barChart>
      <c:catAx>
        <c:axId val="14496554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dk1">
                    <a:lumMod val="65000"/>
                    <a:lumOff val="35000"/>
                  </a:schemeClr>
                </a:solidFill>
                <a:effectLst/>
                <a:latin typeface="+mn-lt"/>
                <a:ea typeface="+mn-ea"/>
                <a:cs typeface="+mn-cs"/>
              </a:defRPr>
            </a:pPr>
            <a:endParaRPr lang="es-ES"/>
          </a:p>
        </c:txPr>
        <c:crossAx val="1449638847"/>
        <c:crosses val="autoZero"/>
        <c:auto val="1"/>
        <c:lblAlgn val="ctr"/>
        <c:lblOffset val="100"/>
        <c:noMultiLvlLbl val="0"/>
      </c:catAx>
      <c:valAx>
        <c:axId val="1449638847"/>
        <c:scaling>
          <c:orientation val="minMax"/>
        </c:scaling>
        <c:delete val="1"/>
        <c:axPos val="l"/>
        <c:numFmt formatCode="0%" sourceLinked="1"/>
        <c:majorTickMark val="none"/>
        <c:minorTickMark val="none"/>
        <c:tickLblPos val="nextTo"/>
        <c:crossAx val="14496554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Pistacho: </a:t>
            </a:r>
            <a:r>
              <a:rPr lang="en-US" sz="1800" b="0" i="0" u="none" strike="noStrike" kern="1200" baseline="0">
                <a:solidFill>
                  <a:sysClr val="windowText" lastClr="000000">
                    <a:lumMod val="65000"/>
                    <a:lumOff val="35000"/>
                  </a:sysClr>
                </a:solidFill>
                <a:effectLst/>
                <a:latin typeface="+mn-lt"/>
                <a:ea typeface="+mn-ea"/>
                <a:cs typeface="+mn-cs"/>
              </a:rPr>
              <a:t>Nuevas</a:t>
            </a:r>
            <a:r>
              <a:rPr lang="en-US" b="0"/>
              <a:t> plantaciones por regiones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S"/>
        </a:p>
      </c:txPr>
    </c:title>
    <c:autoTitleDeleted val="0"/>
    <c:plotArea>
      <c:layout/>
      <c:barChart>
        <c:barDir val="col"/>
        <c:grouping val="clustered"/>
        <c:varyColors val="0"/>
        <c:ser>
          <c:idx val="0"/>
          <c:order val="0"/>
          <c:tx>
            <c:strRef>
              <c:f>'PIS-EDAD'!$D$498:$E$498</c:f>
              <c:strCache>
                <c:ptCount val="2"/>
                <c:pt idx="0">
                  <c:v>CONVENCIONAL</c:v>
                </c:pt>
                <c:pt idx="1">
                  <c:v>SECANO</c:v>
                </c:pt>
              </c:strCache>
            </c:strRef>
          </c:tx>
          <c:spPr>
            <a:solidFill>
              <a:srgbClr val="996633"/>
            </a:solidFill>
            <a:ln>
              <a:noFill/>
            </a:ln>
            <a:effectLst/>
          </c:spPr>
          <c:invertIfNegative val="0"/>
          <c:cat>
            <c:strRef>
              <c:f>'PIS-EDAD'!$F$496:$J$497</c:f>
              <c:strCache>
                <c:ptCount val="5"/>
                <c:pt idx="0">
                  <c:v>C.-LA MANCHA</c:v>
                </c:pt>
                <c:pt idx="1">
                  <c:v>ANDALUCÍA</c:v>
                </c:pt>
                <c:pt idx="2">
                  <c:v>MURCIA</c:v>
                </c:pt>
                <c:pt idx="3">
                  <c:v>C.y LEÓN</c:v>
                </c:pt>
                <c:pt idx="4">
                  <c:v>EXTREMADURA</c:v>
                </c:pt>
              </c:strCache>
            </c:strRef>
          </c:cat>
          <c:val>
            <c:numRef>
              <c:f>'PIS-EDAD'!$F$498:$J$498</c:f>
              <c:numCache>
                <c:formatCode>0%</c:formatCode>
                <c:ptCount val="5"/>
                <c:pt idx="0">
                  <c:v>0.67763921075245437</c:v>
                </c:pt>
                <c:pt idx="1">
                  <c:v>0.60555229498575369</c:v>
                </c:pt>
                <c:pt idx="2">
                  <c:v>0.74535452322738383</c:v>
                </c:pt>
                <c:pt idx="3">
                  <c:v>0.69171207530055145</c:v>
                </c:pt>
                <c:pt idx="4">
                  <c:v>0.64999755465349451</c:v>
                </c:pt>
              </c:numCache>
            </c:numRef>
          </c:val>
          <c:extLst>
            <c:ext xmlns:c16="http://schemas.microsoft.com/office/drawing/2014/chart" uri="{C3380CC4-5D6E-409C-BE32-E72D297353CC}">
              <c16:uniqueId val="{00000000-9B6C-4F0F-A962-9A3ECA228060}"/>
            </c:ext>
          </c:extLst>
        </c:ser>
        <c:ser>
          <c:idx val="1"/>
          <c:order val="1"/>
          <c:tx>
            <c:strRef>
              <c:f>'PIS-EDAD'!$D$499:$E$499</c:f>
              <c:strCache>
                <c:ptCount val="2"/>
                <c:pt idx="0">
                  <c:v>CONVENCIONAL</c:v>
                </c:pt>
                <c:pt idx="1">
                  <c:v>REGADÍO</c:v>
                </c:pt>
              </c:strCache>
            </c:strRef>
          </c:tx>
          <c:spPr>
            <a:solidFill>
              <a:schemeClr val="accent1">
                <a:lumMod val="75000"/>
              </a:schemeClr>
            </a:solidFill>
            <a:ln>
              <a:noFill/>
            </a:ln>
            <a:effectLst/>
          </c:spPr>
          <c:invertIfNegative val="0"/>
          <c:cat>
            <c:strRef>
              <c:f>'PIS-EDAD'!$F$496:$J$497</c:f>
              <c:strCache>
                <c:ptCount val="5"/>
                <c:pt idx="0">
                  <c:v>C.-LA MANCHA</c:v>
                </c:pt>
                <c:pt idx="1">
                  <c:v>ANDALUCÍA</c:v>
                </c:pt>
                <c:pt idx="2">
                  <c:v>MURCIA</c:v>
                </c:pt>
                <c:pt idx="3">
                  <c:v>C.y LEÓN</c:v>
                </c:pt>
                <c:pt idx="4">
                  <c:v>EXTREMADURA</c:v>
                </c:pt>
              </c:strCache>
            </c:strRef>
          </c:cat>
          <c:val>
            <c:numRef>
              <c:f>'PIS-EDAD'!$F$499:$J$499</c:f>
              <c:numCache>
                <c:formatCode>0%</c:formatCode>
                <c:ptCount val="5"/>
                <c:pt idx="0">
                  <c:v>0.54904551025923687</c:v>
                </c:pt>
                <c:pt idx="1">
                  <c:v>0.41819587160134586</c:v>
                </c:pt>
                <c:pt idx="2">
                  <c:v>0.22301568719269493</c:v>
                </c:pt>
                <c:pt idx="3">
                  <c:v>0.34965182527959487</c:v>
                </c:pt>
                <c:pt idx="4">
                  <c:v>0.45911622991635165</c:v>
                </c:pt>
              </c:numCache>
            </c:numRef>
          </c:val>
          <c:extLst>
            <c:ext xmlns:c16="http://schemas.microsoft.com/office/drawing/2014/chart" uri="{C3380CC4-5D6E-409C-BE32-E72D297353CC}">
              <c16:uniqueId val="{00000001-9B6C-4F0F-A962-9A3ECA228060}"/>
            </c:ext>
          </c:extLst>
        </c:ser>
        <c:ser>
          <c:idx val="2"/>
          <c:order val="2"/>
          <c:tx>
            <c:strRef>
              <c:f>'PIS-EDAD'!$D$500:$E$500</c:f>
              <c:strCache>
                <c:ptCount val="2"/>
                <c:pt idx="0">
                  <c:v>ECOLÓGICO</c:v>
                </c:pt>
                <c:pt idx="1">
                  <c:v>SECANO </c:v>
                </c:pt>
              </c:strCache>
            </c:strRef>
          </c:tx>
          <c:spPr>
            <a:solidFill>
              <a:schemeClr val="accent6"/>
            </a:solidFill>
            <a:ln>
              <a:noFill/>
            </a:ln>
            <a:effectLst/>
          </c:spPr>
          <c:invertIfNegative val="0"/>
          <c:cat>
            <c:strRef>
              <c:f>'PIS-EDAD'!$F$496:$J$497</c:f>
              <c:strCache>
                <c:ptCount val="5"/>
                <c:pt idx="0">
                  <c:v>C.-LA MANCHA</c:v>
                </c:pt>
                <c:pt idx="1">
                  <c:v>ANDALUCÍA</c:v>
                </c:pt>
                <c:pt idx="2">
                  <c:v>MURCIA</c:v>
                </c:pt>
                <c:pt idx="3">
                  <c:v>C.y LEÓN</c:v>
                </c:pt>
                <c:pt idx="4">
                  <c:v>EXTREMADURA</c:v>
                </c:pt>
              </c:strCache>
            </c:strRef>
          </c:cat>
          <c:val>
            <c:numRef>
              <c:f>'PIS-EDAD'!$F$500:$J$500</c:f>
              <c:numCache>
                <c:formatCode>0%</c:formatCode>
                <c:ptCount val="5"/>
                <c:pt idx="0">
                  <c:v>0.47878430157828111</c:v>
                </c:pt>
                <c:pt idx="1">
                  <c:v>0.61163928120019784</c:v>
                </c:pt>
                <c:pt idx="2">
                  <c:v>0.23171779952393551</c:v>
                </c:pt>
                <c:pt idx="3">
                  <c:v>0.56262091202210962</c:v>
                </c:pt>
                <c:pt idx="4">
                  <c:v>0.20787325972155546</c:v>
                </c:pt>
              </c:numCache>
            </c:numRef>
          </c:val>
          <c:extLst>
            <c:ext xmlns:c16="http://schemas.microsoft.com/office/drawing/2014/chart" uri="{C3380CC4-5D6E-409C-BE32-E72D297353CC}">
              <c16:uniqueId val="{00000002-9B6C-4F0F-A962-9A3ECA228060}"/>
            </c:ext>
          </c:extLst>
        </c:ser>
        <c:ser>
          <c:idx val="3"/>
          <c:order val="3"/>
          <c:tx>
            <c:strRef>
              <c:f>'PIS-EDAD'!$D$501:$E$501</c:f>
              <c:strCache>
                <c:ptCount val="2"/>
                <c:pt idx="0">
                  <c:v>ECOLÓGICO</c:v>
                </c:pt>
                <c:pt idx="1">
                  <c:v>REGADÍO</c:v>
                </c:pt>
              </c:strCache>
            </c:strRef>
          </c:tx>
          <c:spPr>
            <a:solidFill>
              <a:srgbClr val="00FFCC"/>
            </a:solidFill>
            <a:ln>
              <a:noFill/>
            </a:ln>
            <a:effectLst/>
          </c:spPr>
          <c:invertIfNegative val="0"/>
          <c:cat>
            <c:strRef>
              <c:f>'PIS-EDAD'!$F$496:$J$497</c:f>
              <c:strCache>
                <c:ptCount val="5"/>
                <c:pt idx="0">
                  <c:v>C.-LA MANCHA</c:v>
                </c:pt>
                <c:pt idx="1">
                  <c:v>ANDALUCÍA</c:v>
                </c:pt>
                <c:pt idx="2">
                  <c:v>MURCIA</c:v>
                </c:pt>
                <c:pt idx="3">
                  <c:v>C.y LEÓN</c:v>
                </c:pt>
                <c:pt idx="4">
                  <c:v>EXTREMADURA</c:v>
                </c:pt>
              </c:strCache>
            </c:strRef>
          </c:cat>
          <c:val>
            <c:numRef>
              <c:f>'PIS-EDAD'!$F$501:$J$501</c:f>
              <c:numCache>
                <c:formatCode>0%</c:formatCode>
                <c:ptCount val="5"/>
                <c:pt idx="0">
                  <c:v>0.3402471741740048</c:v>
                </c:pt>
                <c:pt idx="1">
                  <c:v>0.21974745703262014</c:v>
                </c:pt>
                <c:pt idx="2">
                  <c:v>3.9110188156818326E-2</c:v>
                </c:pt>
                <c:pt idx="3">
                  <c:v>0.25194038379124806</c:v>
                </c:pt>
                <c:pt idx="4">
                  <c:v>0.21502209131075106</c:v>
                </c:pt>
              </c:numCache>
            </c:numRef>
          </c:val>
          <c:extLst>
            <c:ext xmlns:c16="http://schemas.microsoft.com/office/drawing/2014/chart" uri="{C3380CC4-5D6E-409C-BE32-E72D297353CC}">
              <c16:uniqueId val="{00000003-9B6C-4F0F-A962-9A3ECA228060}"/>
            </c:ext>
          </c:extLst>
        </c:ser>
        <c:dLbls>
          <c:showLegendKey val="0"/>
          <c:showVal val="0"/>
          <c:showCatName val="0"/>
          <c:showSerName val="0"/>
          <c:showPercent val="0"/>
          <c:showBubbleSize val="0"/>
        </c:dLbls>
        <c:gapWidth val="100"/>
        <c:overlap val="-24"/>
        <c:axId val="515883599"/>
        <c:axId val="515888175"/>
      </c:barChart>
      <c:catAx>
        <c:axId val="5158835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ES"/>
          </a:p>
        </c:txPr>
        <c:crossAx val="515888175"/>
        <c:crosses val="autoZero"/>
        <c:auto val="1"/>
        <c:lblAlgn val="ctr"/>
        <c:lblOffset val="100"/>
        <c:noMultiLvlLbl val="0"/>
      </c:catAx>
      <c:valAx>
        <c:axId val="51588817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s-ES"/>
          </a:p>
        </c:txPr>
        <c:crossAx val="51588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Secano</a:t>
            </a:r>
            <a:r>
              <a:rPr lang="es-ES" b="1" baseline="0">
                <a:solidFill>
                  <a:sysClr val="windowText" lastClr="000000"/>
                </a:solidFill>
              </a:rPr>
              <a:t>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'AVE-EDAD'!$C$289:$X$289</c:f>
              <c:numCache>
                <c:formatCode>#,##0</c:formatCode>
                <c:ptCount val="22"/>
                <c:pt idx="0">
                  <c:v>0.3</c:v>
                </c:pt>
                <c:pt idx="1">
                  <c:v>0</c:v>
                </c:pt>
                <c:pt idx="2">
                  <c:v>0</c:v>
                </c:pt>
                <c:pt idx="3">
                  <c:v>0</c:v>
                </c:pt>
                <c:pt idx="4">
                  <c:v>0</c:v>
                </c:pt>
                <c:pt idx="5">
                  <c:v>0.49</c:v>
                </c:pt>
                <c:pt idx="6">
                  <c:v>0</c:v>
                </c:pt>
                <c:pt idx="7">
                  <c:v>0.8</c:v>
                </c:pt>
                <c:pt idx="8">
                  <c:v>0</c:v>
                </c:pt>
                <c:pt idx="9">
                  <c:v>0.35</c:v>
                </c:pt>
                <c:pt idx="10">
                  <c:v>0.11</c:v>
                </c:pt>
                <c:pt idx="11">
                  <c:v>0</c:v>
                </c:pt>
                <c:pt idx="12">
                  <c:v>1.1000000000000001</c:v>
                </c:pt>
                <c:pt idx="13">
                  <c:v>0.01</c:v>
                </c:pt>
                <c:pt idx="14">
                  <c:v>0.91</c:v>
                </c:pt>
                <c:pt idx="15">
                  <c:v>12.06</c:v>
                </c:pt>
                <c:pt idx="16">
                  <c:v>2.1</c:v>
                </c:pt>
                <c:pt idx="17">
                  <c:v>10.870000000000001</c:v>
                </c:pt>
                <c:pt idx="18">
                  <c:v>1.7200000000000002</c:v>
                </c:pt>
                <c:pt idx="19">
                  <c:v>0.56000000000000005</c:v>
                </c:pt>
                <c:pt idx="20">
                  <c:v>1.73</c:v>
                </c:pt>
                <c:pt idx="21">
                  <c:v>0.39</c:v>
                </c:pt>
              </c:numCache>
            </c:numRef>
          </c:val>
          <c:extLst>
            <c:ext xmlns:c16="http://schemas.microsoft.com/office/drawing/2014/chart" uri="{C3380CC4-5D6E-409C-BE32-E72D297353CC}">
              <c16:uniqueId val="{00000000-9169-434F-B38B-DC3CAB3891E2}"/>
            </c:ext>
          </c:extLst>
        </c:ser>
        <c:dLbls>
          <c:showLegendKey val="0"/>
          <c:showVal val="0"/>
          <c:showCatName val="0"/>
          <c:showSerName val="0"/>
          <c:showPercent val="0"/>
          <c:showBubbleSize val="0"/>
        </c:dLbls>
        <c:gapWidth val="219"/>
        <c:overlap val="-27"/>
        <c:axId val="142845072"/>
        <c:axId val="142833104"/>
      </c:barChart>
      <c:catAx>
        <c:axId val="1428450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3104"/>
        <c:crosses val="autoZero"/>
        <c:auto val="1"/>
        <c:lblAlgn val="ctr"/>
        <c:lblOffset val="100"/>
        <c:noMultiLvlLbl val="0"/>
      </c:catAx>
      <c:valAx>
        <c:axId val="142833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5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rPr>
              <a:t>Almendro Regadío: </a:t>
            </a: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RSU REGEPA  vs SUPERFICIES ANUALES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'ALM-REPR'!$O$76</c:f>
              <c:strCache>
                <c:ptCount val="1"/>
                <c:pt idx="0">
                  <c:v>SUP.ANUALES 2021</c:v>
                </c:pt>
              </c:strCache>
            </c:strRef>
          </c:tx>
          <c:spPr>
            <a:solidFill>
              <a:schemeClr val="accent5">
                <a:shade val="76000"/>
              </a:schemeClr>
            </a:solidFill>
            <a:ln>
              <a:noFill/>
            </a:ln>
            <a:effectLst/>
          </c:spPr>
          <c:invertIfNegative val="0"/>
          <c:dLbls>
            <c:dLbl>
              <c:idx val="0"/>
              <c:layout>
                <c:manualLayout>
                  <c:x val="1.1774260539353825E-2"/>
                  <c:y val="7.7721404260540508E-3"/>
                </c:manualLayout>
              </c:layout>
              <c:tx>
                <c:rich>
                  <a:bodyPr/>
                  <a:lstStyle/>
                  <a:p>
                    <a:fld id="{F15F0E11-8D65-47B6-ADBF-8C9F7414E08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E2A-4E8F-B652-8A98300327DE}"/>
                </c:ext>
              </c:extLst>
            </c:dLbl>
            <c:dLbl>
              <c:idx val="1"/>
              <c:layout>
                <c:manualLayout>
                  <c:x val="2.5510897835266697E-2"/>
                  <c:y val="7.7721404260540508E-3"/>
                </c:manualLayout>
              </c:layout>
              <c:tx>
                <c:rich>
                  <a:bodyPr/>
                  <a:lstStyle/>
                  <a:p>
                    <a:fld id="{D08E9962-A449-4AE8-BF4A-D1C58718408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E2A-4E8F-B652-8A98300327DE}"/>
                </c:ext>
              </c:extLst>
            </c:dLbl>
            <c:dLbl>
              <c:idx val="2"/>
              <c:layout>
                <c:manualLayout>
                  <c:x val="2.551089783526659E-2"/>
                  <c:y val="-3.8860702130270254E-3"/>
                </c:manualLayout>
              </c:layout>
              <c:tx>
                <c:rich>
                  <a:bodyPr/>
                  <a:lstStyle/>
                  <a:p>
                    <a:fld id="{1BD33D99-2CBC-4F90-B0CD-03209CE8E16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E2A-4E8F-B652-8A98300327DE}"/>
                </c:ext>
              </c:extLst>
            </c:dLbl>
            <c:dLbl>
              <c:idx val="3"/>
              <c:layout>
                <c:manualLayout>
                  <c:x val="2.9435651348384679E-2"/>
                  <c:y val="-7.772140426054122E-3"/>
                </c:manualLayout>
              </c:layout>
              <c:tx>
                <c:rich>
                  <a:bodyPr/>
                  <a:lstStyle/>
                  <a:p>
                    <a:fld id="{D4E95116-065A-4E0F-BF33-06D7A5EC5434}"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E2A-4E8F-B652-8A98300327DE}"/>
                </c:ext>
              </c:extLst>
            </c:dLbl>
            <c:dLbl>
              <c:idx val="4"/>
              <c:layout>
                <c:manualLayout>
                  <c:x val="2.943565134838461E-2"/>
                  <c:y val="-1.5544280852108102E-2"/>
                </c:manualLayout>
              </c:layout>
              <c:tx>
                <c:rich>
                  <a:bodyPr/>
                  <a:lstStyle/>
                  <a:p>
                    <a:fld id="{1B2B9B37-4F16-4FA2-9735-A113BA09547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E2A-4E8F-B652-8A98300327DE}"/>
                </c:ext>
              </c:extLst>
            </c:dLbl>
            <c:dLbl>
              <c:idx val="5"/>
              <c:layout>
                <c:manualLayout>
                  <c:x val="2.3548521078707686E-2"/>
                  <c:y val="-7.7721404260540508E-3"/>
                </c:manualLayout>
              </c:layout>
              <c:tx>
                <c:rich>
                  <a:bodyPr/>
                  <a:lstStyle/>
                  <a:p>
                    <a:fld id="{5442DAA7-73A2-4533-A58E-DF82DF67FA4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E2A-4E8F-B652-8A98300327D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'ALM-REPR'!$M$77:$M$82</c:f>
              <c:strCache>
                <c:ptCount val="6"/>
                <c:pt idx="0">
                  <c:v>ANDALUCÍA</c:v>
                </c:pt>
                <c:pt idx="1">
                  <c:v>C.-LA MANCHA</c:v>
                </c:pt>
                <c:pt idx="2">
                  <c:v>ARAGÓN</c:v>
                </c:pt>
                <c:pt idx="3">
                  <c:v>CATALUÑA</c:v>
                </c:pt>
                <c:pt idx="4">
                  <c:v>C. VALENCIANA</c:v>
                </c:pt>
                <c:pt idx="5">
                  <c:v>MURCIA</c:v>
                </c:pt>
              </c:strCache>
            </c:strRef>
          </c:cat>
          <c:val>
            <c:numRef>
              <c:f>'ALM-REPR'!$O$77:$O$82</c:f>
              <c:numCache>
                <c:formatCode>#,##0</c:formatCode>
                <c:ptCount val="6"/>
                <c:pt idx="0">
                  <c:v>34456</c:v>
                </c:pt>
                <c:pt idx="1">
                  <c:v>26467</c:v>
                </c:pt>
                <c:pt idx="2">
                  <c:v>22544</c:v>
                </c:pt>
                <c:pt idx="3">
                  <c:v>12727</c:v>
                </c:pt>
                <c:pt idx="4">
                  <c:v>14989</c:v>
                </c:pt>
                <c:pt idx="5">
                  <c:v>7402</c:v>
                </c:pt>
              </c:numCache>
            </c:numRef>
          </c:val>
          <c:extLst>
            <c:ext xmlns:c15="http://schemas.microsoft.com/office/drawing/2012/chart" uri="{02D57815-91ED-43cb-92C2-25804820EDAC}">
              <c15:datalabelsRange>
                <c15:f>'ALM-REPR'!$P$77:$P$82</c15:f>
                <c15:dlblRangeCache>
                  <c:ptCount val="6"/>
                  <c:pt idx="0">
                    <c:v>91%</c:v>
                  </c:pt>
                  <c:pt idx="1">
                    <c:v>82%</c:v>
                  </c:pt>
                  <c:pt idx="2">
                    <c:v>96%</c:v>
                  </c:pt>
                  <c:pt idx="3">
                    <c:v>90%</c:v>
                  </c:pt>
                  <c:pt idx="4">
                    <c:v>61%</c:v>
                  </c:pt>
                  <c:pt idx="5">
                    <c:v>94%</c:v>
                  </c:pt>
                </c15:dlblRangeCache>
              </c15:datalabelsRange>
            </c:ext>
            <c:ext xmlns:c16="http://schemas.microsoft.com/office/drawing/2014/chart" uri="{C3380CC4-5D6E-409C-BE32-E72D297353CC}">
              <c16:uniqueId val="{00000006-7E2A-4E8F-B652-8A98300327DE}"/>
            </c:ext>
          </c:extLst>
        </c:ser>
        <c:ser>
          <c:idx val="1"/>
          <c:order val="1"/>
          <c:tx>
            <c:strRef>
              <c:f>'ALM-REPR'!$N$76</c:f>
              <c:strCache>
                <c:ptCount val="1"/>
                <c:pt idx="0">
                  <c:v>RSU REGEPA 2021</c:v>
                </c:pt>
              </c:strCache>
            </c:strRef>
          </c:tx>
          <c:spPr>
            <a:solidFill>
              <a:schemeClr val="accent5">
                <a:tint val="77000"/>
              </a:schemeClr>
            </a:solidFill>
            <a:ln>
              <a:noFill/>
            </a:ln>
            <a:effectLst/>
          </c:spPr>
          <c:invertIfNegative val="0"/>
          <c:cat>
            <c:strRef>
              <c:f>'ALM-REPR'!$M$77:$M$82</c:f>
              <c:strCache>
                <c:ptCount val="6"/>
                <c:pt idx="0">
                  <c:v>ANDALUCÍA</c:v>
                </c:pt>
                <c:pt idx="1">
                  <c:v>C.-LA MANCHA</c:v>
                </c:pt>
                <c:pt idx="2">
                  <c:v>ARAGÓN</c:v>
                </c:pt>
                <c:pt idx="3">
                  <c:v>CATALUÑA</c:v>
                </c:pt>
                <c:pt idx="4">
                  <c:v>C. VALENCIANA</c:v>
                </c:pt>
                <c:pt idx="5">
                  <c:v>MURCIA</c:v>
                </c:pt>
              </c:strCache>
            </c:strRef>
          </c:cat>
          <c:val>
            <c:numRef>
              <c:f>'ALM-REPR'!$N$77:$N$82</c:f>
              <c:numCache>
                <c:formatCode>#,##0</c:formatCode>
                <c:ptCount val="6"/>
                <c:pt idx="0">
                  <c:v>31217.0419</c:v>
                </c:pt>
                <c:pt idx="1">
                  <c:v>21648.27</c:v>
                </c:pt>
                <c:pt idx="2">
                  <c:v>21715.670000000002</c:v>
                </c:pt>
                <c:pt idx="3">
                  <c:v>11402.1</c:v>
                </c:pt>
                <c:pt idx="4">
                  <c:v>9095.32</c:v>
                </c:pt>
                <c:pt idx="5">
                  <c:v>6974.1200000000008</c:v>
                </c:pt>
              </c:numCache>
            </c:numRef>
          </c:val>
          <c:extLst>
            <c:ext xmlns:c16="http://schemas.microsoft.com/office/drawing/2014/chart" uri="{C3380CC4-5D6E-409C-BE32-E72D297353CC}">
              <c16:uniqueId val="{00000007-7E2A-4E8F-B652-8A98300327DE}"/>
            </c:ext>
          </c:extLst>
        </c:ser>
        <c:dLbls>
          <c:showLegendKey val="0"/>
          <c:showVal val="0"/>
          <c:showCatName val="0"/>
          <c:showSerName val="0"/>
          <c:showPercent val="0"/>
          <c:showBubbleSize val="0"/>
        </c:dLbls>
        <c:gapWidth val="219"/>
        <c:axId val="2128807888"/>
        <c:axId val="2128804624"/>
      </c:barChart>
      <c:catAx>
        <c:axId val="212880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4624"/>
        <c:crosses val="autoZero"/>
        <c:auto val="1"/>
        <c:lblAlgn val="ctr"/>
        <c:lblOffset val="100"/>
        <c:noMultiLvlLbl val="0"/>
      </c:catAx>
      <c:valAx>
        <c:axId val="2128804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Superficies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Avellano Secano</a:t>
            </a:r>
            <a:r>
              <a:rPr lang="en-US" b="1" baseline="0"/>
              <a:t> Ecológico:</a:t>
            </a:r>
            <a:r>
              <a:rPr lang="en-US" b="1"/>
              <a:t> </a:t>
            </a:r>
          </a:p>
          <a:p>
            <a:pPr>
              <a:defRPr sz="1400" b="0" i="0" u="none" strike="noStrike" kern="1200" spc="0" baseline="0">
                <a:solidFill>
                  <a:sysClr val="windowText" lastClr="000000"/>
                </a:solidFill>
                <a:latin typeface="+mn-lt"/>
                <a:ea typeface="+mn-ea"/>
                <a:cs typeface="+mn-cs"/>
              </a:defRPr>
            </a:pPr>
            <a:r>
              <a:rPr lang="en-US"/>
              <a:t>Las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'AVE-EDAD'!$AL$259</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f>'AVE-EDAD'!$AJ$260:$AJ$266</c:f>
              <c:strCache>
                <c:ptCount val="7"/>
                <c:pt idx="0">
                  <c:v>TERUEL</c:v>
                </c:pt>
                <c:pt idx="1">
                  <c:v>CASTELLÓN</c:v>
                </c:pt>
                <c:pt idx="2">
                  <c:v>TARRAGONA</c:v>
                </c:pt>
                <c:pt idx="3">
                  <c:v>CUENCA</c:v>
                </c:pt>
                <c:pt idx="4">
                  <c:v>NAVARRA</c:v>
                </c:pt>
                <c:pt idx="5">
                  <c:v>CÁCERES</c:v>
                </c:pt>
                <c:pt idx="6">
                  <c:v>LLEIDA</c:v>
                </c:pt>
              </c:strCache>
            </c:strRef>
          </c:cat>
          <c:val>
            <c:numRef>
              <c:f>'AVE-EDAD'!$AL$260:$AL$266</c:f>
              <c:numCache>
                <c:formatCode>#,##0</c:formatCode>
                <c:ptCount val="7"/>
                <c:pt idx="0">
                  <c:v>2.5</c:v>
                </c:pt>
                <c:pt idx="1">
                  <c:v>51.01</c:v>
                </c:pt>
                <c:pt idx="2">
                  <c:v>63.620000000000026</c:v>
                </c:pt>
                <c:pt idx="3" formatCode="#,##0.00">
                  <c:v>1.35</c:v>
                </c:pt>
                <c:pt idx="4" formatCode="#,##0.00">
                  <c:v>0.9</c:v>
                </c:pt>
                <c:pt idx="5" formatCode="#,##0.00">
                  <c:v>9.0000000000000011E-2</c:v>
                </c:pt>
                <c:pt idx="6" formatCode="#,##0.00">
                  <c:v>0.28999999999999998</c:v>
                </c:pt>
              </c:numCache>
            </c:numRef>
          </c:val>
          <c:extLst>
            <c:ext xmlns:c16="http://schemas.microsoft.com/office/drawing/2014/chart" uri="{C3380CC4-5D6E-409C-BE32-E72D297353CC}">
              <c16:uniqueId val="{00000000-7872-4558-876A-D816BD44A3EE}"/>
            </c:ext>
          </c:extLst>
        </c:ser>
        <c:ser>
          <c:idx val="0"/>
          <c:order val="1"/>
          <c:tx>
            <c:strRef>
              <c:f>'AVE-EDAD'!$AK$259</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239C133B-899C-4670-93DA-7A02464EE056}"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872-4558-876A-D816BD44A3EE}"/>
                </c:ext>
              </c:extLst>
            </c:dLbl>
            <c:dLbl>
              <c:idx val="1"/>
              <c:tx>
                <c:rich>
                  <a:bodyPr/>
                  <a:lstStyle/>
                  <a:p>
                    <a:fld id="{CE8BE4A4-973A-43F4-9AEC-27D2A959A14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72-4558-876A-D816BD44A3EE}"/>
                </c:ext>
              </c:extLst>
            </c:dLbl>
            <c:dLbl>
              <c:idx val="2"/>
              <c:tx>
                <c:rich>
                  <a:bodyPr/>
                  <a:lstStyle/>
                  <a:p>
                    <a:fld id="{798ED939-4C9D-4CF9-8F12-DAE9E772B57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72-4558-876A-D816BD44A3EE}"/>
                </c:ext>
              </c:extLst>
            </c:dLbl>
            <c:dLbl>
              <c:idx val="3"/>
              <c:tx>
                <c:rich>
                  <a:bodyPr/>
                  <a:lstStyle/>
                  <a:p>
                    <a:fld id="{4D61802C-D0D6-4D1D-9599-D19C40B9328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72-4558-876A-D816BD44A3EE}"/>
                </c:ext>
              </c:extLst>
            </c:dLbl>
            <c:dLbl>
              <c:idx val="4"/>
              <c:tx>
                <c:rich>
                  <a:bodyPr/>
                  <a:lstStyle/>
                  <a:p>
                    <a:fld id="{010432AF-211D-49A6-B2F4-AFA80553CCE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72-4558-876A-D816BD44A3EE}"/>
                </c:ext>
              </c:extLst>
            </c:dLbl>
            <c:dLbl>
              <c:idx val="5"/>
              <c:tx>
                <c:rich>
                  <a:bodyPr/>
                  <a:lstStyle/>
                  <a:p>
                    <a:fld id="{775C4794-1C42-4550-AD00-2C922701E6D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72-4558-876A-D816BD44A3EE}"/>
                </c:ext>
              </c:extLst>
            </c:dLbl>
            <c:dLbl>
              <c:idx val="6"/>
              <c:tx>
                <c:rich>
                  <a:bodyPr/>
                  <a:lstStyle/>
                  <a:p>
                    <a:fld id="{703DADBF-9AA2-49E5-8B84-B2EBEBFB550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72-4558-876A-D816BD44A3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'AVE-EDAD'!$AJ$260:$AJ$266</c:f>
              <c:strCache>
                <c:ptCount val="7"/>
                <c:pt idx="0">
                  <c:v>TERUEL</c:v>
                </c:pt>
                <c:pt idx="1">
                  <c:v>CASTELLÓN</c:v>
                </c:pt>
                <c:pt idx="2">
                  <c:v>TARRAGONA</c:v>
                </c:pt>
                <c:pt idx="3">
                  <c:v>CUENCA</c:v>
                </c:pt>
                <c:pt idx="4">
                  <c:v>NAVARRA</c:v>
                </c:pt>
                <c:pt idx="5">
                  <c:v>CÁCERES</c:v>
                </c:pt>
                <c:pt idx="6">
                  <c:v>LLEIDA</c:v>
                </c:pt>
              </c:strCache>
            </c:strRef>
          </c:cat>
          <c:val>
            <c:numRef>
              <c:f>'AVE-EDAD'!$AK$260:$AK$266</c:f>
              <c:numCache>
                <c:formatCode>#,##0.00</c:formatCode>
                <c:ptCount val="7"/>
                <c:pt idx="0">
                  <c:v>1.58</c:v>
                </c:pt>
                <c:pt idx="1">
                  <c:v>1.42</c:v>
                </c:pt>
                <c:pt idx="2">
                  <c:v>0.77</c:v>
                </c:pt>
                <c:pt idx="3">
                  <c:v>0.28000000000000003</c:v>
                </c:pt>
                <c:pt idx="4">
                  <c:v>0.24</c:v>
                </c:pt>
                <c:pt idx="5">
                  <c:v>7.0000000000000007E-2</c:v>
                </c:pt>
                <c:pt idx="6">
                  <c:v>0.04</c:v>
                </c:pt>
              </c:numCache>
            </c:numRef>
          </c:val>
          <c:extLst>
            <c:ext xmlns:c15="http://schemas.microsoft.com/office/drawing/2012/chart" uri="{02D57815-91ED-43cb-92C2-25804820EDAC}">
              <c15:datalabelsRange>
                <c15:f>'AVE-EDAD'!$AM$260:$AM$266</c15:f>
                <c15:dlblRangeCache>
                  <c:ptCount val="7"/>
                  <c:pt idx="0">
                    <c:v>63%</c:v>
                  </c:pt>
                  <c:pt idx="1">
                    <c:v>3%</c:v>
                  </c:pt>
                  <c:pt idx="2">
                    <c:v>1%</c:v>
                  </c:pt>
                  <c:pt idx="3">
                    <c:v>21%</c:v>
                  </c:pt>
                  <c:pt idx="4">
                    <c:v>27%</c:v>
                  </c:pt>
                  <c:pt idx="5">
                    <c:v>78%</c:v>
                  </c:pt>
                  <c:pt idx="6">
                    <c:v>14%</c:v>
                  </c:pt>
                </c15:dlblRangeCache>
              </c15:datalabelsRange>
            </c:ext>
            <c:ext xmlns:c16="http://schemas.microsoft.com/office/drawing/2014/chart" uri="{C3380CC4-5D6E-409C-BE32-E72D297353CC}">
              <c16:uniqueId val="{00000008-7872-4558-876A-D816BD44A3EE}"/>
            </c:ext>
          </c:extLst>
        </c:ser>
        <c:dLbls>
          <c:showLegendKey val="0"/>
          <c:showVal val="0"/>
          <c:showCatName val="0"/>
          <c:showSerName val="0"/>
          <c:showPercent val="0"/>
          <c:showBubbleSize val="0"/>
        </c:dLbls>
        <c:gapWidth val="150"/>
        <c:overlap val="-40"/>
        <c:axId val="142841808"/>
        <c:axId val="142828752"/>
      </c:barChart>
      <c:catAx>
        <c:axId val="142841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28752"/>
        <c:crosses val="autoZero"/>
        <c:auto val="1"/>
        <c:lblAlgn val="ctr"/>
        <c:lblOffset val="100"/>
        <c:noMultiLvlLbl val="0"/>
      </c:catAx>
      <c:valAx>
        <c:axId val="142828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4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Secano</a:t>
            </a:r>
            <a:r>
              <a:rPr lang="es-ES" b="1" baseline="0">
                <a:solidFill>
                  <a:sysClr val="windowText" lastClr="000000"/>
                </a:solidFill>
              </a:rPr>
              <a:t> 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'AVE-EDAD'!$AQ$258</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68D09836-AC8F-44B7-A31D-321D6FBBCBC1}"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EA6-4BF4-AD9D-58A2B2DD30E5}"/>
                </c:ext>
              </c:extLst>
            </c:dLbl>
            <c:dLbl>
              <c:idx val="1"/>
              <c:tx>
                <c:rich>
                  <a:bodyPr/>
                  <a:lstStyle/>
                  <a:p>
                    <a:fld id="{4940285A-9F8D-42AB-9DD9-78AAF4CBB41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A6-4BF4-AD9D-58A2B2DD30E5}"/>
                </c:ext>
              </c:extLst>
            </c:dLbl>
            <c:dLbl>
              <c:idx val="2"/>
              <c:tx>
                <c:rich>
                  <a:bodyPr/>
                  <a:lstStyle/>
                  <a:p>
                    <a:fld id="{A6FBC75A-50BA-4310-982B-8E59D114F69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A6-4BF4-AD9D-58A2B2DD30E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'AVE-EDAD'!$AP$259:$AP$264</c15:sqref>
                  </c15:fullRef>
                </c:ext>
              </c:extLst>
              <c:f>'AVE-EDAD'!$AP$259:$AP$261</c:f>
              <c:strCache>
                <c:ptCount val="3"/>
                <c:pt idx="0">
                  <c:v>ARAGÓN</c:v>
                </c:pt>
                <c:pt idx="1">
                  <c:v>C. VALENCIANA</c:v>
                </c:pt>
                <c:pt idx="2">
                  <c:v>CATALUÑA</c:v>
                </c:pt>
              </c:strCache>
            </c:strRef>
          </c:cat>
          <c:val>
            <c:numRef>
              <c:extLst>
                <c:ext xmlns:c15="http://schemas.microsoft.com/office/drawing/2012/chart" uri="{02D57815-91ED-43cb-92C2-25804820EDAC}">
                  <c15:fullRef>
                    <c15:sqref>'AVE-EDAD'!$AQ$259:$AQ$264</c15:sqref>
                  </c15:fullRef>
                </c:ext>
              </c:extLst>
              <c:f>'AVE-EDAD'!$AQ$259:$AQ$261</c:f>
              <c:numCache>
                <c:formatCode>#,##0</c:formatCode>
                <c:ptCount val="3"/>
                <c:pt idx="0">
                  <c:v>1.58</c:v>
                </c:pt>
                <c:pt idx="1">
                  <c:v>1.42</c:v>
                </c:pt>
                <c:pt idx="2" formatCode="#,##0.00">
                  <c:v>0.81</c:v>
                </c:pt>
              </c:numCache>
            </c:numRef>
          </c:val>
          <c:extLst>
            <c:ext xmlns:c15="http://schemas.microsoft.com/office/drawing/2012/chart" uri="{02D57815-91ED-43cb-92C2-25804820EDAC}">
              <c15:datalabelsRange>
                <c15:f>'AVE-EDAD'!$AS$259:$AS$264</c15:f>
                <c15:dlblRangeCache>
                  <c:ptCount val="6"/>
                  <c:pt idx="0">
                    <c:v>36%</c:v>
                  </c:pt>
                  <c:pt idx="1">
                    <c:v>3%</c:v>
                  </c:pt>
                  <c:pt idx="2">
                    <c:v>1%</c:v>
                  </c:pt>
                  <c:pt idx="3">
                    <c:v>15%</c:v>
                  </c:pt>
                  <c:pt idx="4">
                    <c:v>27%</c:v>
                  </c:pt>
                  <c:pt idx="5">
                    <c:v>78%</c:v>
                  </c:pt>
                </c15:dlblRangeCache>
              </c15:datalabelsRange>
            </c:ext>
            <c:ext xmlns:c16="http://schemas.microsoft.com/office/drawing/2014/chart" uri="{C3380CC4-5D6E-409C-BE32-E72D297353CC}">
              <c16:uniqueId val="{00000003-FEA6-4BF4-AD9D-58A2B2DD30E5}"/>
            </c:ext>
          </c:extLst>
        </c:ser>
        <c:ser>
          <c:idx val="1"/>
          <c:order val="1"/>
          <c:tx>
            <c:strRef>
              <c:f>'AVE-EDAD'!$AR$258</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'AVE-EDAD'!$AP$259:$AP$264</c15:sqref>
                  </c15:fullRef>
                </c:ext>
              </c:extLst>
              <c:f>'AVE-EDAD'!$AP$259:$AP$261</c:f>
              <c:strCache>
                <c:ptCount val="3"/>
                <c:pt idx="0">
                  <c:v>ARAGÓN</c:v>
                </c:pt>
                <c:pt idx="1">
                  <c:v>C. VALENCIANA</c:v>
                </c:pt>
                <c:pt idx="2">
                  <c:v>CATALUÑA</c:v>
                </c:pt>
              </c:strCache>
            </c:strRef>
          </c:cat>
          <c:val>
            <c:numRef>
              <c:extLst>
                <c:ext xmlns:c15="http://schemas.microsoft.com/office/drawing/2012/chart" uri="{02D57815-91ED-43cb-92C2-25804820EDAC}">
                  <c15:fullRef>
                    <c15:sqref>'AVE-EDAD'!$AR$259:$AR$264</c15:sqref>
                  </c15:fullRef>
                </c:ext>
              </c:extLst>
              <c:f>'AVE-EDAD'!$AR$259:$AR$261</c:f>
              <c:numCache>
                <c:formatCode>#,##0</c:formatCode>
                <c:ptCount val="3"/>
                <c:pt idx="0">
                  <c:v>4.41</c:v>
                </c:pt>
                <c:pt idx="1">
                  <c:v>51.100000000000009</c:v>
                </c:pt>
                <c:pt idx="2">
                  <c:v>64.720000000000013</c:v>
                </c:pt>
              </c:numCache>
            </c:numRef>
          </c:val>
          <c:extLst>
            <c:ext xmlns:c16="http://schemas.microsoft.com/office/drawing/2014/chart" uri="{C3380CC4-5D6E-409C-BE32-E72D297353CC}">
              <c16:uniqueId val="{00000004-FEA6-4BF4-AD9D-58A2B2DD30E5}"/>
            </c:ext>
          </c:extLst>
        </c:ser>
        <c:dLbls>
          <c:showLegendKey val="0"/>
          <c:showVal val="0"/>
          <c:showCatName val="0"/>
          <c:showSerName val="0"/>
          <c:showPercent val="0"/>
          <c:showBubbleSize val="0"/>
        </c:dLbls>
        <c:gapWidth val="100"/>
        <c:axId val="142830928"/>
        <c:axId val="142823856"/>
      </c:barChart>
      <c:catAx>
        <c:axId val="14283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3856"/>
        <c:crosses val="autoZero"/>
        <c:auto val="1"/>
        <c:lblAlgn val="ctr"/>
        <c:lblOffset val="100"/>
        <c:noMultiLvlLbl val="0"/>
      </c:catAx>
      <c:valAx>
        <c:axId val="14282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Avellano Secano</a:t>
            </a:r>
            <a:r>
              <a:rPr lang="es-ES" baseline="0"/>
              <a:t> 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2"/>
            <c:invertIfNegative val="0"/>
            <c:bubble3D val="0"/>
            <c:spPr>
              <a:solidFill>
                <a:srgbClr val="C0504D"/>
              </a:solidFill>
              <a:ln>
                <a:noFill/>
              </a:ln>
              <a:effectLst/>
            </c:spPr>
            <c:extLst>
              <c:ext xmlns:c16="http://schemas.microsoft.com/office/drawing/2014/chart" uri="{C3380CC4-5D6E-409C-BE32-E72D297353CC}">
                <c16:uniqueId val="{00000001-C196-4E66-9453-58FBE1BFB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'AVE-EDAD'!$A$293:$A$306</c15:sqref>
                  </c15:fullRef>
                </c:ext>
              </c:extLst>
              <c:f>('AVE-EDAD'!$A$296,'AVE-EDAD'!$A$301,'AVE-EDAD'!$A$306)</c:f>
              <c:strCache>
                <c:ptCount val="3"/>
                <c:pt idx="0">
                  <c:v>C. VALENCIANA</c:v>
                </c:pt>
                <c:pt idx="1">
                  <c:v>EXTREMADURA</c:v>
                </c:pt>
                <c:pt idx="2">
                  <c:v>ESPAÑA</c:v>
                </c:pt>
              </c:strCache>
            </c:strRef>
          </c:cat>
          <c:val>
            <c:numRef>
              <c:extLst>
                <c:ext xmlns:c15="http://schemas.microsoft.com/office/drawing/2012/chart" uri="{02D57815-91ED-43cb-92C2-25804820EDAC}">
                  <c15:fullRef>
                    <c15:sqref>'AVE-EDAD'!$Y$293:$Y$306</c15:sqref>
                  </c15:fullRef>
                </c:ext>
              </c:extLst>
              <c:f>('AVE-EDAD'!$Y$296,'AVE-EDAD'!$Y$301,'AVE-EDAD'!$Y$306)</c:f>
              <c:numCache>
                <c:formatCode>0%</c:formatCode>
                <c:ptCount val="3"/>
                <c:pt idx="0" formatCode="0.0%">
                  <c:v>1.3698630136986301E-3</c:v>
                </c:pt>
                <c:pt idx="1" formatCode="0.0%">
                  <c:v>0.22222222222222221</c:v>
                </c:pt>
                <c:pt idx="2" formatCode="0.0%">
                  <c:v>7.1930946291560082E-3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2820592"/>
        <c:axId val="142829296"/>
      </c:barChart>
      <c:catAx>
        <c:axId val="14282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9296"/>
        <c:crosses val="autoZero"/>
        <c:auto val="1"/>
        <c:lblAlgn val="ctr"/>
        <c:lblOffset val="100"/>
        <c:noMultiLvlLbl val="0"/>
      </c:catAx>
      <c:valAx>
        <c:axId val="14282929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rgbClr val="00FFCC"/>
            </a:solidFill>
            <a:ln>
              <a:solidFill>
                <a:sysClr val="windowText" lastClr="000000"/>
              </a:solid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'AVE-EDAD'!$C$340:$X$340</c:f>
              <c:numCache>
                <c:formatCode>#,##0</c:formatCode>
                <c:ptCount val="22"/>
                <c:pt idx="0">
                  <c:v>14.239999999999998</c:v>
                </c:pt>
                <c:pt idx="1">
                  <c:v>0.88</c:v>
                </c:pt>
                <c:pt idx="2">
                  <c:v>0</c:v>
                </c:pt>
                <c:pt idx="3">
                  <c:v>0</c:v>
                </c:pt>
                <c:pt idx="4">
                  <c:v>3.3499999999999996</c:v>
                </c:pt>
                <c:pt idx="5">
                  <c:v>3.29</c:v>
                </c:pt>
                <c:pt idx="6">
                  <c:v>0</c:v>
                </c:pt>
                <c:pt idx="7">
                  <c:v>1.25</c:v>
                </c:pt>
                <c:pt idx="8">
                  <c:v>0.93</c:v>
                </c:pt>
                <c:pt idx="9">
                  <c:v>2.1</c:v>
                </c:pt>
                <c:pt idx="10">
                  <c:v>10.610000000000001</c:v>
                </c:pt>
                <c:pt idx="11">
                  <c:v>1.24</c:v>
                </c:pt>
                <c:pt idx="12">
                  <c:v>1.9300000000000002</c:v>
                </c:pt>
                <c:pt idx="13">
                  <c:v>4.5299999999999994</c:v>
                </c:pt>
                <c:pt idx="14">
                  <c:v>6.7799999999999994</c:v>
                </c:pt>
                <c:pt idx="15">
                  <c:v>6.9500000000000011</c:v>
                </c:pt>
                <c:pt idx="16">
                  <c:v>39.729999999999997</c:v>
                </c:pt>
                <c:pt idx="17">
                  <c:v>13.860000000000001</c:v>
                </c:pt>
                <c:pt idx="18">
                  <c:v>16.2</c:v>
                </c:pt>
                <c:pt idx="19">
                  <c:v>5.870000000000001</c:v>
                </c:pt>
                <c:pt idx="20">
                  <c:v>1.75</c:v>
                </c:pt>
                <c:pt idx="21">
                  <c:v>3.9299999999999997</c:v>
                </c:pt>
              </c:numCache>
            </c:numRef>
          </c:val>
          <c:extLst>
            <c:ext xmlns:c16="http://schemas.microsoft.com/office/drawing/2014/chart" uri="{C3380CC4-5D6E-409C-BE32-E72D297353CC}">
              <c16:uniqueId val="{00000000-9390-4222-B09A-B2A2B8E56587}"/>
            </c:ext>
          </c:extLst>
        </c:ser>
        <c:dLbls>
          <c:showLegendKey val="0"/>
          <c:showVal val="0"/>
          <c:showCatName val="0"/>
          <c:showSerName val="0"/>
          <c:showPercent val="0"/>
          <c:showBubbleSize val="0"/>
        </c:dLbls>
        <c:gapWidth val="219"/>
        <c:overlap val="-27"/>
        <c:axId val="142826032"/>
        <c:axId val="142827120"/>
      </c:barChart>
      <c:catAx>
        <c:axId val="1428260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7120"/>
        <c:crosses val="autoZero"/>
        <c:auto val="1"/>
        <c:lblAlgn val="ctr"/>
        <c:lblOffset val="100"/>
        <c:noMultiLvlLbl val="0"/>
      </c:catAx>
      <c:valAx>
        <c:axId val="142827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60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Avellano Regadío </a:t>
            </a:r>
            <a:r>
              <a:rPr lang="en-US" b="1" baseline="0"/>
              <a:t>Ecológico:</a:t>
            </a:r>
            <a:r>
              <a:rPr lang="en-US" b="1"/>
              <a:t> </a:t>
            </a:r>
          </a:p>
          <a:p>
            <a:pPr>
              <a:defRPr sz="1400" b="0" i="0" u="none" strike="noStrike" kern="1200" spc="0" baseline="0">
                <a:solidFill>
                  <a:sysClr val="windowText" lastClr="000000"/>
                </a:solidFill>
                <a:latin typeface="+mn-lt"/>
                <a:ea typeface="+mn-ea"/>
                <a:cs typeface="+mn-cs"/>
              </a:defRPr>
            </a:pPr>
            <a:r>
              <a:rPr lang="en-US"/>
              <a:t>Las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'AVE-EDAD'!$AL$329</c:f>
              <c:strCache>
                <c:ptCount val="1"/>
                <c:pt idx="0">
                  <c:v>Total</c:v>
                </c:pt>
              </c:strCache>
            </c:strRef>
          </c:tx>
          <c:spPr>
            <a:solidFill>
              <a:srgbClr val="00FFCC"/>
            </a:solidFill>
            <a:ln>
              <a:solidFill>
                <a:schemeClr val="accent6">
                  <a:lumMod val="75000"/>
                </a:schemeClr>
              </a:solidFill>
            </a:ln>
            <a:effectLst/>
          </c:spPr>
          <c:invertIfNegative val="0"/>
          <c:cat>
            <c:strRef>
              <c:f>'AVE-EDAD'!$AJ$330:$AJ$332</c:f>
              <c:strCache>
                <c:ptCount val="3"/>
                <c:pt idx="0">
                  <c:v>TARRAGONA</c:v>
                </c:pt>
                <c:pt idx="1">
                  <c:v>BARCELONA</c:v>
                </c:pt>
                <c:pt idx="2">
                  <c:v>CÁCERES</c:v>
                </c:pt>
              </c:strCache>
            </c:strRef>
          </c:cat>
          <c:val>
            <c:numRef>
              <c:f>'AVE-EDAD'!$AL$330:$AL$332</c:f>
              <c:numCache>
                <c:formatCode>#,##0</c:formatCode>
                <c:ptCount val="3"/>
                <c:pt idx="0">
                  <c:v>226.60000000000002</c:v>
                </c:pt>
                <c:pt idx="1">
                  <c:v>20.420000000000002</c:v>
                </c:pt>
                <c:pt idx="2" formatCode="#,##0.00">
                  <c:v>0.24000000000000005</c:v>
                </c:pt>
              </c:numCache>
            </c:numRef>
          </c:val>
          <c:extLst>
            <c:ext xmlns:c16="http://schemas.microsoft.com/office/drawing/2014/chart" uri="{C3380CC4-5D6E-409C-BE32-E72D297353CC}">
              <c16:uniqueId val="{00000000-B18C-46FC-A639-D511E9F5B290}"/>
            </c:ext>
          </c:extLst>
        </c:ser>
        <c:ser>
          <c:idx val="0"/>
          <c:order val="1"/>
          <c:tx>
            <c:strRef>
              <c:f>'AVE-EDAD'!$AK$329</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BB57BC3F-5482-46CA-B19A-027A8AED3B44}"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18C-46FC-A639-D511E9F5B290}"/>
                </c:ext>
              </c:extLst>
            </c:dLbl>
            <c:dLbl>
              <c:idx val="1"/>
              <c:tx>
                <c:rich>
                  <a:bodyPr/>
                  <a:lstStyle/>
                  <a:p>
                    <a:fld id="{D7437552-4C49-459E-BAEC-195C9E47D25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18C-46FC-A639-D511E9F5B290}"/>
                </c:ext>
              </c:extLst>
            </c:dLbl>
            <c:dLbl>
              <c:idx val="2"/>
              <c:tx>
                <c:rich>
                  <a:bodyPr/>
                  <a:lstStyle/>
                  <a:p>
                    <a:fld id="{0502CA24-B818-4777-AA2E-D68C188DFC0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18C-46FC-A639-D511E9F5B2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'AVE-EDAD'!$AJ$330:$AJ$332</c:f>
              <c:strCache>
                <c:ptCount val="3"/>
                <c:pt idx="0">
                  <c:v>TARRAGONA</c:v>
                </c:pt>
                <c:pt idx="1">
                  <c:v>BARCELONA</c:v>
                </c:pt>
                <c:pt idx="2">
                  <c:v>CÁCERES</c:v>
                </c:pt>
              </c:strCache>
            </c:strRef>
          </c:cat>
          <c:val>
            <c:numRef>
              <c:f>'AVE-EDAD'!$AK$330:$AK$332</c:f>
              <c:numCache>
                <c:formatCode>#,##0.00</c:formatCode>
                <c:ptCount val="3"/>
                <c:pt idx="0">
                  <c:v>10.97</c:v>
                </c:pt>
                <c:pt idx="1">
                  <c:v>0.56999999999999995</c:v>
                </c:pt>
                <c:pt idx="2">
                  <c:v>0.01</c:v>
                </c:pt>
              </c:numCache>
            </c:numRef>
          </c:val>
          <c:extLst>
            <c:ext xmlns:c15="http://schemas.microsoft.com/office/drawing/2012/chart" uri="{02D57815-91ED-43cb-92C2-25804820EDAC}">
              <c15:datalabelsRange>
                <c15:f>'AVE-EDAD'!$AM$330:$AM$332</c15:f>
                <c15:dlblRangeCache>
                  <c:ptCount val="3"/>
                  <c:pt idx="0">
                    <c:v>5%</c:v>
                  </c:pt>
                  <c:pt idx="1">
                    <c:v>3%</c:v>
                  </c:pt>
                  <c:pt idx="2">
                    <c:v>4%</c:v>
                  </c:pt>
                </c15:dlblRangeCache>
              </c15:datalabelsRange>
            </c:ext>
            <c:ext xmlns:c16="http://schemas.microsoft.com/office/drawing/2014/chart" uri="{C3380CC4-5D6E-409C-BE32-E72D297353CC}">
              <c16:uniqueId val="{00000004-B18C-46FC-A639-D511E9F5B290}"/>
            </c:ext>
          </c:extLst>
        </c:ser>
        <c:dLbls>
          <c:showLegendKey val="0"/>
          <c:showVal val="0"/>
          <c:showCatName val="0"/>
          <c:showSerName val="0"/>
          <c:showPercent val="0"/>
          <c:showBubbleSize val="0"/>
        </c:dLbls>
        <c:gapWidth val="150"/>
        <c:overlap val="-40"/>
        <c:axId val="142844528"/>
        <c:axId val="142827664"/>
      </c:barChart>
      <c:catAx>
        <c:axId val="142844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27664"/>
        <c:crosses val="autoZero"/>
        <c:auto val="1"/>
        <c:lblAlgn val="ctr"/>
        <c:lblOffset val="100"/>
        <c:noMultiLvlLbl val="0"/>
      </c:catAx>
      <c:valAx>
        <c:axId val="1428276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44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a:t>
            </a:r>
            <a:r>
              <a:rPr lang="es-ES" b="1" baseline="0">
                <a:solidFill>
                  <a:sysClr val="windowText" lastClr="000000"/>
                </a:solidFill>
              </a:rPr>
              <a:t>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'AVE-EDAD'!$AP$327</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C684E0E7-2271-482F-8BB3-62FDCD5CC033}"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55B-476D-872C-632BE5C3218D}"/>
                </c:ext>
              </c:extLst>
            </c:dLbl>
            <c:dLbl>
              <c:idx val="1"/>
              <c:tx>
                <c:rich>
                  <a:bodyPr/>
                  <a:lstStyle/>
                  <a:p>
                    <a:fld id="{82D3BB9B-E5F2-4247-8E91-51099468A96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55B-476D-872C-632BE5C3218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'AVE-EDAD'!$AO$328:$AO$329</c:f>
              <c:strCache>
                <c:ptCount val="2"/>
                <c:pt idx="0">
                  <c:v>CATALUÑA</c:v>
                </c:pt>
                <c:pt idx="1">
                  <c:v>EXTREMADURA</c:v>
                </c:pt>
              </c:strCache>
            </c:strRef>
          </c:cat>
          <c:val>
            <c:numRef>
              <c:f>'AVE-EDAD'!$AP$328:$AP$329</c:f>
              <c:numCache>
                <c:formatCode>#,##0.00</c:formatCode>
                <c:ptCount val="2"/>
                <c:pt idx="0" formatCode="#,##0">
                  <c:v>11.540000000000001</c:v>
                </c:pt>
                <c:pt idx="1">
                  <c:v>0.01</c:v>
                </c:pt>
              </c:numCache>
            </c:numRef>
          </c:val>
          <c:extLst>
            <c:ext xmlns:c15="http://schemas.microsoft.com/office/drawing/2012/chart" uri="{02D57815-91ED-43cb-92C2-25804820EDAC}">
              <c15:datalabelsRange>
                <c15:f>'AVE-EDAD'!$AR$328:$AR$329</c15:f>
                <c15:dlblRangeCache>
                  <c:ptCount val="2"/>
                  <c:pt idx="0">
                    <c:v>5%</c:v>
                  </c:pt>
                  <c:pt idx="1">
                    <c:v>4%</c:v>
                  </c:pt>
                </c15:dlblRangeCache>
              </c15:datalabelsRange>
            </c:ext>
            <c:ext xmlns:c16="http://schemas.microsoft.com/office/drawing/2014/chart" uri="{C3380CC4-5D6E-409C-BE32-E72D297353CC}">
              <c16:uniqueId val="{00000002-B55B-476D-872C-632BE5C3218D}"/>
            </c:ext>
          </c:extLst>
        </c:ser>
        <c:ser>
          <c:idx val="1"/>
          <c:order val="1"/>
          <c:tx>
            <c:strRef>
              <c:f>'AVE-EDAD'!$AQ$327</c:f>
              <c:strCache>
                <c:ptCount val="1"/>
                <c:pt idx="0">
                  <c:v>Total</c:v>
                </c:pt>
              </c:strCache>
            </c:strRef>
          </c:tx>
          <c:spPr>
            <a:solidFill>
              <a:srgbClr val="00FFCC"/>
            </a:solidFill>
            <a:ln>
              <a:solidFill>
                <a:schemeClr val="accent6">
                  <a:lumMod val="75000"/>
                </a:schemeClr>
              </a:solidFill>
            </a:ln>
            <a:effectLst/>
          </c:spPr>
          <c:invertIfNegative val="0"/>
          <c:cat>
            <c:strRef>
              <c:f>'AVE-EDAD'!$AO$328:$AO$329</c:f>
              <c:strCache>
                <c:ptCount val="2"/>
                <c:pt idx="0">
                  <c:v>CATALUÑA</c:v>
                </c:pt>
                <c:pt idx="1">
                  <c:v>EXTREMADURA</c:v>
                </c:pt>
              </c:strCache>
            </c:strRef>
          </c:cat>
          <c:val>
            <c:numRef>
              <c:f>'AVE-EDAD'!$AQ$328:$AQ$329</c:f>
              <c:numCache>
                <c:formatCode>#,##0.00</c:formatCode>
                <c:ptCount val="2"/>
                <c:pt idx="0" formatCode="#,##0">
                  <c:v>247.05</c:v>
                </c:pt>
                <c:pt idx="1">
                  <c:v>0.24000000000000005</c:v>
                </c:pt>
              </c:numCache>
            </c:numRef>
          </c:val>
          <c:extLst>
            <c:ext xmlns:c16="http://schemas.microsoft.com/office/drawing/2014/chart" uri="{C3380CC4-5D6E-409C-BE32-E72D297353CC}">
              <c16:uniqueId val="{00000003-B55B-476D-872C-632BE5C3218D}"/>
            </c:ext>
          </c:extLst>
        </c:ser>
        <c:dLbls>
          <c:showLegendKey val="0"/>
          <c:showVal val="0"/>
          <c:showCatName val="0"/>
          <c:showSerName val="0"/>
          <c:showPercent val="0"/>
          <c:showBubbleSize val="0"/>
        </c:dLbls>
        <c:gapWidth val="100"/>
        <c:axId val="142829840"/>
        <c:axId val="142840720"/>
      </c:barChart>
      <c:catAx>
        <c:axId val="14282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0720"/>
        <c:crosses val="autoZero"/>
        <c:auto val="1"/>
        <c:lblAlgn val="ctr"/>
        <c:lblOffset val="100"/>
        <c:noMultiLvlLbl val="0"/>
      </c:catAx>
      <c:valAx>
        <c:axId val="142840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9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a:t>
            </a:r>
            <a:r>
              <a:rPr lang="es-ES" b="1" baseline="0">
                <a:solidFill>
                  <a:sysClr val="windowText" lastClr="000000"/>
                </a:solidFill>
              </a:rPr>
              <a:t> </a:t>
            </a:r>
            <a:r>
              <a:rPr lang="es-ES" b="1">
                <a:solidFill>
                  <a:sysClr val="windowText" lastClr="000000"/>
                </a:solidFill>
              </a:rPr>
              <a:t>Secano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'AVE-EDAD'!$C$173:$X$173</c:f>
              <c:numCache>
                <c:formatCode>#,##0</c:formatCode>
                <c:ptCount val="22"/>
                <c:pt idx="0">
                  <c:v>97.03</c:v>
                </c:pt>
                <c:pt idx="1">
                  <c:v>16.849999999999998</c:v>
                </c:pt>
                <c:pt idx="2">
                  <c:v>2.96</c:v>
                </c:pt>
                <c:pt idx="3">
                  <c:v>3.7100000000000004</c:v>
                </c:pt>
                <c:pt idx="4">
                  <c:v>8.7899999999999991</c:v>
                </c:pt>
                <c:pt idx="5">
                  <c:v>5.9399999999999995</c:v>
                </c:pt>
                <c:pt idx="6">
                  <c:v>3.64</c:v>
                </c:pt>
                <c:pt idx="7">
                  <c:v>3.4299999999999997</c:v>
                </c:pt>
                <c:pt idx="8">
                  <c:v>5.75</c:v>
                </c:pt>
                <c:pt idx="9">
                  <c:v>1.74</c:v>
                </c:pt>
                <c:pt idx="10">
                  <c:v>8.2800000000000011</c:v>
                </c:pt>
                <c:pt idx="11">
                  <c:v>2.35</c:v>
                </c:pt>
                <c:pt idx="12">
                  <c:v>11.869999999999997</c:v>
                </c:pt>
                <c:pt idx="13">
                  <c:v>5.9999999999999991</c:v>
                </c:pt>
                <c:pt idx="14">
                  <c:v>8.0500000000000007</c:v>
                </c:pt>
                <c:pt idx="15">
                  <c:v>13.229999999999999</c:v>
                </c:pt>
                <c:pt idx="16">
                  <c:v>24.099999999999994</c:v>
                </c:pt>
                <c:pt idx="17">
                  <c:v>17.13</c:v>
                </c:pt>
                <c:pt idx="18">
                  <c:v>25.430000000000003</c:v>
                </c:pt>
                <c:pt idx="19">
                  <c:v>18.849999999999998</c:v>
                </c:pt>
                <c:pt idx="20">
                  <c:v>21.43</c:v>
                </c:pt>
                <c:pt idx="21">
                  <c:v>13.2</c:v>
                </c:pt>
              </c:numCache>
            </c:numRef>
          </c:val>
          <c:extLst>
            <c:ext xmlns:c16="http://schemas.microsoft.com/office/drawing/2014/chart" uri="{C3380CC4-5D6E-409C-BE32-E72D297353CC}">
              <c16:uniqueId val="{00000000-FEA8-4234-9CBD-D5EC9D23F42F}"/>
            </c:ext>
          </c:extLst>
        </c:ser>
        <c:dLbls>
          <c:showLegendKey val="0"/>
          <c:showVal val="0"/>
          <c:showCatName val="0"/>
          <c:showSerName val="0"/>
          <c:showPercent val="0"/>
          <c:showBubbleSize val="0"/>
        </c:dLbls>
        <c:gapWidth val="219"/>
        <c:overlap val="-27"/>
        <c:axId val="142828208"/>
        <c:axId val="142845616"/>
      </c:barChart>
      <c:catAx>
        <c:axId val="142828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5616"/>
        <c:crosses val="autoZero"/>
        <c:auto val="1"/>
        <c:lblAlgn val="ctr"/>
        <c:lblOffset val="100"/>
        <c:noMultiLvlLbl val="0"/>
      </c:catAx>
      <c:valAx>
        <c:axId val="142845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8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Avellano Secano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'AVE-EDAD'!$AL$144</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'AVE-EDAD'!$AJ$145:$AJ$154</c:f>
              <c:strCache>
                <c:ptCount val="10"/>
                <c:pt idx="0">
                  <c:v>TARRAGONA</c:v>
                </c:pt>
                <c:pt idx="1">
                  <c:v>GIRONA</c:v>
                </c:pt>
                <c:pt idx="2">
                  <c:v>NAVARRA</c:v>
                </c:pt>
                <c:pt idx="3">
                  <c:v>LEÓN</c:v>
                </c:pt>
                <c:pt idx="4">
                  <c:v>CASTELLÓN</c:v>
                </c:pt>
                <c:pt idx="5">
                  <c:v>BURGOS</c:v>
                </c:pt>
                <c:pt idx="6">
                  <c:v>LA RIOJA</c:v>
                </c:pt>
                <c:pt idx="7">
                  <c:v>LUGO</c:v>
                </c:pt>
                <c:pt idx="8">
                  <c:v>PONTEVEDRA</c:v>
                </c:pt>
                <c:pt idx="9">
                  <c:v>OURENSE</c:v>
                </c:pt>
              </c:strCache>
            </c:strRef>
          </c:cat>
          <c:val>
            <c:numRef>
              <c:f>'AVE-EDAD'!$AL$145:$AL$154</c:f>
              <c:numCache>
                <c:formatCode>#,##0</c:formatCode>
                <c:ptCount val="10"/>
                <c:pt idx="0">
                  <c:v>2192.4499999999957</c:v>
                </c:pt>
                <c:pt idx="1">
                  <c:v>372.43000000000006</c:v>
                </c:pt>
                <c:pt idx="2">
                  <c:v>5.87</c:v>
                </c:pt>
                <c:pt idx="3">
                  <c:v>3.32</c:v>
                </c:pt>
                <c:pt idx="4">
                  <c:v>390.35000000000014</c:v>
                </c:pt>
                <c:pt idx="5">
                  <c:v>2.25</c:v>
                </c:pt>
                <c:pt idx="6">
                  <c:v>0.88000000000000012</c:v>
                </c:pt>
                <c:pt idx="7">
                  <c:v>0.61</c:v>
                </c:pt>
                <c:pt idx="8">
                  <c:v>0.33999999999999997</c:v>
                </c:pt>
                <c:pt idx="9">
                  <c:v>0.37</c:v>
                </c:pt>
              </c:numCache>
            </c:numRef>
          </c:val>
          <c:extLst>
            <c:ext xmlns:c16="http://schemas.microsoft.com/office/drawing/2014/chart" uri="{C3380CC4-5D6E-409C-BE32-E72D297353CC}">
              <c16:uniqueId val="{00000000-74B4-4D1C-9BB9-1EBF906160E8}"/>
            </c:ext>
          </c:extLst>
        </c:ser>
        <c:ser>
          <c:idx val="0"/>
          <c:order val="1"/>
          <c:tx>
            <c:strRef>
              <c:f>'AVE-EDAD'!$AK$144</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813BD0A6-2C25-4AB3-9B59-ABD8F7A4CAE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4B4-4D1C-9BB9-1EBF906160E8}"/>
                </c:ext>
              </c:extLst>
            </c:dLbl>
            <c:dLbl>
              <c:idx val="1"/>
              <c:tx>
                <c:rich>
                  <a:bodyPr/>
                  <a:lstStyle/>
                  <a:p>
                    <a:fld id="{FD80EA0B-2DF2-4D34-81B0-2C8A55226ED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4B4-4D1C-9BB9-1EBF906160E8}"/>
                </c:ext>
              </c:extLst>
            </c:dLbl>
            <c:dLbl>
              <c:idx val="2"/>
              <c:tx>
                <c:rich>
                  <a:bodyPr/>
                  <a:lstStyle/>
                  <a:p>
                    <a:fld id="{855E4A8C-7BD0-4AAC-9912-92210B2142F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B4-4D1C-9BB9-1EBF906160E8}"/>
                </c:ext>
              </c:extLst>
            </c:dLbl>
            <c:dLbl>
              <c:idx val="3"/>
              <c:tx>
                <c:rich>
                  <a:bodyPr/>
                  <a:lstStyle/>
                  <a:p>
                    <a:fld id="{B5EF07D5-0BED-480E-83E1-1D343947A91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B4-4D1C-9BB9-1EBF906160E8}"/>
                </c:ext>
              </c:extLst>
            </c:dLbl>
            <c:dLbl>
              <c:idx val="4"/>
              <c:tx>
                <c:rich>
                  <a:bodyPr/>
                  <a:lstStyle/>
                  <a:p>
                    <a:fld id="{38D79EDB-490C-45CB-9820-422A8B6559E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B4-4D1C-9BB9-1EBF906160E8}"/>
                </c:ext>
              </c:extLst>
            </c:dLbl>
            <c:dLbl>
              <c:idx val="5"/>
              <c:tx>
                <c:rich>
                  <a:bodyPr/>
                  <a:lstStyle/>
                  <a:p>
                    <a:fld id="{5D2751B8-F3EC-4918-B938-C5F9758A301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B4-4D1C-9BB9-1EBF906160E8}"/>
                </c:ext>
              </c:extLst>
            </c:dLbl>
            <c:dLbl>
              <c:idx val="6"/>
              <c:tx>
                <c:rich>
                  <a:bodyPr/>
                  <a:lstStyle/>
                  <a:p>
                    <a:fld id="{B96BF0F1-36A8-4F7D-BA0E-0B081E7A054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B4-4D1C-9BB9-1EBF906160E8}"/>
                </c:ext>
              </c:extLst>
            </c:dLbl>
            <c:dLbl>
              <c:idx val="7"/>
              <c:tx>
                <c:rich>
                  <a:bodyPr/>
                  <a:lstStyle/>
                  <a:p>
                    <a:fld id="{6DF20328-0B54-413C-8E04-3EC4B5E3D1D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B4-4D1C-9BB9-1EBF906160E8}"/>
                </c:ext>
              </c:extLst>
            </c:dLbl>
            <c:dLbl>
              <c:idx val="8"/>
              <c:tx>
                <c:rich>
                  <a:bodyPr/>
                  <a:lstStyle/>
                  <a:p>
                    <a:fld id="{141CF8C4-0A53-4C1A-831D-3648DA5CFCE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B4-4D1C-9BB9-1EBF906160E8}"/>
                </c:ext>
              </c:extLst>
            </c:dLbl>
            <c:dLbl>
              <c:idx val="9"/>
              <c:tx>
                <c:rich>
                  <a:bodyPr/>
                  <a:lstStyle/>
                  <a:p>
                    <a:fld id="{AA6108DA-E3D3-42C3-AE71-523392697BD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B4-4D1C-9BB9-1EBF906160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'AVE-EDAD'!$AJ$145:$AJ$154</c:f>
              <c:strCache>
                <c:ptCount val="10"/>
                <c:pt idx="0">
                  <c:v>TARRAGONA</c:v>
                </c:pt>
                <c:pt idx="1">
                  <c:v>GIRONA</c:v>
                </c:pt>
                <c:pt idx="2">
                  <c:v>NAVARRA</c:v>
                </c:pt>
                <c:pt idx="3">
                  <c:v>LEÓN</c:v>
                </c:pt>
                <c:pt idx="4">
                  <c:v>CASTELLÓN</c:v>
                </c:pt>
                <c:pt idx="5">
                  <c:v>BURGOS</c:v>
                </c:pt>
                <c:pt idx="6">
                  <c:v>LA RIOJA</c:v>
                </c:pt>
                <c:pt idx="7">
                  <c:v>LUGO</c:v>
                </c:pt>
                <c:pt idx="8">
                  <c:v>PONTEVEDRA</c:v>
                </c:pt>
                <c:pt idx="9">
                  <c:v>OURENSE</c:v>
                </c:pt>
              </c:strCache>
            </c:strRef>
          </c:cat>
          <c:val>
            <c:numRef>
              <c:f>'AVE-EDAD'!$AK$145:$AK$154</c:f>
              <c:numCache>
                <c:formatCode>#,##0</c:formatCode>
                <c:ptCount val="10"/>
                <c:pt idx="0">
                  <c:v>37.919999999999995</c:v>
                </c:pt>
                <c:pt idx="1">
                  <c:v>25.750000000000004</c:v>
                </c:pt>
                <c:pt idx="2">
                  <c:v>5.15</c:v>
                </c:pt>
                <c:pt idx="3">
                  <c:v>3.17</c:v>
                </c:pt>
                <c:pt idx="4">
                  <c:v>2.97</c:v>
                </c:pt>
                <c:pt idx="5">
                  <c:v>2.16</c:v>
                </c:pt>
                <c:pt idx="6" formatCode="#,##0.00">
                  <c:v>0.46</c:v>
                </c:pt>
                <c:pt idx="7" formatCode="#,##0.00">
                  <c:v>0.43</c:v>
                </c:pt>
                <c:pt idx="8" formatCode="#,##0.00">
                  <c:v>0.33999999999999997</c:v>
                </c:pt>
                <c:pt idx="9" formatCode="#,##0.00">
                  <c:v>0.2</c:v>
                </c:pt>
              </c:numCache>
            </c:numRef>
          </c:val>
          <c:extLst>
            <c:ext xmlns:c15="http://schemas.microsoft.com/office/drawing/2012/chart" uri="{02D57815-91ED-43cb-92C2-25804820EDAC}">
              <c15:datalabelsRange>
                <c15:f>'AVE-EDAD'!$AM$145:$AM$154</c15:f>
                <c15:dlblRangeCache>
                  <c:ptCount val="10"/>
                  <c:pt idx="0">
                    <c:v>2%</c:v>
                  </c:pt>
                  <c:pt idx="1">
                    <c:v>7%</c:v>
                  </c:pt>
                  <c:pt idx="2">
                    <c:v>88%</c:v>
                  </c:pt>
                  <c:pt idx="3">
                    <c:v>95%</c:v>
                  </c:pt>
                  <c:pt idx="4">
                    <c:v>1%</c:v>
                  </c:pt>
                  <c:pt idx="5">
                    <c:v>96%</c:v>
                  </c:pt>
                  <c:pt idx="6">
                    <c:v>52%</c:v>
                  </c:pt>
                  <c:pt idx="7">
                    <c:v>70%</c:v>
                  </c:pt>
                  <c:pt idx="8">
                    <c:v>100%</c:v>
                  </c:pt>
                  <c:pt idx="9">
                    <c:v>54%</c:v>
                  </c:pt>
                </c15:dlblRangeCache>
              </c15:datalabelsRange>
            </c:ext>
            <c:ext xmlns:c16="http://schemas.microsoft.com/office/drawing/2014/chart" uri="{C3380CC4-5D6E-409C-BE32-E72D297353CC}">
              <c16:uniqueId val="{0000000B-74B4-4D1C-9BB9-1EBF906160E8}"/>
            </c:ext>
          </c:extLst>
        </c:ser>
        <c:dLbls>
          <c:showLegendKey val="0"/>
          <c:showVal val="0"/>
          <c:showCatName val="0"/>
          <c:showSerName val="0"/>
          <c:showPercent val="0"/>
          <c:showBubbleSize val="0"/>
        </c:dLbls>
        <c:gapWidth val="150"/>
        <c:overlap val="-40"/>
        <c:axId val="142837456"/>
        <c:axId val="142839632"/>
      </c:barChart>
      <c:catAx>
        <c:axId val="142837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39632"/>
        <c:crosses val="autoZero"/>
        <c:auto val="1"/>
        <c:lblAlgn val="ctr"/>
        <c:lblOffset val="100"/>
        <c:noMultiLvlLbl val="0"/>
      </c:catAx>
      <c:valAx>
        <c:axId val="142839632"/>
        <c:scaling>
          <c:orientation val="minMax"/>
          <c:max val="22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3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Secano</a:t>
            </a:r>
            <a:r>
              <a:rPr lang="es-ES" b="1" baseline="0">
                <a:solidFill>
                  <a:sysClr val="windowText" lastClr="000000"/>
                </a:solidFill>
              </a:rPr>
              <a:t> 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'AVE-EDAD'!$AP$142</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F995E7ED-97AA-442E-BFA6-01B6835E4E9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07E-46E3-B6D4-1A4879569209}"/>
                </c:ext>
              </c:extLst>
            </c:dLbl>
            <c:dLbl>
              <c:idx val="1"/>
              <c:tx>
                <c:rich>
                  <a:bodyPr/>
                  <a:lstStyle/>
                  <a:p>
                    <a:fld id="{C9891BCB-024E-4630-BED1-8630B4F6F67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07E-46E3-B6D4-1A4879569209}"/>
                </c:ext>
              </c:extLst>
            </c:dLbl>
            <c:dLbl>
              <c:idx val="2"/>
              <c:tx>
                <c:rich>
                  <a:bodyPr/>
                  <a:lstStyle/>
                  <a:p>
                    <a:fld id="{88D7F056-3B2A-4A1E-A60E-3FDA78CFE73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07E-46E3-B6D4-1A487956920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'AVE-EDAD'!$AO$143:$AO$145</c:f>
              <c:strCache>
                <c:ptCount val="3"/>
                <c:pt idx="0">
                  <c:v>CATALUÑA</c:v>
                </c:pt>
                <c:pt idx="1">
                  <c:v>C. y LEÓN</c:v>
                </c:pt>
                <c:pt idx="2">
                  <c:v>NAVARRA</c:v>
                </c:pt>
              </c:strCache>
            </c:strRef>
          </c:cat>
          <c:val>
            <c:numRef>
              <c:f>'AVE-EDAD'!$AP$143:$AP$145</c:f>
              <c:numCache>
                <c:formatCode>#,##0</c:formatCode>
                <c:ptCount val="3"/>
                <c:pt idx="0">
                  <c:v>63.769999999999996</c:v>
                </c:pt>
                <c:pt idx="1">
                  <c:v>5.33</c:v>
                </c:pt>
                <c:pt idx="2">
                  <c:v>5.15</c:v>
                </c:pt>
              </c:numCache>
            </c:numRef>
          </c:val>
          <c:extLst>
            <c:ext xmlns:c15="http://schemas.microsoft.com/office/drawing/2012/chart" uri="{02D57815-91ED-43cb-92C2-25804820EDAC}">
              <c15:datalabelsRange>
                <c15:f>'AVE-EDAD'!$AR$143:$AR$145</c15:f>
                <c15:dlblRangeCache>
                  <c:ptCount val="3"/>
                  <c:pt idx="0">
                    <c:v>2%</c:v>
                  </c:pt>
                  <c:pt idx="1">
                    <c:v>93%</c:v>
                  </c:pt>
                  <c:pt idx="2">
                    <c:v>88%</c:v>
                  </c:pt>
                </c15:dlblRangeCache>
              </c15:datalabelsRange>
            </c:ext>
            <c:ext xmlns:c16="http://schemas.microsoft.com/office/drawing/2014/chart" uri="{C3380CC4-5D6E-409C-BE32-E72D297353CC}">
              <c16:uniqueId val="{00000003-A07E-46E3-B6D4-1A4879569209}"/>
            </c:ext>
          </c:extLst>
        </c:ser>
        <c:ser>
          <c:idx val="1"/>
          <c:order val="1"/>
          <c:tx>
            <c:strRef>
              <c:f>'AVE-EDAD'!$AQ$142</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'AVE-EDAD'!$AO$143:$AO$145</c:f>
              <c:strCache>
                <c:ptCount val="3"/>
                <c:pt idx="0">
                  <c:v>CATALUÑA</c:v>
                </c:pt>
                <c:pt idx="1">
                  <c:v>C. y LEÓN</c:v>
                </c:pt>
                <c:pt idx="2">
                  <c:v>NAVARRA</c:v>
                </c:pt>
              </c:strCache>
            </c:strRef>
          </c:cat>
          <c:val>
            <c:numRef>
              <c:f>'AVE-EDAD'!$AQ$143:$AQ$145</c:f>
              <c:numCache>
                <c:formatCode>#,##0</c:formatCode>
                <c:ptCount val="3"/>
                <c:pt idx="0">
                  <c:v>2606.5299999999957</c:v>
                </c:pt>
                <c:pt idx="1">
                  <c:v>5.7600000000000007</c:v>
                </c:pt>
                <c:pt idx="2">
                  <c:v>5.87</c:v>
                </c:pt>
              </c:numCache>
            </c:numRef>
          </c:val>
          <c:extLst>
            <c:ext xmlns:c16="http://schemas.microsoft.com/office/drawing/2014/chart" uri="{C3380CC4-5D6E-409C-BE32-E72D297353CC}">
              <c16:uniqueId val="{00000004-A07E-46E3-B6D4-1A4879569209}"/>
            </c:ext>
          </c:extLst>
        </c:ser>
        <c:dLbls>
          <c:showLegendKey val="0"/>
          <c:showVal val="0"/>
          <c:showCatName val="0"/>
          <c:showSerName val="0"/>
          <c:showPercent val="0"/>
          <c:showBubbleSize val="0"/>
        </c:dLbls>
        <c:gapWidth val="100"/>
        <c:axId val="142840176"/>
        <c:axId val="142842352"/>
      </c:barChart>
      <c:catAx>
        <c:axId val="142840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2352"/>
        <c:crosses val="autoZero"/>
        <c:auto val="1"/>
        <c:lblAlgn val="ctr"/>
        <c:lblOffset val="100"/>
        <c:noMultiLvlLbl val="0"/>
      </c:catAx>
      <c:valAx>
        <c:axId val="142842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'AVE-EDAD'!$C$224:$X$224</c:f>
              <c:numCache>
                <c:formatCode>#,##0</c:formatCode>
                <c:ptCount val="22"/>
                <c:pt idx="0">
                  <c:v>289.57999999999981</c:v>
                </c:pt>
                <c:pt idx="1">
                  <c:v>66.75</c:v>
                </c:pt>
                <c:pt idx="2">
                  <c:v>68.839999999999989</c:v>
                </c:pt>
                <c:pt idx="3">
                  <c:v>48.050000000000004</c:v>
                </c:pt>
                <c:pt idx="4">
                  <c:v>69.719999999999985</c:v>
                </c:pt>
                <c:pt idx="5">
                  <c:v>93.82</c:v>
                </c:pt>
                <c:pt idx="6">
                  <c:v>34.210000000000008</c:v>
                </c:pt>
                <c:pt idx="7">
                  <c:v>44.769999999999996</c:v>
                </c:pt>
                <c:pt idx="8">
                  <c:v>63.500000000000007</c:v>
                </c:pt>
                <c:pt idx="9">
                  <c:v>32.129999999999995</c:v>
                </c:pt>
                <c:pt idx="10">
                  <c:v>81.839999999999989</c:v>
                </c:pt>
                <c:pt idx="11">
                  <c:v>49.319999999999993</c:v>
                </c:pt>
                <c:pt idx="12">
                  <c:v>71.930000000000007</c:v>
                </c:pt>
                <c:pt idx="13">
                  <c:v>123.44999999999995</c:v>
                </c:pt>
                <c:pt idx="14">
                  <c:v>177.55000000000007</c:v>
                </c:pt>
                <c:pt idx="15">
                  <c:v>217.76000000000005</c:v>
                </c:pt>
                <c:pt idx="16">
                  <c:v>168.25999999999991</c:v>
                </c:pt>
                <c:pt idx="17">
                  <c:v>164.31999999999994</c:v>
                </c:pt>
                <c:pt idx="18">
                  <c:v>149.33999999999995</c:v>
                </c:pt>
                <c:pt idx="19">
                  <c:v>137.43999999999997</c:v>
                </c:pt>
                <c:pt idx="20">
                  <c:v>119.46000000000002</c:v>
                </c:pt>
                <c:pt idx="21">
                  <c:v>153.40999999999994</c:v>
                </c:pt>
              </c:numCache>
            </c:numRef>
          </c:val>
          <c:extLst>
            <c:ext xmlns:c16="http://schemas.microsoft.com/office/drawing/2014/chart" uri="{C3380CC4-5D6E-409C-BE32-E72D297353CC}">
              <c16:uniqueId val="{00000000-BD36-4143-9A28-B524DAF27602}"/>
            </c:ext>
          </c:extLst>
        </c:ser>
        <c:dLbls>
          <c:showLegendKey val="0"/>
          <c:showVal val="0"/>
          <c:showCatName val="0"/>
          <c:showSerName val="0"/>
          <c:showPercent val="0"/>
          <c:showBubbleSize val="0"/>
        </c:dLbls>
        <c:gapWidth val="219"/>
        <c:overlap val="-27"/>
        <c:axId val="142843984"/>
        <c:axId val="142846160"/>
      </c:barChart>
      <c:catAx>
        <c:axId val="1428439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6160"/>
        <c:crosses val="autoZero"/>
        <c:auto val="1"/>
        <c:lblAlgn val="ctr"/>
        <c:lblOffset val="100"/>
        <c:noMultiLvlLbl val="0"/>
      </c:catAx>
      <c:valAx>
        <c:axId val="142846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3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rPr>
              <a:t>Almendro Regadío: </a:t>
            </a: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RSU REGEPA 2021 vs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bar"/>
        <c:grouping val="clustered"/>
        <c:varyColors val="0"/>
        <c:ser>
          <c:idx val="0"/>
          <c:order val="0"/>
          <c:tx>
            <c:strRef>
              <c:f>'ALM-REPR'!$T$76</c:f>
              <c:strCache>
                <c:ptCount val="1"/>
                <c:pt idx="0">
                  <c:v>RSU REGEPA 2020</c:v>
                </c:pt>
              </c:strCache>
            </c:strRef>
          </c:tx>
          <c:spPr>
            <a:solidFill>
              <a:schemeClr val="accent5">
                <a:shade val="76000"/>
              </a:schemeClr>
            </a:solidFill>
            <a:ln>
              <a:noFill/>
            </a:ln>
            <a:effectLst/>
          </c:spPr>
          <c:invertIfNegative val="0"/>
          <c:cat>
            <c:strRef>
              <c:f>'ALM-REPR'!$S$77:$S$82</c:f>
              <c:strCache>
                <c:ptCount val="6"/>
                <c:pt idx="0">
                  <c:v>ANDALUCÍA</c:v>
                </c:pt>
                <c:pt idx="1">
                  <c:v>C.-LA MANCHA</c:v>
                </c:pt>
                <c:pt idx="2">
                  <c:v>ARAGÓN</c:v>
                </c:pt>
                <c:pt idx="3">
                  <c:v>CATALUÑA</c:v>
                </c:pt>
                <c:pt idx="4">
                  <c:v>C. VALENCIANA</c:v>
                </c:pt>
                <c:pt idx="5">
                  <c:v>MURCIA</c:v>
                </c:pt>
              </c:strCache>
            </c:strRef>
          </c:cat>
          <c:val>
            <c:numRef>
              <c:f>'ALM-REPR'!$T$77:$T$82</c:f>
              <c:numCache>
                <c:formatCode>#,##0</c:formatCode>
                <c:ptCount val="6"/>
                <c:pt idx="0">
                  <c:v>24837.79</c:v>
                </c:pt>
                <c:pt idx="1">
                  <c:v>19052.830000000009</c:v>
                </c:pt>
                <c:pt idx="2">
                  <c:v>18893.05</c:v>
                </c:pt>
                <c:pt idx="3">
                  <c:v>11074.97</c:v>
                </c:pt>
                <c:pt idx="4">
                  <c:v>8162.7999999999947</c:v>
                </c:pt>
                <c:pt idx="5">
                  <c:v>6795.8499999999958</c:v>
                </c:pt>
              </c:numCache>
            </c:numRef>
          </c:val>
          <c:extLst>
            <c:ext xmlns:c16="http://schemas.microsoft.com/office/drawing/2014/chart" uri="{C3380CC4-5D6E-409C-BE32-E72D297353CC}">
              <c16:uniqueId val="{00000000-89CE-4E45-9963-AE165A118FB6}"/>
            </c:ext>
          </c:extLst>
        </c:ser>
        <c:ser>
          <c:idx val="1"/>
          <c:order val="1"/>
          <c:tx>
            <c:strRef>
              <c:f>'ALM-REPR'!$U$76</c:f>
              <c:strCache>
                <c:ptCount val="1"/>
                <c:pt idx="0">
                  <c:v>RSU REGEPA 2021</c:v>
                </c:pt>
              </c:strCache>
            </c:strRef>
          </c:tx>
          <c:spPr>
            <a:solidFill>
              <a:schemeClr val="accent5">
                <a:tint val="77000"/>
              </a:schemeClr>
            </a:solidFill>
            <a:ln>
              <a:noFill/>
            </a:ln>
            <a:effectLst/>
          </c:spPr>
          <c:invertIfNegative val="0"/>
          <c:dLbls>
            <c:dLbl>
              <c:idx val="0"/>
              <c:tx>
                <c:rich>
                  <a:bodyPr/>
                  <a:lstStyle/>
                  <a:p>
                    <a:fld id="{3FB41148-AB55-4A8E-94EC-3BB6B0785E7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9CE-4E45-9963-AE165A118FB6}"/>
                </c:ext>
              </c:extLst>
            </c:dLbl>
            <c:dLbl>
              <c:idx val="1"/>
              <c:tx>
                <c:rich>
                  <a:bodyPr/>
                  <a:lstStyle/>
                  <a:p>
                    <a:fld id="{A2257693-65C8-4E72-95A8-A2C4A237167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CE-4E45-9963-AE165A118FB6}"/>
                </c:ext>
              </c:extLst>
            </c:dLbl>
            <c:dLbl>
              <c:idx val="2"/>
              <c:tx>
                <c:rich>
                  <a:bodyPr/>
                  <a:lstStyle/>
                  <a:p>
                    <a:fld id="{04BA06BB-51B8-49EC-96AC-CE7E8F45571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CE-4E45-9963-AE165A118FB6}"/>
                </c:ext>
              </c:extLst>
            </c:dLbl>
            <c:dLbl>
              <c:idx val="3"/>
              <c:tx>
                <c:rich>
                  <a:bodyPr/>
                  <a:lstStyle/>
                  <a:p>
                    <a:fld id="{36F88845-BFDB-4CB6-90DB-BC0B25C7E19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CE-4E45-9963-AE165A118FB6}"/>
                </c:ext>
              </c:extLst>
            </c:dLbl>
            <c:dLbl>
              <c:idx val="4"/>
              <c:tx>
                <c:rich>
                  <a:bodyPr/>
                  <a:lstStyle/>
                  <a:p>
                    <a:fld id="{9DBED343-11D3-4FF4-9289-AED876081F8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CE-4E45-9963-AE165A118FB6}"/>
                </c:ext>
              </c:extLst>
            </c:dLbl>
            <c:dLbl>
              <c:idx val="5"/>
              <c:tx>
                <c:rich>
                  <a:bodyPr/>
                  <a:lstStyle/>
                  <a:p>
                    <a:fld id="{79E59137-4B82-49F9-A461-F496E60E69F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CE-4E45-9963-AE165A118FB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'ALM-REPR'!$S$77:$S$82</c:f>
              <c:strCache>
                <c:ptCount val="6"/>
                <c:pt idx="0">
                  <c:v>ANDALUCÍA</c:v>
                </c:pt>
                <c:pt idx="1">
                  <c:v>C.-LA MANCHA</c:v>
                </c:pt>
                <c:pt idx="2">
                  <c:v>ARAGÓN</c:v>
                </c:pt>
                <c:pt idx="3">
                  <c:v>CATALUÑA</c:v>
                </c:pt>
                <c:pt idx="4">
                  <c:v>C. VALENCIANA</c:v>
                </c:pt>
                <c:pt idx="5">
                  <c:v>MURCIA</c:v>
                </c:pt>
              </c:strCache>
            </c:strRef>
          </c:cat>
          <c:val>
            <c:numRef>
              <c:f>'ALM-REPR'!$U$77:$U$82</c:f>
              <c:numCache>
                <c:formatCode>#,##0</c:formatCode>
                <c:ptCount val="6"/>
                <c:pt idx="0">
                  <c:v>31217.0419</c:v>
                </c:pt>
                <c:pt idx="1">
                  <c:v>21648.27</c:v>
                </c:pt>
                <c:pt idx="2">
                  <c:v>21715.670000000002</c:v>
                </c:pt>
                <c:pt idx="3">
                  <c:v>11402.1</c:v>
                </c:pt>
                <c:pt idx="4">
                  <c:v>9095.32</c:v>
                </c:pt>
                <c:pt idx="5">
                  <c:v>6974.1200000000008</c:v>
                </c:pt>
              </c:numCache>
            </c:numRef>
          </c:val>
          <c:extLst>
            <c:ext xmlns:c15="http://schemas.microsoft.com/office/drawing/2012/chart" uri="{02D57815-91ED-43cb-92C2-25804820EDAC}">
              <c15:datalabelsRange>
                <c15:f>'ALM-REPR'!$V$77:$V$82</c15:f>
                <c15:dlblRangeCache>
                  <c:ptCount val="6"/>
                  <c:pt idx="0">
                    <c:v>25,7%</c:v>
                  </c:pt>
                  <c:pt idx="1">
                    <c:v>13,6%</c:v>
                  </c:pt>
                  <c:pt idx="2">
                    <c:v>14,9%</c:v>
                  </c:pt>
                  <c:pt idx="3">
                    <c:v>3,0%</c:v>
                  </c:pt>
                  <c:pt idx="4">
                    <c:v>11,4%</c:v>
                  </c:pt>
                  <c:pt idx="5">
                    <c:v>2,6%</c:v>
                  </c:pt>
                </c15:dlblRangeCache>
              </c15:datalabelsRange>
            </c:ext>
            <c:ext xmlns:c16="http://schemas.microsoft.com/office/drawing/2014/chart" uri="{C3380CC4-5D6E-409C-BE32-E72D297353CC}">
              <c16:uniqueId val="{00000007-89CE-4E45-9963-AE165A118FB6}"/>
            </c:ext>
          </c:extLst>
        </c:ser>
        <c:dLbls>
          <c:showLegendKey val="0"/>
          <c:showVal val="0"/>
          <c:showCatName val="0"/>
          <c:showSerName val="0"/>
          <c:showPercent val="0"/>
          <c:showBubbleSize val="0"/>
        </c:dLbls>
        <c:gapWidth val="182"/>
        <c:axId val="2128808432"/>
        <c:axId val="1858955312"/>
      </c:barChart>
      <c:catAx>
        <c:axId val="2128808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858955312"/>
        <c:crosses val="autoZero"/>
        <c:auto val="1"/>
        <c:lblAlgn val="ctr"/>
        <c:lblOffset val="100"/>
        <c:noMultiLvlLbl val="0"/>
      </c:catAx>
      <c:valAx>
        <c:axId val="185895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Superficie (ha)</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2128808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Avellano Regadío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'AVE-EDAD'!$AL$212</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'AVE-EDAD'!$AJ$213:$AJ$222</c:f>
              <c:strCache>
                <c:ptCount val="10"/>
                <c:pt idx="0">
                  <c:v>TARRAGONA</c:v>
                </c:pt>
                <c:pt idx="1">
                  <c:v>CÁCERES</c:v>
                </c:pt>
                <c:pt idx="2">
                  <c:v>GIRONA</c:v>
                </c:pt>
                <c:pt idx="3">
                  <c:v>BARCELONA</c:v>
                </c:pt>
                <c:pt idx="4">
                  <c:v>HUESCA</c:v>
                </c:pt>
                <c:pt idx="5">
                  <c:v>LA RIOJA</c:v>
                </c:pt>
                <c:pt idx="6">
                  <c:v>ZARAGOZA</c:v>
                </c:pt>
                <c:pt idx="7">
                  <c:v>NAVARRA</c:v>
                </c:pt>
                <c:pt idx="8">
                  <c:v>LLEIDA</c:v>
                </c:pt>
                <c:pt idx="9">
                  <c:v>TOLEDO</c:v>
                </c:pt>
              </c:strCache>
            </c:strRef>
          </c:cat>
          <c:val>
            <c:numRef>
              <c:f>'AVE-EDAD'!$AL$213:$AL$222</c:f>
              <c:numCache>
                <c:formatCode>#,##0</c:formatCode>
                <c:ptCount val="10"/>
                <c:pt idx="0">
                  <c:v>6029.640000000014</c:v>
                </c:pt>
                <c:pt idx="1">
                  <c:v>24.310000000000002</c:v>
                </c:pt>
                <c:pt idx="2">
                  <c:v>391.7600000000001</c:v>
                </c:pt>
                <c:pt idx="3">
                  <c:v>13.840000000000002</c:v>
                </c:pt>
                <c:pt idx="4">
                  <c:v>1.81</c:v>
                </c:pt>
                <c:pt idx="5" formatCode="#,##0.00">
                  <c:v>1.24</c:v>
                </c:pt>
                <c:pt idx="6" formatCode="#,##0.00">
                  <c:v>0.96</c:v>
                </c:pt>
                <c:pt idx="7" formatCode="#,##0.00">
                  <c:v>0.21</c:v>
                </c:pt>
                <c:pt idx="8" formatCode="#,##0.00">
                  <c:v>2.8800000000000003</c:v>
                </c:pt>
                <c:pt idx="9" formatCode="#,##0.00">
                  <c:v>0.53</c:v>
                </c:pt>
              </c:numCache>
            </c:numRef>
          </c:val>
          <c:extLst>
            <c:ext xmlns:c16="http://schemas.microsoft.com/office/drawing/2014/chart" uri="{C3380CC4-5D6E-409C-BE32-E72D297353CC}">
              <c16:uniqueId val="{00000000-4EB3-4F3E-AD61-61A96C3CBDAB}"/>
            </c:ext>
          </c:extLst>
        </c:ser>
        <c:ser>
          <c:idx val="0"/>
          <c:order val="1"/>
          <c:tx>
            <c:strRef>
              <c:f>'AVE-EDAD'!$AK$212</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47FD9EED-C3A9-4974-92DE-B89E4BABE4E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EB3-4F3E-AD61-61A96C3CBDAB}"/>
                </c:ext>
              </c:extLst>
            </c:dLbl>
            <c:dLbl>
              <c:idx val="1"/>
              <c:tx>
                <c:rich>
                  <a:bodyPr/>
                  <a:lstStyle/>
                  <a:p>
                    <a:fld id="{52978F0A-BAF2-4867-93FA-08904818941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EB3-4F3E-AD61-61A96C3CBDAB}"/>
                </c:ext>
              </c:extLst>
            </c:dLbl>
            <c:dLbl>
              <c:idx val="2"/>
              <c:tx>
                <c:rich>
                  <a:bodyPr/>
                  <a:lstStyle/>
                  <a:p>
                    <a:fld id="{CB34737A-0C0D-4C7A-AD3F-1B7590FC577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EB3-4F3E-AD61-61A96C3CBDAB}"/>
                </c:ext>
              </c:extLst>
            </c:dLbl>
            <c:dLbl>
              <c:idx val="3"/>
              <c:tx>
                <c:rich>
                  <a:bodyPr/>
                  <a:lstStyle/>
                  <a:p>
                    <a:fld id="{318DA275-FA48-4DCF-BBCC-6E0EE0291C6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EB3-4F3E-AD61-61A96C3CBDAB}"/>
                </c:ext>
              </c:extLst>
            </c:dLbl>
            <c:dLbl>
              <c:idx val="4"/>
              <c:tx>
                <c:rich>
                  <a:bodyPr/>
                  <a:lstStyle/>
                  <a:p>
                    <a:fld id="{B3D69564-DA38-480F-85DF-EA4A64FB664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EB3-4F3E-AD61-61A96C3CBDAB}"/>
                </c:ext>
              </c:extLst>
            </c:dLbl>
            <c:dLbl>
              <c:idx val="5"/>
              <c:tx>
                <c:rich>
                  <a:bodyPr/>
                  <a:lstStyle/>
                  <a:p>
                    <a:fld id="{A6F8447C-33A2-4EC9-A7EC-4E3B7D12E6E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EB3-4F3E-AD61-61A96C3CBDAB}"/>
                </c:ext>
              </c:extLst>
            </c:dLbl>
            <c:dLbl>
              <c:idx val="6"/>
              <c:tx>
                <c:rich>
                  <a:bodyPr/>
                  <a:lstStyle/>
                  <a:p>
                    <a:fld id="{CA30A406-67ED-4007-A542-59D297D03A0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EB3-4F3E-AD61-61A96C3CBDAB}"/>
                </c:ext>
              </c:extLst>
            </c:dLbl>
            <c:dLbl>
              <c:idx val="7"/>
              <c:tx>
                <c:rich>
                  <a:bodyPr/>
                  <a:lstStyle/>
                  <a:p>
                    <a:fld id="{51E67C36-3CDA-4680-ADF7-6421DC43D94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EB3-4F3E-AD61-61A96C3CBDAB}"/>
                </c:ext>
              </c:extLst>
            </c:dLbl>
            <c:dLbl>
              <c:idx val="8"/>
              <c:tx>
                <c:rich>
                  <a:bodyPr/>
                  <a:lstStyle/>
                  <a:p>
                    <a:fld id="{85C1820B-1FE7-4297-94D4-3C5D6617D61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EB3-4F3E-AD61-61A96C3CBDAB}"/>
                </c:ext>
              </c:extLst>
            </c:dLbl>
            <c:dLbl>
              <c:idx val="9"/>
              <c:tx>
                <c:rich>
                  <a:bodyPr/>
                  <a:lstStyle/>
                  <a:p>
                    <a:fld id="{EDBD5015-9418-4B49-9663-E0955E063CE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EB3-4F3E-AD61-61A96C3CBD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'AVE-EDAD'!$AJ$213:$AJ$222</c:f>
              <c:strCache>
                <c:ptCount val="10"/>
                <c:pt idx="0">
                  <c:v>TARRAGONA</c:v>
                </c:pt>
                <c:pt idx="1">
                  <c:v>CÁCERES</c:v>
                </c:pt>
                <c:pt idx="2">
                  <c:v>GIRONA</c:v>
                </c:pt>
                <c:pt idx="3">
                  <c:v>BARCELONA</c:v>
                </c:pt>
                <c:pt idx="4">
                  <c:v>HUESCA</c:v>
                </c:pt>
                <c:pt idx="5">
                  <c:v>LA RIOJA</c:v>
                </c:pt>
                <c:pt idx="6">
                  <c:v>ZARAGOZA</c:v>
                </c:pt>
                <c:pt idx="7">
                  <c:v>NAVARRA</c:v>
                </c:pt>
                <c:pt idx="8">
                  <c:v>LLEIDA</c:v>
                </c:pt>
                <c:pt idx="9">
                  <c:v>TOLEDO</c:v>
                </c:pt>
              </c:strCache>
            </c:strRef>
          </c:cat>
          <c:val>
            <c:numRef>
              <c:f>'AVE-EDAD'!$AK$213:$AK$222</c:f>
              <c:numCache>
                <c:formatCode>#,##0</c:formatCode>
                <c:ptCount val="10"/>
                <c:pt idx="0">
                  <c:v>370.26</c:v>
                </c:pt>
                <c:pt idx="1">
                  <c:v>24.28</c:v>
                </c:pt>
                <c:pt idx="2">
                  <c:v>11.740000000000002</c:v>
                </c:pt>
                <c:pt idx="3">
                  <c:v>1.58</c:v>
                </c:pt>
                <c:pt idx="4" formatCode="#,##0.00">
                  <c:v>1.32</c:v>
                </c:pt>
                <c:pt idx="5" formatCode="#,##0.00">
                  <c:v>0.28999999999999998</c:v>
                </c:pt>
                <c:pt idx="6" formatCode="#,##0.00">
                  <c:v>0.26</c:v>
                </c:pt>
                <c:pt idx="7" formatCode="#,##0.00">
                  <c:v>0.18</c:v>
                </c:pt>
                <c:pt idx="8" formatCode="#,##0.00">
                  <c:v>0.14000000000000001</c:v>
                </c:pt>
                <c:pt idx="9" formatCode="#,##0.00">
                  <c:v>0.13</c:v>
                </c:pt>
              </c:numCache>
            </c:numRef>
          </c:val>
          <c:extLst>
            <c:ext xmlns:c15="http://schemas.microsoft.com/office/drawing/2012/chart" uri="{02D57815-91ED-43cb-92C2-25804820EDAC}">
              <c15:datalabelsRange>
                <c15:f>'AVE-EDAD'!$AM$213:$AM$222</c15:f>
                <c15:dlblRangeCache>
                  <c:ptCount val="10"/>
                  <c:pt idx="0">
                    <c:v>6%</c:v>
                  </c:pt>
                  <c:pt idx="1">
                    <c:v>100%</c:v>
                  </c:pt>
                  <c:pt idx="2">
                    <c:v>3%</c:v>
                  </c:pt>
                  <c:pt idx="3">
                    <c:v>11%</c:v>
                  </c:pt>
                  <c:pt idx="4">
                    <c:v>73%</c:v>
                  </c:pt>
                  <c:pt idx="5">
                    <c:v>23%</c:v>
                  </c:pt>
                  <c:pt idx="6">
                    <c:v>27%</c:v>
                  </c:pt>
                  <c:pt idx="7">
                    <c:v>86%</c:v>
                  </c:pt>
                  <c:pt idx="8">
                    <c:v>5%</c:v>
                  </c:pt>
                  <c:pt idx="9">
                    <c:v>25%</c:v>
                  </c:pt>
                </c15:dlblRangeCache>
              </c15:datalabelsRange>
            </c:ext>
            <c:ext xmlns:c16="http://schemas.microsoft.com/office/drawing/2014/chart" uri="{C3380CC4-5D6E-409C-BE32-E72D297353CC}">
              <c16:uniqueId val="{0000000B-4EB3-4F3E-AD61-61A96C3CBDAB}"/>
            </c:ext>
          </c:extLst>
        </c:ser>
        <c:dLbls>
          <c:showLegendKey val="0"/>
          <c:showVal val="0"/>
          <c:showCatName val="0"/>
          <c:showSerName val="0"/>
          <c:showPercent val="0"/>
          <c:showBubbleSize val="0"/>
        </c:dLbls>
        <c:gapWidth val="150"/>
        <c:overlap val="-40"/>
        <c:axId val="142849424"/>
        <c:axId val="142850512"/>
      </c:barChart>
      <c:catAx>
        <c:axId val="142849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2850512"/>
        <c:crosses val="autoZero"/>
        <c:auto val="1"/>
        <c:lblAlgn val="ctr"/>
        <c:lblOffset val="100"/>
        <c:noMultiLvlLbl val="0"/>
      </c:catAx>
      <c:valAx>
        <c:axId val="14285051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2849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a:t>
            </a:r>
            <a:r>
              <a:rPr lang="es-ES" b="1" baseline="0">
                <a:solidFill>
                  <a:sysClr val="windowText" lastClr="000000"/>
                </a:solidFill>
              </a:rPr>
              <a:t>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'AVE-EDAD'!$AP$209</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F3333250-E71F-423C-97FE-6F504829C1F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1DB-4959-B0B1-8E2BD802A797}"/>
                </c:ext>
              </c:extLst>
            </c:dLbl>
            <c:dLbl>
              <c:idx val="1"/>
              <c:tx>
                <c:rich>
                  <a:bodyPr/>
                  <a:lstStyle/>
                  <a:p>
                    <a:fld id="{F596288A-9609-4B9B-82E9-199C6B7B5BF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1DB-4959-B0B1-8E2BD802A79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'AVE-EDAD'!$AO$210:$AO$211</c:f>
              <c:strCache>
                <c:ptCount val="2"/>
                <c:pt idx="0">
                  <c:v>CATALUÑA</c:v>
                </c:pt>
                <c:pt idx="1">
                  <c:v>EXTREMADURA</c:v>
                </c:pt>
              </c:strCache>
            </c:strRef>
          </c:cat>
          <c:val>
            <c:numRef>
              <c:f>'AVE-EDAD'!$AP$210:$AP$211</c:f>
              <c:numCache>
                <c:formatCode>#,##0</c:formatCode>
                <c:ptCount val="2"/>
                <c:pt idx="0">
                  <c:v>383.71999999999991</c:v>
                </c:pt>
                <c:pt idx="1">
                  <c:v>24.28</c:v>
                </c:pt>
              </c:numCache>
            </c:numRef>
          </c:val>
          <c:extLst>
            <c:ext xmlns:c15="http://schemas.microsoft.com/office/drawing/2012/chart" uri="{02D57815-91ED-43cb-92C2-25804820EDAC}">
              <c15:datalabelsRange>
                <c15:f>'AVE-EDAD'!$AR$210:$AR$211</c15:f>
                <c15:dlblRangeCache>
                  <c:ptCount val="2"/>
                  <c:pt idx="0">
                    <c:v>6%</c:v>
                  </c:pt>
                  <c:pt idx="1">
                    <c:v>100%</c:v>
                  </c:pt>
                </c15:dlblRangeCache>
              </c15:datalabelsRange>
            </c:ext>
            <c:ext xmlns:c16="http://schemas.microsoft.com/office/drawing/2014/chart" uri="{C3380CC4-5D6E-409C-BE32-E72D297353CC}">
              <c16:uniqueId val="{00000002-C1DB-4959-B0B1-8E2BD802A797}"/>
            </c:ext>
          </c:extLst>
        </c:ser>
        <c:ser>
          <c:idx val="1"/>
          <c:order val="1"/>
          <c:tx>
            <c:strRef>
              <c:f>'AVE-EDAD'!$AQ$209</c:f>
              <c:strCache>
                <c:ptCount val="1"/>
                <c:pt idx="0">
                  <c:v>Total</c:v>
                </c:pt>
              </c:strCache>
            </c:strRef>
          </c:tx>
          <c:spPr>
            <a:solidFill>
              <a:schemeClr val="accent1">
                <a:tint val="77000"/>
              </a:schemeClr>
            </a:solidFill>
            <a:ln>
              <a:solidFill>
                <a:schemeClr val="accent5">
                  <a:lumMod val="75000"/>
                </a:schemeClr>
              </a:solidFill>
            </a:ln>
            <a:effectLst/>
          </c:spPr>
          <c:invertIfNegative val="0"/>
          <c:cat>
            <c:strRef>
              <c:f>'AVE-EDAD'!$AO$210:$AO$211</c:f>
              <c:strCache>
                <c:ptCount val="2"/>
                <c:pt idx="0">
                  <c:v>CATALUÑA</c:v>
                </c:pt>
                <c:pt idx="1">
                  <c:v>EXTREMADURA</c:v>
                </c:pt>
              </c:strCache>
            </c:strRef>
          </c:cat>
          <c:val>
            <c:numRef>
              <c:f>'AVE-EDAD'!$AQ$210:$AQ$211</c:f>
              <c:numCache>
                <c:formatCode>#,##0</c:formatCode>
                <c:ptCount val="2"/>
                <c:pt idx="0">
                  <c:v>6438.1200000000144</c:v>
                </c:pt>
                <c:pt idx="1">
                  <c:v>24.310000000000002</c:v>
                </c:pt>
              </c:numCache>
            </c:numRef>
          </c:val>
          <c:extLst>
            <c:ext xmlns:c16="http://schemas.microsoft.com/office/drawing/2014/chart" uri="{C3380CC4-5D6E-409C-BE32-E72D297353CC}">
              <c16:uniqueId val="{00000003-C1DB-4959-B0B1-8E2BD802A797}"/>
            </c:ext>
          </c:extLst>
        </c:ser>
        <c:dLbls>
          <c:showLegendKey val="0"/>
          <c:showVal val="0"/>
          <c:showCatName val="0"/>
          <c:showSerName val="0"/>
          <c:showPercent val="0"/>
          <c:showBubbleSize val="0"/>
        </c:dLbls>
        <c:gapWidth val="100"/>
        <c:axId val="142842896"/>
        <c:axId val="142843440"/>
      </c:barChart>
      <c:catAx>
        <c:axId val="14284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3440"/>
        <c:crosses val="autoZero"/>
        <c:auto val="1"/>
        <c:lblAlgn val="ctr"/>
        <c:lblOffset val="100"/>
        <c:noMultiLvlLbl val="0"/>
      </c:catAx>
      <c:valAx>
        <c:axId val="14284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a:t>
            </a:r>
            <a:r>
              <a:rPr lang="es-ES" b="1" baseline="0">
                <a:solidFill>
                  <a:sysClr val="windowText" lastClr="000000"/>
                </a:solidFill>
              </a:rPr>
              <a:t> </a:t>
            </a:r>
            <a:r>
              <a:rPr lang="es-ES" b="1">
                <a:solidFill>
                  <a:sysClr val="windowText" lastClr="000000"/>
                </a:solidFill>
              </a:rPr>
              <a:t>Secano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'AVE-EDAD'!$C$58:$X$58</c:f>
              <c:numCache>
                <c:formatCode>#,##0</c:formatCode>
                <c:ptCount val="22"/>
                <c:pt idx="0">
                  <c:v>97.33</c:v>
                </c:pt>
                <c:pt idx="1">
                  <c:v>16.849999999999998</c:v>
                </c:pt>
                <c:pt idx="2">
                  <c:v>2.96</c:v>
                </c:pt>
                <c:pt idx="3">
                  <c:v>3.7100000000000004</c:v>
                </c:pt>
                <c:pt idx="4">
                  <c:v>8.7899999999999991</c:v>
                </c:pt>
                <c:pt idx="5">
                  <c:v>6.43</c:v>
                </c:pt>
                <c:pt idx="6">
                  <c:v>3.64</c:v>
                </c:pt>
                <c:pt idx="7">
                  <c:v>4.2299999999999995</c:v>
                </c:pt>
                <c:pt idx="8">
                  <c:v>5.75</c:v>
                </c:pt>
                <c:pt idx="9">
                  <c:v>2.09</c:v>
                </c:pt>
                <c:pt idx="10">
                  <c:v>8.39</c:v>
                </c:pt>
                <c:pt idx="11">
                  <c:v>2.35</c:v>
                </c:pt>
                <c:pt idx="12">
                  <c:v>12.969999999999997</c:v>
                </c:pt>
                <c:pt idx="13">
                  <c:v>6.0099999999999989</c:v>
                </c:pt>
                <c:pt idx="14">
                  <c:v>8.9600000000000009</c:v>
                </c:pt>
                <c:pt idx="15">
                  <c:v>25.29</c:v>
                </c:pt>
                <c:pt idx="16">
                  <c:v>26.199999999999996</c:v>
                </c:pt>
                <c:pt idx="17">
                  <c:v>28</c:v>
                </c:pt>
                <c:pt idx="18">
                  <c:v>27.150000000000002</c:v>
                </c:pt>
                <c:pt idx="19">
                  <c:v>19.409999999999997</c:v>
                </c:pt>
                <c:pt idx="20">
                  <c:v>23.16</c:v>
                </c:pt>
                <c:pt idx="21">
                  <c:v>13.59</c:v>
                </c:pt>
              </c:numCache>
            </c:numRef>
          </c:val>
          <c:extLst>
            <c:ext xmlns:c16="http://schemas.microsoft.com/office/drawing/2014/chart" uri="{C3380CC4-5D6E-409C-BE32-E72D297353CC}">
              <c16:uniqueId val="{00000000-87EB-4074-BF79-A1E27CE77099}"/>
            </c:ext>
          </c:extLst>
        </c:ser>
        <c:dLbls>
          <c:showLegendKey val="0"/>
          <c:showVal val="0"/>
          <c:showCatName val="0"/>
          <c:showSerName val="0"/>
          <c:showPercent val="0"/>
          <c:showBubbleSize val="0"/>
        </c:dLbls>
        <c:gapWidth val="219"/>
        <c:overlap val="-27"/>
        <c:axId val="146902752"/>
        <c:axId val="146882624"/>
      </c:barChart>
      <c:catAx>
        <c:axId val="1469027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2624"/>
        <c:crosses val="autoZero"/>
        <c:auto val="1"/>
        <c:lblAlgn val="ctr"/>
        <c:lblOffset val="100"/>
        <c:noMultiLvlLbl val="0"/>
      </c:catAx>
      <c:valAx>
        <c:axId val="146882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2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Avellano Secano</a:t>
            </a:r>
            <a:r>
              <a:rPr lang="es-ES" baseline="0"/>
              <a:t> Convencional: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6"/>
            <c:invertIfNegative val="0"/>
            <c:bubble3D val="0"/>
            <c:spPr>
              <a:solidFill>
                <a:srgbClr val="C0504D"/>
              </a:solidFill>
              <a:ln>
                <a:noFill/>
              </a:ln>
              <a:effectLst/>
            </c:spPr>
            <c:extLst>
              <c:ext xmlns:c16="http://schemas.microsoft.com/office/drawing/2014/chart" uri="{C3380CC4-5D6E-409C-BE32-E72D297353CC}">
                <c16:uniqueId val="{00000001-2E69-4E14-BD81-B6B32890B8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'AVE-EDAD'!$A$177:$A$190</c15:sqref>
                  </c15:fullRef>
                </c:ext>
              </c:extLst>
              <c:f>('AVE-EDAD'!$A$179:$A$181,'AVE-EDAD'!$A$186,'AVE-EDAD'!$A$188:$A$190)</c:f>
              <c:strCache>
                <c:ptCount val="7"/>
                <c:pt idx="0">
                  <c:v>ASTURIAS</c:v>
                </c:pt>
                <c:pt idx="1">
                  <c:v>C. VALENCIANA</c:v>
                </c:pt>
                <c:pt idx="2">
                  <c:v>C. y LEÓN</c:v>
                </c:pt>
                <c:pt idx="3">
                  <c:v>GALICIA</c:v>
                </c:pt>
                <c:pt idx="4">
                  <c:v>NAVARRA</c:v>
                </c:pt>
                <c:pt idx="5">
                  <c:v>PAIS VASCO</c:v>
                </c:pt>
                <c:pt idx="6">
                  <c:v>ESPAÑA</c:v>
                </c:pt>
              </c:strCache>
            </c:strRef>
          </c:cat>
          <c:val>
            <c:numRef>
              <c:extLst>
                <c:ext xmlns:c15="http://schemas.microsoft.com/office/drawing/2012/chart" uri="{02D57815-91ED-43cb-92C2-25804820EDAC}">
                  <c15:fullRef>
                    <c15:sqref>'AVE-EDAD'!$Y$177:$Y$190</c15:sqref>
                  </c15:fullRef>
                </c:ext>
              </c:extLst>
              <c:f>('AVE-EDAD'!$Y$179:$Y$181,'AVE-EDAD'!$Y$186,'AVE-EDAD'!$Y$188:$Y$190)</c:f>
              <c:numCache>
                <c:formatCode>0%</c:formatCode>
                <c:ptCount val="7"/>
                <c:pt idx="0" formatCode="0.00%">
                  <c:v>0.18478260869565216</c:v>
                </c:pt>
                <c:pt idx="1" formatCode="0.00%">
                  <c:v>7.7740997090982038E-4</c:v>
                </c:pt>
                <c:pt idx="2" formatCode="0.00%">
                  <c:v>2.6041666666666664E-2</c:v>
                </c:pt>
                <c:pt idx="3" formatCode="0.00%">
                  <c:v>1.3333333333333334E-2</c:v>
                </c:pt>
                <c:pt idx="4" formatCode="0.00%">
                  <c:v>3.4071550255536627E-3</c:v>
                </c:pt>
                <c:pt idx="5" formatCode="0.00%">
                  <c:v>1.4799154334038054E-2</c:v>
                </c:pt>
                <c:pt idx="6" formatCode="0.00%">
                  <c:v>2.6611472501478461E-4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6886432"/>
        <c:axId val="146900576"/>
      </c:barChart>
      <c:catAx>
        <c:axId val="146886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0576"/>
        <c:crosses val="autoZero"/>
        <c:auto val="1"/>
        <c:lblAlgn val="ctr"/>
        <c:lblOffset val="100"/>
        <c:noMultiLvlLbl val="0"/>
      </c:catAx>
      <c:valAx>
        <c:axId val="1469005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6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Avellano Regadío </a:t>
            </a:r>
            <a:r>
              <a:rPr lang="es-ES" baseline="0"/>
              <a:t>Convencional: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3"/>
            <c:invertIfNegative val="0"/>
            <c:bubble3D val="0"/>
            <c:spPr>
              <a:solidFill>
                <a:srgbClr val="C0504D"/>
              </a:solidFill>
              <a:ln>
                <a:noFill/>
              </a:ln>
              <a:effectLst/>
            </c:spPr>
            <c:extLst>
              <c:ext xmlns:c16="http://schemas.microsoft.com/office/drawing/2014/chart" uri="{C3380CC4-5D6E-409C-BE32-E72D297353CC}">
                <c16:uniqueId val="{00000001-EFD2-4DA9-BBFC-E578F9D952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'AVE-EDAD'!$A$228:$A$237</c15:sqref>
                  </c15:fullRef>
                </c:ext>
              </c:extLst>
              <c:f>('AVE-EDAD'!$A$229,'AVE-EDAD'!$A$234:$A$235,'AVE-EDAD'!$A$237)</c:f>
              <c:strCache>
                <c:ptCount val="4"/>
                <c:pt idx="0">
                  <c:v>ARAGÓN</c:v>
                </c:pt>
                <c:pt idx="1">
                  <c:v>EXTREMADURA</c:v>
                </c:pt>
                <c:pt idx="2">
                  <c:v>LA RIOJA</c:v>
                </c:pt>
                <c:pt idx="3">
                  <c:v>ESPAÑA</c:v>
                </c:pt>
              </c:strCache>
            </c:strRef>
          </c:cat>
          <c:val>
            <c:numRef>
              <c:extLst>
                <c:ext xmlns:c15="http://schemas.microsoft.com/office/drawing/2012/chart" uri="{02D57815-91ED-43cb-92C2-25804820EDAC}">
                  <c15:fullRef>
                    <c15:sqref>'AVE-EDAD'!$Y$228:$Y$237</c15:sqref>
                  </c15:fullRef>
                </c:ext>
              </c:extLst>
              <c:f>('AVE-EDAD'!$Y$229,'AVE-EDAD'!$Y$234:$Y$235,'AVE-EDAD'!$Y$237)</c:f>
              <c:numCache>
                <c:formatCode>0.00%</c:formatCode>
                <c:ptCount val="4"/>
                <c:pt idx="0">
                  <c:v>1.0764262648008613E-3</c:v>
                </c:pt>
                <c:pt idx="1">
                  <c:v>1.2340600575894691E-3</c:v>
                </c:pt>
                <c:pt idx="2">
                  <c:v>0.12096774193548386</c:v>
                </c:pt>
                <c:pt idx="3" formatCode="0%">
                  <c:v>2.9261876856781537E-5</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6899488"/>
        <c:axId val="146877728"/>
      </c:barChart>
      <c:catAx>
        <c:axId val="146899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7728"/>
        <c:crosses val="autoZero"/>
        <c:auto val="1"/>
        <c:lblAlgn val="ctr"/>
        <c:lblOffset val="100"/>
        <c:noMultiLvlLbl val="0"/>
      </c:catAx>
      <c:valAx>
        <c:axId val="1468777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9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Avellano Secano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4203789548081322"/>
          <c:y val="0.19609195402298851"/>
          <c:w val="0.82111146546989433"/>
          <c:h val="0.61810752104262834"/>
        </c:manualLayout>
      </c:layout>
      <c:barChart>
        <c:barDir val="bar"/>
        <c:grouping val="clustered"/>
        <c:varyColors val="0"/>
        <c:ser>
          <c:idx val="1"/>
          <c:order val="0"/>
          <c:tx>
            <c:strRef>
              <c:f>'AVE-EDAD'!$AL$33</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'AVE-EDAD'!$AJ$34:$AJ$43</c:f>
              <c:strCache>
                <c:ptCount val="10"/>
                <c:pt idx="0">
                  <c:v>TARRAGONA</c:v>
                </c:pt>
                <c:pt idx="1">
                  <c:v>GIRONA</c:v>
                </c:pt>
                <c:pt idx="2">
                  <c:v>NAVARRA</c:v>
                </c:pt>
                <c:pt idx="3">
                  <c:v>CASTELLÓN</c:v>
                </c:pt>
                <c:pt idx="4">
                  <c:v>LEÓN</c:v>
                </c:pt>
                <c:pt idx="5">
                  <c:v>BURGOS</c:v>
                </c:pt>
                <c:pt idx="6">
                  <c:v>TERUEL</c:v>
                </c:pt>
                <c:pt idx="7">
                  <c:v>LA RIOJA</c:v>
                </c:pt>
                <c:pt idx="8">
                  <c:v>LUGO</c:v>
                </c:pt>
                <c:pt idx="9">
                  <c:v>PONTEVEDRA</c:v>
                </c:pt>
              </c:strCache>
            </c:strRef>
          </c:cat>
          <c:val>
            <c:numRef>
              <c:f>'AVE-EDAD'!$AL$34:$AL$43</c:f>
              <c:numCache>
                <c:formatCode>#,##0</c:formatCode>
                <c:ptCount val="10"/>
                <c:pt idx="0">
                  <c:v>2256.0699999999965</c:v>
                </c:pt>
                <c:pt idx="1">
                  <c:v>372.43000000000006</c:v>
                </c:pt>
                <c:pt idx="2">
                  <c:v>6.7700000000000005</c:v>
                </c:pt>
                <c:pt idx="3">
                  <c:v>441.36</c:v>
                </c:pt>
                <c:pt idx="4">
                  <c:v>3.32</c:v>
                </c:pt>
                <c:pt idx="5">
                  <c:v>2.25</c:v>
                </c:pt>
                <c:pt idx="6">
                  <c:v>17.349999999999998</c:v>
                </c:pt>
                <c:pt idx="7">
                  <c:v>0.88000000000000012</c:v>
                </c:pt>
                <c:pt idx="8">
                  <c:v>0.61</c:v>
                </c:pt>
                <c:pt idx="9">
                  <c:v>0.77</c:v>
                </c:pt>
              </c:numCache>
            </c:numRef>
          </c:val>
          <c:extLst>
            <c:ext xmlns:c16="http://schemas.microsoft.com/office/drawing/2014/chart" uri="{C3380CC4-5D6E-409C-BE32-E72D297353CC}">
              <c16:uniqueId val="{00000000-DE93-47D1-9999-23F2765056F9}"/>
            </c:ext>
          </c:extLst>
        </c:ser>
        <c:ser>
          <c:idx val="0"/>
          <c:order val="1"/>
          <c:tx>
            <c:strRef>
              <c:f>'AVE-EDAD'!$AK$212</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43353FDF-657A-4F7A-A64C-765D212E3BF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E93-47D1-9999-23F2765056F9}"/>
                </c:ext>
              </c:extLst>
            </c:dLbl>
            <c:dLbl>
              <c:idx val="1"/>
              <c:tx>
                <c:rich>
                  <a:bodyPr/>
                  <a:lstStyle/>
                  <a:p>
                    <a:fld id="{12F53023-6BFE-4881-8A40-6B82ADD3208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E93-47D1-9999-23F2765056F9}"/>
                </c:ext>
              </c:extLst>
            </c:dLbl>
            <c:dLbl>
              <c:idx val="2"/>
              <c:tx>
                <c:rich>
                  <a:bodyPr/>
                  <a:lstStyle/>
                  <a:p>
                    <a:fld id="{BF86C555-E746-443D-9626-60C8BE25D53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93-47D1-9999-23F2765056F9}"/>
                </c:ext>
              </c:extLst>
            </c:dLbl>
            <c:dLbl>
              <c:idx val="3"/>
              <c:tx>
                <c:rich>
                  <a:bodyPr/>
                  <a:lstStyle/>
                  <a:p>
                    <a:fld id="{8DBCCA4F-3078-4BC5-8456-3C947004661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93-47D1-9999-23F2765056F9}"/>
                </c:ext>
              </c:extLst>
            </c:dLbl>
            <c:dLbl>
              <c:idx val="4"/>
              <c:tx>
                <c:rich>
                  <a:bodyPr/>
                  <a:lstStyle/>
                  <a:p>
                    <a:fld id="{D374A1B6-20C6-40C6-B42A-94685EC9EA2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E93-47D1-9999-23F2765056F9}"/>
                </c:ext>
              </c:extLst>
            </c:dLbl>
            <c:dLbl>
              <c:idx val="5"/>
              <c:tx>
                <c:rich>
                  <a:bodyPr/>
                  <a:lstStyle/>
                  <a:p>
                    <a:fld id="{4C589526-BC3F-4E2C-B2CA-8C71E794645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E93-47D1-9999-23F2765056F9}"/>
                </c:ext>
              </c:extLst>
            </c:dLbl>
            <c:dLbl>
              <c:idx val="6"/>
              <c:tx>
                <c:rich>
                  <a:bodyPr/>
                  <a:lstStyle/>
                  <a:p>
                    <a:fld id="{D78468BB-14A2-4F0D-8DEC-18AA077254A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E93-47D1-9999-23F2765056F9}"/>
                </c:ext>
              </c:extLst>
            </c:dLbl>
            <c:dLbl>
              <c:idx val="7"/>
              <c:tx>
                <c:rich>
                  <a:bodyPr/>
                  <a:lstStyle/>
                  <a:p>
                    <a:fld id="{786DD9E1-9063-49DC-BE05-9EE57E112E0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E93-47D1-9999-23F2765056F9}"/>
                </c:ext>
              </c:extLst>
            </c:dLbl>
            <c:dLbl>
              <c:idx val="8"/>
              <c:tx>
                <c:rich>
                  <a:bodyPr/>
                  <a:lstStyle/>
                  <a:p>
                    <a:fld id="{4576F68D-1A33-493A-9F15-7D18839D6C2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E93-47D1-9999-23F2765056F9}"/>
                </c:ext>
              </c:extLst>
            </c:dLbl>
            <c:dLbl>
              <c:idx val="9"/>
              <c:tx>
                <c:rich>
                  <a:bodyPr/>
                  <a:lstStyle/>
                  <a:p>
                    <a:fld id="{D0D47874-0843-41C7-B493-193ABD7F778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E93-47D1-9999-23F2765056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'AVE-EDAD'!$AJ$34:$AJ$43</c:f>
              <c:strCache>
                <c:ptCount val="10"/>
                <c:pt idx="0">
                  <c:v>TARRAGONA</c:v>
                </c:pt>
                <c:pt idx="1">
                  <c:v>GIRONA</c:v>
                </c:pt>
                <c:pt idx="2">
                  <c:v>NAVARRA</c:v>
                </c:pt>
                <c:pt idx="3">
                  <c:v>CASTELLÓN</c:v>
                </c:pt>
                <c:pt idx="4">
                  <c:v>LEÓN</c:v>
                </c:pt>
                <c:pt idx="5">
                  <c:v>BURGOS</c:v>
                </c:pt>
                <c:pt idx="6">
                  <c:v>TERUEL</c:v>
                </c:pt>
                <c:pt idx="7">
                  <c:v>LA RIOJA</c:v>
                </c:pt>
                <c:pt idx="8">
                  <c:v>LUGO</c:v>
                </c:pt>
                <c:pt idx="9">
                  <c:v>PONTEVEDRA</c:v>
                </c:pt>
              </c:strCache>
            </c:strRef>
          </c:cat>
          <c:val>
            <c:numRef>
              <c:f>'AVE-EDAD'!$AK$34:$AK$43</c:f>
              <c:numCache>
                <c:formatCode>#,##0.00</c:formatCode>
                <c:ptCount val="10"/>
                <c:pt idx="0">
                  <c:v>38.69</c:v>
                </c:pt>
                <c:pt idx="1">
                  <c:v>25.750000000000004</c:v>
                </c:pt>
                <c:pt idx="2">
                  <c:v>5.3900000000000006</c:v>
                </c:pt>
                <c:pt idx="3">
                  <c:v>4.3900000000000006</c:v>
                </c:pt>
                <c:pt idx="4">
                  <c:v>3.17</c:v>
                </c:pt>
                <c:pt idx="5">
                  <c:v>2.16</c:v>
                </c:pt>
                <c:pt idx="6">
                  <c:v>1.58</c:v>
                </c:pt>
                <c:pt idx="7">
                  <c:v>0.46</c:v>
                </c:pt>
                <c:pt idx="8">
                  <c:v>0.43</c:v>
                </c:pt>
                <c:pt idx="9">
                  <c:v>0.33999999999999997</c:v>
                </c:pt>
              </c:numCache>
            </c:numRef>
          </c:val>
          <c:extLst>
            <c:ext xmlns:c15="http://schemas.microsoft.com/office/drawing/2012/chart" uri="{02D57815-91ED-43cb-92C2-25804820EDAC}">
              <c15:datalabelsRange>
                <c15:f>'AVE-EDAD'!$AM$34:$AM$43</c15:f>
                <c15:dlblRangeCache>
                  <c:ptCount val="10"/>
                  <c:pt idx="0">
                    <c:v>2%</c:v>
                  </c:pt>
                  <c:pt idx="1">
                    <c:v>7%</c:v>
                  </c:pt>
                  <c:pt idx="2">
                    <c:v>80%</c:v>
                  </c:pt>
                  <c:pt idx="3">
                    <c:v>1%</c:v>
                  </c:pt>
                  <c:pt idx="4">
                    <c:v>95%</c:v>
                  </c:pt>
                  <c:pt idx="5">
                    <c:v>96%</c:v>
                  </c:pt>
                  <c:pt idx="6">
                    <c:v>9%</c:v>
                  </c:pt>
                  <c:pt idx="7">
                    <c:v>52%</c:v>
                  </c:pt>
                  <c:pt idx="8">
                    <c:v>70%</c:v>
                  </c:pt>
                  <c:pt idx="9">
                    <c:v>44%</c:v>
                  </c:pt>
                </c15:dlblRangeCache>
              </c15:datalabelsRange>
            </c:ext>
            <c:ext xmlns:c16="http://schemas.microsoft.com/office/drawing/2014/chart" uri="{C3380CC4-5D6E-409C-BE32-E72D297353CC}">
              <c16:uniqueId val="{0000000B-DE93-47D1-9999-23F2765056F9}"/>
            </c:ext>
          </c:extLst>
        </c:ser>
        <c:dLbls>
          <c:showLegendKey val="0"/>
          <c:showVal val="0"/>
          <c:showCatName val="0"/>
          <c:showSerName val="0"/>
          <c:showPercent val="0"/>
          <c:showBubbleSize val="0"/>
        </c:dLbls>
        <c:gapWidth val="150"/>
        <c:overlap val="-40"/>
        <c:axId val="146888064"/>
        <c:axId val="146903296"/>
      </c:barChart>
      <c:catAx>
        <c:axId val="146888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6903296"/>
        <c:crosses val="autoZero"/>
        <c:auto val="1"/>
        <c:lblAlgn val="ctr"/>
        <c:lblOffset val="100"/>
        <c:noMultiLvlLbl val="0"/>
      </c:catAx>
      <c:valAx>
        <c:axId val="14690329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688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Secano</a:t>
            </a:r>
            <a:r>
              <a:rPr lang="es-ES" b="1" baseline="0">
                <a:solidFill>
                  <a:sysClr val="windowText" lastClr="000000"/>
                </a:solidFill>
              </a:rPr>
              <a:t> 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'AVE-EDAD'!$AP$30</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AB875932-F425-4106-A36F-520B35943B3C}"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2CC-4C93-8F81-9882DDA34F8C}"/>
                </c:ext>
              </c:extLst>
            </c:dLbl>
            <c:dLbl>
              <c:idx val="1"/>
              <c:tx>
                <c:rich>
                  <a:bodyPr/>
                  <a:lstStyle/>
                  <a:p>
                    <a:fld id="{BC80D919-C71F-4D92-B020-26106543D9B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CC-4C93-8F81-9882DDA34F8C}"/>
                </c:ext>
              </c:extLst>
            </c:dLbl>
            <c:dLbl>
              <c:idx val="2"/>
              <c:tx>
                <c:rich>
                  <a:bodyPr/>
                  <a:lstStyle/>
                  <a:p>
                    <a:fld id="{21AE224D-3100-4D13-9A8F-C3B587C9BF2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2CC-4C93-8F81-9882DDA34F8C}"/>
                </c:ext>
              </c:extLst>
            </c:dLbl>
            <c:dLbl>
              <c:idx val="3"/>
              <c:tx>
                <c:rich>
                  <a:bodyPr/>
                  <a:lstStyle/>
                  <a:p>
                    <a:fld id="{AC000EB3-39A6-49D5-B240-46AB385073A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2CC-4C93-8F81-9882DDA34F8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'AVE-EDAD'!$AO$31:$AO$34</c:f>
              <c:strCache>
                <c:ptCount val="4"/>
                <c:pt idx="0">
                  <c:v>CATALUÑA</c:v>
                </c:pt>
                <c:pt idx="1">
                  <c:v>NAVARRA</c:v>
                </c:pt>
                <c:pt idx="2">
                  <c:v>C. y LEÓN</c:v>
                </c:pt>
                <c:pt idx="3">
                  <c:v>C. VALENCIANA</c:v>
                </c:pt>
              </c:strCache>
            </c:strRef>
          </c:cat>
          <c:val>
            <c:numRef>
              <c:f>'AVE-EDAD'!$AP$31:$AP$34</c:f>
              <c:numCache>
                <c:formatCode>#,##0</c:formatCode>
                <c:ptCount val="4"/>
                <c:pt idx="0">
                  <c:v>64.58</c:v>
                </c:pt>
                <c:pt idx="1">
                  <c:v>5.3900000000000006</c:v>
                </c:pt>
                <c:pt idx="2">
                  <c:v>5.33</c:v>
                </c:pt>
                <c:pt idx="3">
                  <c:v>4.3900000000000006</c:v>
                </c:pt>
              </c:numCache>
            </c:numRef>
          </c:val>
          <c:extLst>
            <c:ext xmlns:c15="http://schemas.microsoft.com/office/drawing/2012/chart" uri="{02D57815-91ED-43cb-92C2-25804820EDAC}">
              <c15:datalabelsRange>
                <c15:f>'AVE-EDAD'!$AR$31:$AR$34</c15:f>
                <c15:dlblRangeCache>
                  <c:ptCount val="4"/>
                  <c:pt idx="0">
                    <c:v>2%</c:v>
                  </c:pt>
                  <c:pt idx="1">
                    <c:v>80%</c:v>
                  </c:pt>
                  <c:pt idx="2">
                    <c:v>81%</c:v>
                  </c:pt>
                  <c:pt idx="3">
                    <c:v>1%</c:v>
                  </c:pt>
                </c15:dlblRangeCache>
              </c15:datalabelsRange>
            </c:ext>
            <c:ext xmlns:c16="http://schemas.microsoft.com/office/drawing/2014/chart" uri="{C3380CC4-5D6E-409C-BE32-E72D297353CC}">
              <c16:uniqueId val="{00000004-E2CC-4C93-8F81-9882DDA34F8C}"/>
            </c:ext>
          </c:extLst>
        </c:ser>
        <c:ser>
          <c:idx val="1"/>
          <c:order val="1"/>
          <c:tx>
            <c:strRef>
              <c:f>'AVE-EDAD'!$AQ$30</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'AVE-EDAD'!$AO$31:$AO$34</c:f>
              <c:strCache>
                <c:ptCount val="4"/>
                <c:pt idx="0">
                  <c:v>CATALUÑA</c:v>
                </c:pt>
                <c:pt idx="1">
                  <c:v>NAVARRA</c:v>
                </c:pt>
                <c:pt idx="2">
                  <c:v>C. y LEÓN</c:v>
                </c:pt>
                <c:pt idx="3">
                  <c:v>C. VALENCIANA</c:v>
                </c:pt>
              </c:strCache>
            </c:strRef>
          </c:cat>
          <c:val>
            <c:numRef>
              <c:f>'AVE-EDAD'!$AQ$31:$AQ$34</c:f>
              <c:numCache>
                <c:formatCode>#,##0</c:formatCode>
                <c:ptCount val="4"/>
                <c:pt idx="0">
                  <c:v>2671.2499999999959</c:v>
                </c:pt>
                <c:pt idx="1">
                  <c:v>6.7700000000000005</c:v>
                </c:pt>
                <c:pt idx="2">
                  <c:v>6.5600000000000005</c:v>
                </c:pt>
                <c:pt idx="3">
                  <c:v>449.86000000000007</c:v>
                </c:pt>
              </c:numCache>
            </c:numRef>
          </c:val>
          <c:extLst>
            <c:ext xmlns:c16="http://schemas.microsoft.com/office/drawing/2014/chart" uri="{C3380CC4-5D6E-409C-BE32-E72D297353CC}">
              <c16:uniqueId val="{00000005-E2CC-4C93-8F81-9882DDA34F8C}"/>
            </c:ext>
          </c:extLst>
        </c:ser>
        <c:dLbls>
          <c:showLegendKey val="0"/>
          <c:showVal val="0"/>
          <c:showCatName val="0"/>
          <c:showSerName val="0"/>
          <c:showPercent val="0"/>
          <c:showBubbleSize val="0"/>
        </c:dLbls>
        <c:gapWidth val="100"/>
        <c:axId val="146884800"/>
        <c:axId val="146891872"/>
      </c:barChart>
      <c:catAx>
        <c:axId val="14688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1872"/>
        <c:crosses val="autoZero"/>
        <c:auto val="1"/>
        <c:lblAlgn val="ctr"/>
        <c:lblOffset val="100"/>
        <c:noMultiLvlLbl val="0"/>
      </c:catAx>
      <c:valAx>
        <c:axId val="14689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Avellano Secano </a:t>
            </a:r>
            <a:r>
              <a:rPr lang="es-ES" baseline="0"/>
              <a:t>Total: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7"/>
            <c:invertIfNegative val="0"/>
            <c:bubble3D val="0"/>
            <c:spPr>
              <a:solidFill>
                <a:srgbClr val="C0504D"/>
              </a:solidFill>
              <a:ln>
                <a:noFill/>
              </a:ln>
              <a:effectLst/>
            </c:spPr>
            <c:extLst>
              <c:ext xmlns:c16="http://schemas.microsoft.com/office/drawing/2014/chart" uri="{C3380CC4-5D6E-409C-BE32-E72D297353CC}">
                <c16:uniqueId val="{00000001-417E-4163-B42A-CA9387D8B4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'AVE-EDAD'!$A$62:$A$75</c15:sqref>
                  </c15:fullRef>
                </c:ext>
              </c:extLst>
              <c:f>('AVE-EDAD'!$A$64:$A$66,'AVE-EDAD'!$A$70:$A$71,'AVE-EDAD'!$A$73:$A$75)</c:f>
              <c:strCache>
                <c:ptCount val="8"/>
                <c:pt idx="0">
                  <c:v>ASTURIAS</c:v>
                </c:pt>
                <c:pt idx="1">
                  <c:v>C. VALENCIANA</c:v>
                </c:pt>
                <c:pt idx="2">
                  <c:v>C. y LEÓN</c:v>
                </c:pt>
                <c:pt idx="3">
                  <c:v>EXTREMADURA</c:v>
                </c:pt>
                <c:pt idx="4">
                  <c:v>GALICIA</c:v>
                </c:pt>
                <c:pt idx="5">
                  <c:v>NAVARRA</c:v>
                </c:pt>
                <c:pt idx="6">
                  <c:v>PAIS VASCO</c:v>
                </c:pt>
                <c:pt idx="7">
                  <c:v>ESPAÑA</c:v>
                </c:pt>
              </c:strCache>
            </c:strRef>
          </c:cat>
          <c:val>
            <c:numRef>
              <c:extLst>
                <c:ext xmlns:c15="http://schemas.microsoft.com/office/drawing/2012/chart" uri="{02D57815-91ED-43cb-92C2-25804820EDAC}">
                  <c15:fullRef>
                    <c15:sqref>'AVE-EDAD'!$Y$62:$Y$75</c15:sqref>
                  </c15:fullRef>
                </c:ext>
              </c:extLst>
              <c:f>('AVE-EDAD'!$Y$64:$Y$66,'AVE-EDAD'!$Y$70:$Y$71,'AVE-EDAD'!$Y$73:$Y$75)</c:f>
              <c:numCache>
                <c:formatCode>0%</c:formatCode>
                <c:ptCount val="8"/>
                <c:pt idx="0" formatCode="0.00%">
                  <c:v>0.18478260869565216</c:v>
                </c:pt>
                <c:pt idx="1" formatCode="0.00%">
                  <c:v>8.4470724225314527E-4</c:v>
                </c:pt>
                <c:pt idx="2" formatCode="0.00%">
                  <c:v>2.2865853658536581E-2</c:v>
                </c:pt>
                <c:pt idx="3" formatCode="0.00%">
                  <c:v>7.407407407407407E-2</c:v>
                </c:pt>
                <c:pt idx="4" formatCode="0.00%">
                  <c:v>0.23316062176165805</c:v>
                </c:pt>
                <c:pt idx="5" formatCode="0.00%">
                  <c:v>2.9542097488921711E-3</c:v>
                </c:pt>
                <c:pt idx="6" formatCode="0.00%">
                  <c:v>1.3461538461538462E-2</c:v>
                </c:pt>
                <c:pt idx="7" formatCode="0.00%">
                  <c:v>5.3961602060007918E-4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6880992"/>
        <c:axId val="146889696"/>
      </c:barChart>
      <c:catAx>
        <c:axId val="146880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9696"/>
        <c:crosses val="autoZero"/>
        <c:auto val="1"/>
        <c:lblAlgn val="ctr"/>
        <c:lblOffset val="100"/>
        <c:noMultiLvlLbl val="0"/>
      </c:catAx>
      <c:valAx>
        <c:axId val="146889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0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'AVE-EDAD'!$C$109:$X$109</c:f>
              <c:numCache>
                <c:formatCode>#,##0</c:formatCode>
                <c:ptCount val="22"/>
                <c:pt idx="0">
                  <c:v>303.81999999999982</c:v>
                </c:pt>
                <c:pt idx="1">
                  <c:v>67.63</c:v>
                </c:pt>
                <c:pt idx="2">
                  <c:v>68.839999999999989</c:v>
                </c:pt>
                <c:pt idx="3">
                  <c:v>48.050000000000004</c:v>
                </c:pt>
                <c:pt idx="4">
                  <c:v>73.069999999999979</c:v>
                </c:pt>
                <c:pt idx="5">
                  <c:v>97.11</c:v>
                </c:pt>
                <c:pt idx="6">
                  <c:v>34.210000000000008</c:v>
                </c:pt>
                <c:pt idx="7">
                  <c:v>46.019999999999996</c:v>
                </c:pt>
                <c:pt idx="8">
                  <c:v>64.430000000000007</c:v>
                </c:pt>
                <c:pt idx="9">
                  <c:v>34.229999999999997</c:v>
                </c:pt>
                <c:pt idx="10">
                  <c:v>92.449999999999989</c:v>
                </c:pt>
                <c:pt idx="11">
                  <c:v>50.559999999999995</c:v>
                </c:pt>
                <c:pt idx="12">
                  <c:v>73.860000000000014</c:v>
                </c:pt>
                <c:pt idx="13">
                  <c:v>127.97999999999995</c:v>
                </c:pt>
                <c:pt idx="14">
                  <c:v>184.33000000000007</c:v>
                </c:pt>
                <c:pt idx="15">
                  <c:v>224.71000000000004</c:v>
                </c:pt>
                <c:pt idx="16">
                  <c:v>207.9899999999999</c:v>
                </c:pt>
                <c:pt idx="17">
                  <c:v>178.17999999999995</c:v>
                </c:pt>
                <c:pt idx="18">
                  <c:v>165.53999999999994</c:v>
                </c:pt>
                <c:pt idx="19">
                  <c:v>143.30999999999997</c:v>
                </c:pt>
                <c:pt idx="20">
                  <c:v>121.21000000000002</c:v>
                </c:pt>
                <c:pt idx="21">
                  <c:v>157.33999999999995</c:v>
                </c:pt>
              </c:numCache>
            </c:numRef>
          </c:val>
          <c:extLst>
            <c:ext xmlns:c16="http://schemas.microsoft.com/office/drawing/2014/chart" uri="{C3380CC4-5D6E-409C-BE32-E72D297353CC}">
              <c16:uniqueId val="{00000000-6395-4B6C-AB33-BEEBC874C365}"/>
            </c:ext>
          </c:extLst>
        </c:ser>
        <c:dLbls>
          <c:showLegendKey val="0"/>
          <c:showVal val="0"/>
          <c:showCatName val="0"/>
          <c:showSerName val="0"/>
          <c:showPercent val="0"/>
          <c:showBubbleSize val="0"/>
        </c:dLbls>
        <c:gapWidth val="219"/>
        <c:overlap val="-27"/>
        <c:axId val="146885344"/>
        <c:axId val="146876096"/>
      </c:barChart>
      <c:catAx>
        <c:axId val="1468853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6096"/>
        <c:crosses val="autoZero"/>
        <c:auto val="1"/>
        <c:lblAlgn val="ctr"/>
        <c:lblOffset val="100"/>
        <c:noMultiLvlLbl val="0"/>
      </c:catAx>
      <c:valAx>
        <c:axId val="146876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5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a:t>
            </a:r>
            <a:r>
              <a:rPr lang="es-ES" b="1" baseline="0">
                <a:solidFill>
                  <a:sysClr val="windowText" lastClr="000000"/>
                </a:solidFill>
              </a:rPr>
              <a:t>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'AVE-EDAD'!$AP$95</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50926C33-2DA2-46DC-85D0-00131390F113}"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CAA-4E2D-9058-DE5FC0B31601}"/>
                </c:ext>
              </c:extLst>
            </c:dLbl>
            <c:dLbl>
              <c:idx val="1"/>
              <c:tx>
                <c:rich>
                  <a:bodyPr/>
                  <a:lstStyle/>
                  <a:p>
                    <a:fld id="{3139D7AF-3470-46E7-9D43-08F8AE2C0F5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CAA-4E2D-9058-DE5FC0B3160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'AVE-EDAD'!$AO$96:$AO$97</c:f>
              <c:strCache>
                <c:ptCount val="2"/>
                <c:pt idx="0">
                  <c:v>CATALUÑA</c:v>
                </c:pt>
                <c:pt idx="1">
                  <c:v>EXTREMADURA</c:v>
                </c:pt>
              </c:strCache>
            </c:strRef>
          </c:cat>
          <c:val>
            <c:numRef>
              <c:f>'AVE-EDAD'!$AP$96:$AP$97</c:f>
              <c:numCache>
                <c:formatCode>#,##0</c:formatCode>
                <c:ptCount val="2"/>
                <c:pt idx="0">
                  <c:v>395.25999999999993</c:v>
                </c:pt>
                <c:pt idx="1">
                  <c:v>24.29</c:v>
                </c:pt>
              </c:numCache>
            </c:numRef>
          </c:val>
          <c:extLst>
            <c:ext xmlns:c15="http://schemas.microsoft.com/office/drawing/2012/chart" uri="{02D57815-91ED-43cb-92C2-25804820EDAC}">
              <c15:datalabelsRange>
                <c15:f>'AVE-EDAD'!$AR$96:$AR$97</c15:f>
                <c15:dlblRangeCache>
                  <c:ptCount val="2"/>
                  <c:pt idx="0">
                    <c:v>6%</c:v>
                  </c:pt>
                  <c:pt idx="1">
                    <c:v>99%</c:v>
                  </c:pt>
                </c15:dlblRangeCache>
              </c15:datalabelsRange>
            </c:ext>
            <c:ext xmlns:c16="http://schemas.microsoft.com/office/drawing/2014/chart" uri="{C3380CC4-5D6E-409C-BE32-E72D297353CC}">
              <c16:uniqueId val="{00000002-8CAA-4E2D-9058-DE5FC0B31601}"/>
            </c:ext>
          </c:extLst>
        </c:ser>
        <c:ser>
          <c:idx val="1"/>
          <c:order val="1"/>
          <c:tx>
            <c:strRef>
              <c:f>'AVE-EDAD'!$AQ$95</c:f>
              <c:strCache>
                <c:ptCount val="1"/>
                <c:pt idx="0">
                  <c:v>Total</c:v>
                </c:pt>
              </c:strCache>
            </c:strRef>
          </c:tx>
          <c:spPr>
            <a:solidFill>
              <a:schemeClr val="accent1">
                <a:tint val="77000"/>
              </a:schemeClr>
            </a:solidFill>
            <a:ln>
              <a:solidFill>
                <a:srgbClr val="0070C0"/>
              </a:solidFill>
            </a:ln>
            <a:effectLst/>
          </c:spPr>
          <c:invertIfNegative val="0"/>
          <c:cat>
            <c:strRef>
              <c:f>'AVE-EDAD'!$AO$96:$AO$97</c:f>
              <c:strCache>
                <c:ptCount val="2"/>
                <c:pt idx="0">
                  <c:v>CATALUÑA</c:v>
                </c:pt>
                <c:pt idx="1">
                  <c:v>EXTREMADURA</c:v>
                </c:pt>
              </c:strCache>
            </c:strRef>
          </c:cat>
          <c:val>
            <c:numRef>
              <c:f>'AVE-EDAD'!$AQ$96:$AQ$97</c:f>
              <c:numCache>
                <c:formatCode>#,##0</c:formatCode>
                <c:ptCount val="2"/>
                <c:pt idx="0">
                  <c:v>6685.1700000000137</c:v>
                </c:pt>
                <c:pt idx="1">
                  <c:v>24.55</c:v>
                </c:pt>
              </c:numCache>
            </c:numRef>
          </c:val>
          <c:extLst>
            <c:ext xmlns:c16="http://schemas.microsoft.com/office/drawing/2014/chart" uri="{C3380CC4-5D6E-409C-BE32-E72D297353CC}">
              <c16:uniqueId val="{00000003-8CAA-4E2D-9058-DE5FC0B31601}"/>
            </c:ext>
          </c:extLst>
        </c:ser>
        <c:dLbls>
          <c:showLegendKey val="0"/>
          <c:showVal val="0"/>
          <c:showCatName val="0"/>
          <c:showSerName val="0"/>
          <c:showPercent val="0"/>
          <c:showBubbleSize val="0"/>
        </c:dLbls>
        <c:gapWidth val="100"/>
        <c:axId val="146885888"/>
        <c:axId val="146897856"/>
      </c:barChart>
      <c:catAx>
        <c:axId val="1468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7856"/>
        <c:crosses val="autoZero"/>
        <c:auto val="1"/>
        <c:lblAlgn val="ctr"/>
        <c:lblOffset val="100"/>
        <c:noMultiLvlLbl val="0"/>
      </c:catAx>
      <c:valAx>
        <c:axId val="146897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u="sng">
                <a:solidFill>
                  <a:sysClr val="windowText" lastClr="000000"/>
                </a:solidFill>
              </a:rPr>
              <a:t>ALMENDRO</a:t>
            </a:r>
            <a:r>
              <a:rPr lang="en-US" b="1" u="sng" baseline="0">
                <a:solidFill>
                  <a:sysClr val="windowText" lastClr="000000"/>
                </a:solidFill>
              </a:rPr>
              <a:t> SECANO</a:t>
            </a:r>
            <a:endParaRPr lang="en-US" b="1" u="sng">
              <a:solidFill>
                <a:sysClr val="windowText" lastClr="000000"/>
              </a:solidFill>
            </a:endParaRP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Representatividad 2020</a:t>
            </a:r>
            <a:r>
              <a:rPr lang="en-US" baseline="0">
                <a:solidFill>
                  <a:sysClr val="windowText" lastClr="000000"/>
                </a:solidFill>
              </a:rPr>
              <a:t> vs 2021</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'ALM-REPR'!$Q$11</c:f>
              <c:strCache>
                <c:ptCount val="1"/>
                <c:pt idx="0">
                  <c:v>REPRESENTATIVIDAD 2020</c:v>
                </c:pt>
              </c:strCache>
            </c:strRef>
          </c:tx>
          <c:spPr>
            <a:solidFill>
              <a:schemeClr val="accent4">
                <a:lumMod val="40000"/>
                <a:lumOff val="60000"/>
              </a:schemeClr>
            </a:solidFill>
            <a:ln>
              <a:noFill/>
            </a:ln>
            <a:effectLst/>
          </c:spPr>
          <c:invertIfNegative val="0"/>
          <c:dLbls>
            <c:delete val="1"/>
          </c:dLbls>
          <c:cat>
            <c:strRef>
              <c:f>'ALM-REPR'!$M$12:$M$17</c:f>
              <c:strCache>
                <c:ptCount val="6"/>
                <c:pt idx="0">
                  <c:v>ANDALUCÍA</c:v>
                </c:pt>
                <c:pt idx="1">
                  <c:v>C.-LA MANCHA</c:v>
                </c:pt>
                <c:pt idx="2">
                  <c:v>MURCIA</c:v>
                </c:pt>
                <c:pt idx="3">
                  <c:v>ARAGÓN</c:v>
                </c:pt>
                <c:pt idx="4">
                  <c:v>C. VALENCIANA</c:v>
                </c:pt>
                <c:pt idx="5">
                  <c:v>CATALUÑA</c:v>
                </c:pt>
              </c:strCache>
            </c:strRef>
          </c:cat>
          <c:val>
            <c:numRef>
              <c:f>'ALM-REPR'!$Q$12:$Q$17</c:f>
              <c:numCache>
                <c:formatCode>0%</c:formatCode>
                <c:ptCount val="6"/>
                <c:pt idx="0">
                  <c:v>0.73004594933790878</c:v>
                </c:pt>
                <c:pt idx="1">
                  <c:v>1.0439194151649092</c:v>
                </c:pt>
                <c:pt idx="2">
                  <c:v>0.98048161238971432</c:v>
                </c:pt>
                <c:pt idx="3">
                  <c:v>0.92573817426733085</c:v>
                </c:pt>
                <c:pt idx="4">
                  <c:v>0.677012226863549</c:v>
                </c:pt>
                <c:pt idx="5">
                  <c:v>0.81954495826436025</c:v>
                </c:pt>
              </c:numCache>
            </c:numRef>
          </c:val>
          <c:extLst>
            <c:ext xmlns:c16="http://schemas.microsoft.com/office/drawing/2014/chart" uri="{C3380CC4-5D6E-409C-BE32-E72D297353CC}">
              <c16:uniqueId val="{00000007-92D3-42D3-8C8B-7F8A8A953987}"/>
            </c:ext>
          </c:extLst>
        </c:ser>
        <c:ser>
          <c:idx val="1"/>
          <c:order val="1"/>
          <c:tx>
            <c:strRef>
              <c:f>'ALM-REPR'!$P$11</c:f>
              <c:strCache>
                <c:ptCount val="1"/>
                <c:pt idx="0">
                  <c:v>REPRESENTATIVIDAD 2021</c:v>
                </c:pt>
              </c:strCache>
            </c:strRef>
          </c:tx>
          <c:spPr>
            <a:solidFill>
              <a:schemeClr val="accent4">
                <a:lumMod val="75000"/>
              </a:schemeClr>
            </a:solidFill>
            <a:ln>
              <a:noFill/>
            </a:ln>
            <a:effectLst/>
          </c:spPr>
          <c:invertIfNegative val="0"/>
          <c:dLbls>
            <c:delete val="1"/>
          </c:dLbls>
          <c:cat>
            <c:strRef>
              <c:f>'ALM-REPR'!$M$12:$M$17</c:f>
              <c:strCache>
                <c:ptCount val="6"/>
                <c:pt idx="0">
                  <c:v>ANDALUCÍA</c:v>
                </c:pt>
                <c:pt idx="1">
                  <c:v>C.-LA MANCHA</c:v>
                </c:pt>
                <c:pt idx="2">
                  <c:v>MURCIA</c:v>
                </c:pt>
                <c:pt idx="3">
                  <c:v>ARAGÓN</c:v>
                </c:pt>
                <c:pt idx="4">
                  <c:v>C. VALENCIANA</c:v>
                </c:pt>
                <c:pt idx="5">
                  <c:v>CATALUÑA</c:v>
                </c:pt>
              </c:strCache>
            </c:strRef>
          </c:cat>
          <c:val>
            <c:numRef>
              <c:f>'ALM-REPR'!$P$12:$P$17</c:f>
              <c:numCache>
                <c:formatCode>0%</c:formatCode>
                <c:ptCount val="6"/>
                <c:pt idx="0">
                  <c:v>0.74153228446635078</c:v>
                </c:pt>
                <c:pt idx="1">
                  <c:v>1.0394747052086533</c:v>
                </c:pt>
                <c:pt idx="2">
                  <c:v>0.98454809837458912</c:v>
                </c:pt>
                <c:pt idx="3">
                  <c:v>0.92095918431570045</c:v>
                </c:pt>
                <c:pt idx="4">
                  <c:v>0.70239240625686161</c:v>
                </c:pt>
                <c:pt idx="5">
                  <c:v>0.7801828944103798</c:v>
                </c:pt>
              </c:numCache>
            </c:numRef>
          </c:val>
          <c:extLst>
            <c:ext xmlns:c16="http://schemas.microsoft.com/office/drawing/2014/chart" uri="{C3380CC4-5D6E-409C-BE32-E72D297353CC}">
              <c16:uniqueId val="{00000000-92D3-42D3-8C8B-7F8A8A953987}"/>
            </c:ext>
          </c:extLst>
        </c:ser>
        <c:dLbls>
          <c:dLblPos val="outEnd"/>
          <c:showLegendKey val="0"/>
          <c:showVal val="1"/>
          <c:showCatName val="0"/>
          <c:showSerName val="0"/>
          <c:showPercent val="0"/>
          <c:showBubbleSize val="0"/>
        </c:dLbls>
        <c:gapWidth val="219"/>
        <c:axId val="2128802448"/>
        <c:axId val="2128807344"/>
      </c:barChart>
      <c:catAx>
        <c:axId val="212880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7344"/>
        <c:crosses val="autoZero"/>
        <c:auto val="1"/>
        <c:lblAlgn val="ctr"/>
        <c:lblOffset val="100"/>
        <c:noMultiLvlLbl val="0"/>
      </c:catAx>
      <c:valAx>
        <c:axId val="2128807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2448"/>
        <c:crosses val="autoZero"/>
        <c:crossBetween val="between"/>
      </c:valAx>
      <c:spPr>
        <a:noFill/>
        <a:ln>
          <a:noFill/>
        </a:ln>
        <a:effectLst/>
      </c:spPr>
    </c:plotArea>
    <c:legend>
      <c:legendPos val="b"/>
      <c:layout>
        <c:manualLayout>
          <c:xMode val="edge"/>
          <c:yMode val="edge"/>
          <c:x val="0.36373448775740758"/>
          <c:y val="0.8993218028431712"/>
          <c:w val="0.5426914444662212"/>
          <c:h val="7.050310141178461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Secano</a:t>
            </a:r>
            <a:r>
              <a:rPr lang="es-ES" b="1" baseline="0">
                <a:solidFill>
                  <a:sysClr val="windowText" lastClr="000000"/>
                </a:solidFill>
              </a:rPr>
              <a:t> Convencional vs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'AVE-EDAD'!$C$173:$X$173</c:f>
              <c:numCache>
                <c:formatCode>#,##0</c:formatCode>
                <c:ptCount val="22"/>
                <c:pt idx="0">
                  <c:v>97.03</c:v>
                </c:pt>
                <c:pt idx="1">
                  <c:v>16.849999999999998</c:v>
                </c:pt>
                <c:pt idx="2">
                  <c:v>2.96</c:v>
                </c:pt>
                <c:pt idx="3">
                  <c:v>3.7100000000000004</c:v>
                </c:pt>
                <c:pt idx="4">
                  <c:v>8.7899999999999991</c:v>
                </c:pt>
                <c:pt idx="5">
                  <c:v>5.9399999999999995</c:v>
                </c:pt>
                <c:pt idx="6">
                  <c:v>3.64</c:v>
                </c:pt>
                <c:pt idx="7">
                  <c:v>3.4299999999999997</c:v>
                </c:pt>
                <c:pt idx="8">
                  <c:v>5.75</c:v>
                </c:pt>
                <c:pt idx="9">
                  <c:v>1.74</c:v>
                </c:pt>
                <c:pt idx="10">
                  <c:v>8.2800000000000011</c:v>
                </c:pt>
                <c:pt idx="11">
                  <c:v>2.35</c:v>
                </c:pt>
                <c:pt idx="12">
                  <c:v>11.869999999999997</c:v>
                </c:pt>
                <c:pt idx="13">
                  <c:v>5.9999999999999991</c:v>
                </c:pt>
                <c:pt idx="14">
                  <c:v>8.0500000000000007</c:v>
                </c:pt>
                <c:pt idx="15">
                  <c:v>13.229999999999999</c:v>
                </c:pt>
                <c:pt idx="16">
                  <c:v>24.099999999999994</c:v>
                </c:pt>
                <c:pt idx="17">
                  <c:v>17.13</c:v>
                </c:pt>
                <c:pt idx="18">
                  <c:v>25.430000000000003</c:v>
                </c:pt>
                <c:pt idx="19">
                  <c:v>18.849999999999998</c:v>
                </c:pt>
                <c:pt idx="20">
                  <c:v>21.43</c:v>
                </c:pt>
                <c:pt idx="21">
                  <c:v>13.2</c:v>
                </c:pt>
              </c:numCache>
            </c:numRef>
          </c:val>
          <c:extLst>
            <c:ext xmlns:c16="http://schemas.microsoft.com/office/drawing/2014/chart" uri="{C3380CC4-5D6E-409C-BE32-E72D297353CC}">
              <c16:uniqueId val="{00000007-381E-4F34-8034-E6AD379593CF}"/>
            </c:ext>
          </c:extLst>
        </c:ser>
        <c:ser>
          <c:idx val="0"/>
          <c:order val="1"/>
          <c:tx>
            <c:v>Ecológico</c:v>
          </c:tx>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'AVE-EDAD'!$C$289:$X$289</c:f>
              <c:numCache>
                <c:formatCode>#,##0</c:formatCode>
                <c:ptCount val="22"/>
                <c:pt idx="0">
                  <c:v>0.3</c:v>
                </c:pt>
                <c:pt idx="1">
                  <c:v>0</c:v>
                </c:pt>
                <c:pt idx="2">
                  <c:v>0</c:v>
                </c:pt>
                <c:pt idx="3">
                  <c:v>0</c:v>
                </c:pt>
                <c:pt idx="4">
                  <c:v>0</c:v>
                </c:pt>
                <c:pt idx="5">
                  <c:v>0.49</c:v>
                </c:pt>
                <c:pt idx="6">
                  <c:v>0</c:v>
                </c:pt>
                <c:pt idx="7">
                  <c:v>0.8</c:v>
                </c:pt>
                <c:pt idx="8">
                  <c:v>0</c:v>
                </c:pt>
                <c:pt idx="9">
                  <c:v>0.35</c:v>
                </c:pt>
                <c:pt idx="10">
                  <c:v>0.11</c:v>
                </c:pt>
                <c:pt idx="11">
                  <c:v>0</c:v>
                </c:pt>
                <c:pt idx="12">
                  <c:v>1.1000000000000001</c:v>
                </c:pt>
                <c:pt idx="13">
                  <c:v>0.01</c:v>
                </c:pt>
                <c:pt idx="14">
                  <c:v>0.91</c:v>
                </c:pt>
                <c:pt idx="15">
                  <c:v>12.06</c:v>
                </c:pt>
                <c:pt idx="16">
                  <c:v>2.1</c:v>
                </c:pt>
                <c:pt idx="17">
                  <c:v>10.870000000000001</c:v>
                </c:pt>
                <c:pt idx="18">
                  <c:v>1.7200000000000002</c:v>
                </c:pt>
                <c:pt idx="19">
                  <c:v>0.56000000000000005</c:v>
                </c:pt>
                <c:pt idx="20">
                  <c:v>1.73</c:v>
                </c:pt>
                <c:pt idx="21">
                  <c:v>0.39</c:v>
                </c:pt>
              </c:numCache>
            </c:numRef>
          </c:val>
          <c:extLst>
            <c:ext xmlns:c16="http://schemas.microsoft.com/office/drawing/2014/chart" uri="{C3380CC4-5D6E-409C-BE32-E72D297353CC}">
              <c16:uniqueId val="{00000006-381E-4F34-8034-E6AD379593CF}"/>
            </c:ext>
          </c:extLst>
        </c:ser>
        <c:dLbls>
          <c:showLegendKey val="0"/>
          <c:showVal val="0"/>
          <c:showCatName val="0"/>
          <c:showSerName val="0"/>
          <c:showPercent val="0"/>
          <c:showBubbleSize val="0"/>
        </c:dLbls>
        <c:gapWidth val="219"/>
        <c:overlap val="-27"/>
        <c:axId val="142845072"/>
        <c:axId val="142833104"/>
      </c:barChart>
      <c:catAx>
        <c:axId val="1428450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33104"/>
        <c:crosses val="autoZero"/>
        <c:auto val="1"/>
        <c:lblAlgn val="ctr"/>
        <c:lblOffset val="100"/>
        <c:noMultiLvlLbl val="0"/>
      </c:catAx>
      <c:valAx>
        <c:axId val="142833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4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Avellano Regadío Convencional vs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'AVE-EDAD'!$C$224:$X$224</c:f>
              <c:numCache>
                <c:formatCode>#,##0</c:formatCode>
                <c:ptCount val="22"/>
                <c:pt idx="0">
                  <c:v>289.57999999999981</c:v>
                </c:pt>
                <c:pt idx="1">
                  <c:v>66.75</c:v>
                </c:pt>
                <c:pt idx="2">
                  <c:v>68.839999999999989</c:v>
                </c:pt>
                <c:pt idx="3">
                  <c:v>48.050000000000004</c:v>
                </c:pt>
                <c:pt idx="4">
                  <c:v>69.719999999999985</c:v>
                </c:pt>
                <c:pt idx="5">
                  <c:v>93.82</c:v>
                </c:pt>
                <c:pt idx="6">
                  <c:v>34.210000000000008</c:v>
                </c:pt>
                <c:pt idx="7">
                  <c:v>44.769999999999996</c:v>
                </c:pt>
                <c:pt idx="8">
                  <c:v>63.500000000000007</c:v>
                </c:pt>
                <c:pt idx="9">
                  <c:v>32.129999999999995</c:v>
                </c:pt>
                <c:pt idx="10">
                  <c:v>81.839999999999989</c:v>
                </c:pt>
                <c:pt idx="11">
                  <c:v>49.319999999999993</c:v>
                </c:pt>
                <c:pt idx="12">
                  <c:v>71.930000000000007</c:v>
                </c:pt>
                <c:pt idx="13">
                  <c:v>123.44999999999995</c:v>
                </c:pt>
                <c:pt idx="14">
                  <c:v>177.55000000000007</c:v>
                </c:pt>
                <c:pt idx="15">
                  <c:v>217.76000000000005</c:v>
                </c:pt>
                <c:pt idx="16">
                  <c:v>168.25999999999991</c:v>
                </c:pt>
                <c:pt idx="17">
                  <c:v>164.31999999999994</c:v>
                </c:pt>
                <c:pt idx="18">
                  <c:v>149.33999999999995</c:v>
                </c:pt>
                <c:pt idx="19">
                  <c:v>137.43999999999997</c:v>
                </c:pt>
                <c:pt idx="20">
                  <c:v>119.46000000000002</c:v>
                </c:pt>
                <c:pt idx="21">
                  <c:v>153.40999999999994</c:v>
                </c:pt>
              </c:numCache>
            </c:numRef>
          </c:val>
          <c:extLst>
            <c:ext xmlns:c16="http://schemas.microsoft.com/office/drawing/2014/chart" uri="{C3380CC4-5D6E-409C-BE32-E72D297353CC}">
              <c16:uniqueId val="{00000004-8619-4A19-8944-68A2FC54E589}"/>
            </c:ext>
          </c:extLst>
        </c:ser>
        <c:ser>
          <c:idx val="0"/>
          <c:order val="1"/>
          <c:tx>
            <c:v>Ecológico</c:v>
          </c:tx>
          <c:spPr>
            <a:solidFill>
              <a:srgbClr val="00FFCC"/>
            </a:solidFill>
            <a:ln>
              <a:solidFill>
                <a:sysClr val="windowText" lastClr="000000"/>
              </a:solid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'AVE-EDAD'!$C$340:$X$340</c:f>
              <c:numCache>
                <c:formatCode>#,##0</c:formatCode>
                <c:ptCount val="22"/>
                <c:pt idx="0">
                  <c:v>14.239999999999998</c:v>
                </c:pt>
                <c:pt idx="1">
                  <c:v>0.88</c:v>
                </c:pt>
                <c:pt idx="2">
                  <c:v>0</c:v>
                </c:pt>
                <c:pt idx="3">
                  <c:v>0</c:v>
                </c:pt>
                <c:pt idx="4">
                  <c:v>3.3499999999999996</c:v>
                </c:pt>
                <c:pt idx="5">
                  <c:v>3.29</c:v>
                </c:pt>
                <c:pt idx="6">
                  <c:v>0</c:v>
                </c:pt>
                <c:pt idx="7">
                  <c:v>1.25</c:v>
                </c:pt>
                <c:pt idx="8">
                  <c:v>0.93</c:v>
                </c:pt>
                <c:pt idx="9">
                  <c:v>2.1</c:v>
                </c:pt>
                <c:pt idx="10">
                  <c:v>10.610000000000001</c:v>
                </c:pt>
                <c:pt idx="11">
                  <c:v>1.24</c:v>
                </c:pt>
                <c:pt idx="12">
                  <c:v>1.9300000000000002</c:v>
                </c:pt>
                <c:pt idx="13">
                  <c:v>4.5299999999999994</c:v>
                </c:pt>
                <c:pt idx="14">
                  <c:v>6.7799999999999994</c:v>
                </c:pt>
                <c:pt idx="15">
                  <c:v>6.9500000000000011</c:v>
                </c:pt>
                <c:pt idx="16">
                  <c:v>39.729999999999997</c:v>
                </c:pt>
                <c:pt idx="17">
                  <c:v>13.860000000000001</c:v>
                </c:pt>
                <c:pt idx="18">
                  <c:v>16.2</c:v>
                </c:pt>
                <c:pt idx="19">
                  <c:v>5.870000000000001</c:v>
                </c:pt>
                <c:pt idx="20">
                  <c:v>1.75</c:v>
                </c:pt>
                <c:pt idx="21">
                  <c:v>3.9299999999999997</c:v>
                </c:pt>
              </c:numCache>
            </c:numRef>
          </c:val>
          <c:extLst>
            <c:ext xmlns:c16="http://schemas.microsoft.com/office/drawing/2014/chart" uri="{C3380CC4-5D6E-409C-BE32-E72D297353CC}">
              <c16:uniqueId val="{00000003-8619-4A19-8944-68A2FC54E589}"/>
            </c:ext>
          </c:extLst>
        </c:ser>
        <c:dLbls>
          <c:showLegendKey val="0"/>
          <c:showVal val="0"/>
          <c:showCatName val="0"/>
          <c:showSerName val="0"/>
          <c:showPercent val="0"/>
          <c:showBubbleSize val="0"/>
        </c:dLbls>
        <c:gapWidth val="219"/>
        <c:overlap val="-27"/>
        <c:axId val="142826032"/>
        <c:axId val="142827120"/>
      </c:barChart>
      <c:catAx>
        <c:axId val="14282603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7120"/>
        <c:crosses val="autoZero"/>
        <c:auto val="1"/>
        <c:lblAlgn val="ctr"/>
        <c:lblOffset val="100"/>
        <c:noMultiLvlLbl val="0"/>
      </c:catAx>
      <c:valAx>
        <c:axId val="142827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2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Avellano Regadío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59894793565497"/>
          <c:y val="0.20519950375055582"/>
          <c:w val="0.84369050773094811"/>
          <c:h val="0.61810752104262834"/>
        </c:manualLayout>
      </c:layout>
      <c:barChart>
        <c:barDir val="bar"/>
        <c:grouping val="clustered"/>
        <c:varyColors val="0"/>
        <c:ser>
          <c:idx val="1"/>
          <c:order val="0"/>
          <c:tx>
            <c:strRef>
              <c:f>'AVE-EDAD'!$AL$97</c:f>
              <c:strCache>
                <c:ptCount val="1"/>
                <c:pt idx="0">
                  <c:v>Total</c:v>
                </c:pt>
              </c:strCache>
            </c:strRef>
          </c:tx>
          <c:spPr>
            <a:solidFill>
              <a:schemeClr val="accent1">
                <a:tint val="77000"/>
              </a:schemeClr>
            </a:solidFill>
            <a:ln>
              <a:solidFill>
                <a:srgbClr val="0070C0"/>
              </a:solidFill>
            </a:ln>
            <a:effectLst/>
          </c:spPr>
          <c:invertIfNegative val="0"/>
          <c:cat>
            <c:strRef>
              <c:f>'AVE-EDAD'!$AJ$98:$AJ$107</c:f>
              <c:strCache>
                <c:ptCount val="10"/>
                <c:pt idx="0">
                  <c:v>TARRAGONA</c:v>
                </c:pt>
                <c:pt idx="1">
                  <c:v>CÁCERES</c:v>
                </c:pt>
                <c:pt idx="2">
                  <c:v>GIRONA</c:v>
                </c:pt>
                <c:pt idx="3">
                  <c:v>BARCELONA</c:v>
                </c:pt>
                <c:pt idx="4">
                  <c:v>HUESCA</c:v>
                </c:pt>
                <c:pt idx="5">
                  <c:v>LA RIOJA</c:v>
                </c:pt>
                <c:pt idx="6">
                  <c:v>ZARAGOZA</c:v>
                </c:pt>
                <c:pt idx="7">
                  <c:v>NAVARRA</c:v>
                </c:pt>
                <c:pt idx="8">
                  <c:v>LLEIDA</c:v>
                </c:pt>
                <c:pt idx="9">
                  <c:v>TOLEDO</c:v>
                </c:pt>
              </c:strCache>
            </c:strRef>
          </c:cat>
          <c:val>
            <c:numRef>
              <c:f>'AVE-EDAD'!$AL$98:$AL$107</c:f>
              <c:numCache>
                <c:formatCode>#,##0</c:formatCode>
                <c:ptCount val="10"/>
                <c:pt idx="0">
                  <c:v>6256.2400000000134</c:v>
                </c:pt>
                <c:pt idx="1">
                  <c:v>24.55</c:v>
                </c:pt>
                <c:pt idx="2">
                  <c:v>391.7600000000001</c:v>
                </c:pt>
                <c:pt idx="3">
                  <c:v>34.26</c:v>
                </c:pt>
                <c:pt idx="4" formatCode="#,##0.00">
                  <c:v>1.81</c:v>
                </c:pt>
                <c:pt idx="5" formatCode="#,##0.00">
                  <c:v>1.24</c:v>
                </c:pt>
                <c:pt idx="6" formatCode="#,##0.00">
                  <c:v>0.96</c:v>
                </c:pt>
                <c:pt idx="7" formatCode="#,##0.00">
                  <c:v>0.21</c:v>
                </c:pt>
                <c:pt idx="8" formatCode="#,##0.00">
                  <c:v>2.91</c:v>
                </c:pt>
                <c:pt idx="9" formatCode="#,##0.00">
                  <c:v>0.53</c:v>
                </c:pt>
              </c:numCache>
            </c:numRef>
          </c:val>
          <c:extLst>
            <c:ext xmlns:c16="http://schemas.microsoft.com/office/drawing/2014/chart" uri="{C3380CC4-5D6E-409C-BE32-E72D297353CC}">
              <c16:uniqueId val="{00000000-A054-493F-BC0C-D77B8A2169B5}"/>
            </c:ext>
          </c:extLst>
        </c:ser>
        <c:ser>
          <c:idx val="0"/>
          <c:order val="1"/>
          <c:tx>
            <c:strRef>
              <c:f>'AVE-EDAD'!$AK$97</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1C8CE6B8-579E-43B6-AC8E-82FAE8F8961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054-493F-BC0C-D77B8A2169B5}"/>
                </c:ext>
              </c:extLst>
            </c:dLbl>
            <c:dLbl>
              <c:idx val="1"/>
              <c:tx>
                <c:rich>
                  <a:bodyPr/>
                  <a:lstStyle/>
                  <a:p>
                    <a:fld id="{92F97AE7-2E6A-4D99-8E81-9729905A864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054-493F-BC0C-D77B8A2169B5}"/>
                </c:ext>
              </c:extLst>
            </c:dLbl>
            <c:dLbl>
              <c:idx val="2"/>
              <c:tx>
                <c:rich>
                  <a:bodyPr/>
                  <a:lstStyle/>
                  <a:p>
                    <a:fld id="{BC022017-2907-42BF-A3BA-269B6D6F252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054-493F-BC0C-D77B8A2169B5}"/>
                </c:ext>
              </c:extLst>
            </c:dLbl>
            <c:dLbl>
              <c:idx val="3"/>
              <c:tx>
                <c:rich>
                  <a:bodyPr/>
                  <a:lstStyle/>
                  <a:p>
                    <a:fld id="{84BA1F80-55D9-4DF3-A817-0C6FD6DFB86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054-493F-BC0C-D77B8A2169B5}"/>
                </c:ext>
              </c:extLst>
            </c:dLbl>
            <c:dLbl>
              <c:idx val="4"/>
              <c:tx>
                <c:rich>
                  <a:bodyPr/>
                  <a:lstStyle/>
                  <a:p>
                    <a:fld id="{4EEF27F8-7836-4D22-8B70-62089DD79AB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054-493F-BC0C-D77B8A2169B5}"/>
                </c:ext>
              </c:extLst>
            </c:dLbl>
            <c:dLbl>
              <c:idx val="5"/>
              <c:tx>
                <c:rich>
                  <a:bodyPr/>
                  <a:lstStyle/>
                  <a:p>
                    <a:fld id="{6CD37863-8EF7-469A-BAC4-9EBED58A560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054-493F-BC0C-D77B8A2169B5}"/>
                </c:ext>
              </c:extLst>
            </c:dLbl>
            <c:dLbl>
              <c:idx val="6"/>
              <c:tx>
                <c:rich>
                  <a:bodyPr/>
                  <a:lstStyle/>
                  <a:p>
                    <a:fld id="{C93ECDEA-D4B7-4211-A196-FED1939E7BC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054-493F-BC0C-D77B8A2169B5}"/>
                </c:ext>
              </c:extLst>
            </c:dLbl>
            <c:dLbl>
              <c:idx val="7"/>
              <c:tx>
                <c:rich>
                  <a:bodyPr/>
                  <a:lstStyle/>
                  <a:p>
                    <a:fld id="{32774B86-F5A5-4EE9-9396-ECAC1E6C888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054-493F-BC0C-D77B8A2169B5}"/>
                </c:ext>
              </c:extLst>
            </c:dLbl>
            <c:dLbl>
              <c:idx val="8"/>
              <c:tx>
                <c:rich>
                  <a:bodyPr/>
                  <a:lstStyle/>
                  <a:p>
                    <a:fld id="{5C64889E-F954-4107-AA3C-FDE4C4A75FD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054-493F-BC0C-D77B8A2169B5}"/>
                </c:ext>
              </c:extLst>
            </c:dLbl>
            <c:dLbl>
              <c:idx val="9"/>
              <c:tx>
                <c:rich>
                  <a:bodyPr/>
                  <a:lstStyle/>
                  <a:p>
                    <a:fld id="{683AAB7D-0686-4726-A209-ED6A584CF9D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054-493F-BC0C-D77B8A2169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'AVE-EDAD'!$AJ$98:$AJ$107</c:f>
              <c:strCache>
                <c:ptCount val="10"/>
                <c:pt idx="0">
                  <c:v>TARRAGONA</c:v>
                </c:pt>
                <c:pt idx="1">
                  <c:v>CÁCERES</c:v>
                </c:pt>
                <c:pt idx="2">
                  <c:v>GIRONA</c:v>
                </c:pt>
                <c:pt idx="3">
                  <c:v>BARCELONA</c:v>
                </c:pt>
                <c:pt idx="4">
                  <c:v>HUESCA</c:v>
                </c:pt>
                <c:pt idx="5">
                  <c:v>LA RIOJA</c:v>
                </c:pt>
                <c:pt idx="6">
                  <c:v>ZARAGOZA</c:v>
                </c:pt>
                <c:pt idx="7">
                  <c:v>NAVARRA</c:v>
                </c:pt>
                <c:pt idx="8">
                  <c:v>LLEIDA</c:v>
                </c:pt>
                <c:pt idx="9">
                  <c:v>TOLEDO</c:v>
                </c:pt>
              </c:strCache>
            </c:strRef>
          </c:cat>
          <c:val>
            <c:numRef>
              <c:f>'AVE-EDAD'!$AK$98:$AK$107</c:f>
              <c:numCache>
                <c:formatCode>#,##0.00</c:formatCode>
                <c:ptCount val="10"/>
                <c:pt idx="0">
                  <c:v>381.2299999999999</c:v>
                </c:pt>
                <c:pt idx="1">
                  <c:v>24.29</c:v>
                </c:pt>
                <c:pt idx="2">
                  <c:v>11.740000000000002</c:v>
                </c:pt>
                <c:pt idx="3">
                  <c:v>2.15</c:v>
                </c:pt>
                <c:pt idx="4">
                  <c:v>1.32</c:v>
                </c:pt>
                <c:pt idx="5">
                  <c:v>0.28999999999999998</c:v>
                </c:pt>
                <c:pt idx="6">
                  <c:v>0.26</c:v>
                </c:pt>
                <c:pt idx="7">
                  <c:v>0.18</c:v>
                </c:pt>
                <c:pt idx="8">
                  <c:v>0.14000000000000001</c:v>
                </c:pt>
                <c:pt idx="9">
                  <c:v>0.13</c:v>
                </c:pt>
              </c:numCache>
            </c:numRef>
          </c:val>
          <c:extLst>
            <c:ext xmlns:c15="http://schemas.microsoft.com/office/drawing/2012/chart" uri="{02D57815-91ED-43cb-92C2-25804820EDAC}">
              <c15:datalabelsRange>
                <c15:f>'AVE-EDAD'!$AM$98:$AM$107</c15:f>
                <c15:dlblRangeCache>
                  <c:ptCount val="10"/>
                  <c:pt idx="0">
                    <c:v>6%</c:v>
                  </c:pt>
                  <c:pt idx="1">
                    <c:v>99%</c:v>
                  </c:pt>
                  <c:pt idx="2">
                    <c:v>3%</c:v>
                  </c:pt>
                  <c:pt idx="3">
                    <c:v>6%</c:v>
                  </c:pt>
                  <c:pt idx="4">
                    <c:v>73%</c:v>
                  </c:pt>
                  <c:pt idx="5">
                    <c:v>23%</c:v>
                  </c:pt>
                  <c:pt idx="6">
                    <c:v>27%</c:v>
                  </c:pt>
                  <c:pt idx="7">
                    <c:v>86%</c:v>
                  </c:pt>
                  <c:pt idx="8">
                    <c:v>5%</c:v>
                  </c:pt>
                  <c:pt idx="9">
                    <c:v>25%</c:v>
                  </c:pt>
                </c15:dlblRangeCache>
              </c15:datalabelsRange>
            </c:ext>
            <c:ext xmlns:c16="http://schemas.microsoft.com/office/drawing/2014/chart" uri="{C3380CC4-5D6E-409C-BE32-E72D297353CC}">
              <c16:uniqueId val="{0000000B-A054-493F-BC0C-D77B8A2169B5}"/>
            </c:ext>
          </c:extLst>
        </c:ser>
        <c:dLbls>
          <c:showLegendKey val="0"/>
          <c:showVal val="0"/>
          <c:showCatName val="0"/>
          <c:showSerName val="0"/>
          <c:showPercent val="0"/>
          <c:showBubbleSize val="0"/>
        </c:dLbls>
        <c:gapWidth val="150"/>
        <c:overlap val="-40"/>
        <c:axId val="146897312"/>
        <c:axId val="146877184"/>
      </c:barChart>
      <c:catAx>
        <c:axId val="146897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6877184"/>
        <c:crosses val="autoZero"/>
        <c:auto val="1"/>
        <c:lblAlgn val="ctr"/>
        <c:lblOffset val="100"/>
        <c:noMultiLvlLbl val="0"/>
      </c:catAx>
      <c:valAx>
        <c:axId val="146877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689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Avellano Regadío </a:t>
            </a:r>
            <a:r>
              <a:rPr lang="es-ES" baseline="0"/>
              <a:t>Total: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3"/>
            <c:invertIfNegative val="0"/>
            <c:bubble3D val="0"/>
            <c:spPr>
              <a:solidFill>
                <a:srgbClr val="C0504D"/>
              </a:solidFill>
              <a:ln>
                <a:noFill/>
              </a:ln>
              <a:effectLst/>
            </c:spPr>
            <c:extLst>
              <c:ext xmlns:c16="http://schemas.microsoft.com/office/drawing/2014/chart" uri="{C3380CC4-5D6E-409C-BE32-E72D297353CC}">
                <c16:uniqueId val="{00000001-2319-4D74-A9FC-6673ED6606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'AVE-EDAD'!$A$113:$A$122</c15:sqref>
                  </c15:fullRef>
                </c:ext>
              </c:extLst>
              <c:f>('AVE-EDAD'!$A$114,'AVE-EDAD'!$A$119:$A$120,'AVE-EDAD'!$A$122)</c:f>
              <c:strCache>
                <c:ptCount val="4"/>
                <c:pt idx="0">
                  <c:v>ARAGÓN</c:v>
                </c:pt>
                <c:pt idx="1">
                  <c:v>EXTREMADURA</c:v>
                </c:pt>
                <c:pt idx="2">
                  <c:v>LA RIOJA</c:v>
                </c:pt>
                <c:pt idx="3">
                  <c:v>ESPAÑA</c:v>
                </c:pt>
              </c:strCache>
            </c:strRef>
          </c:cat>
          <c:val>
            <c:numRef>
              <c:extLst>
                <c:ext xmlns:c15="http://schemas.microsoft.com/office/drawing/2012/chart" uri="{02D57815-91ED-43cb-92C2-25804820EDAC}">
                  <c15:fullRef>
                    <c15:sqref>'AVE-EDAD'!$Y$113:$Y$122</c15:sqref>
                  </c15:fullRef>
                </c:ext>
              </c:extLst>
              <c:f>('AVE-EDAD'!$Y$114,'AVE-EDAD'!$Y$119:$Y$120,'AVE-EDAD'!$Y$122)</c:f>
              <c:numCache>
                <c:formatCode>0.00%</c:formatCode>
                <c:ptCount val="4"/>
                <c:pt idx="0">
                  <c:v>1.0615711252653928E-3</c:v>
                </c:pt>
                <c:pt idx="1">
                  <c:v>1.2219959266802443E-3</c:v>
                </c:pt>
                <c:pt idx="2" formatCode="0%">
                  <c:v>0.12096774193548386</c:v>
                </c:pt>
                <c:pt idx="3" formatCode="0%">
                  <c:v>2.8183095186178957E-5</c:v>
                </c:pt>
              </c:numCache>
            </c:numRef>
          </c:val>
          <c:extLst>
            <c:ext xmlns:c16="http://schemas.microsoft.com/office/drawing/2014/chart" uri="{C3380CC4-5D6E-409C-BE32-E72D297353CC}">
              <c16:uniqueId val="{00000002-2319-4D74-A9FC-6673ED660633}"/>
            </c:ext>
          </c:extLst>
        </c:ser>
        <c:dLbls>
          <c:dLblPos val="outEnd"/>
          <c:showLegendKey val="0"/>
          <c:showVal val="1"/>
          <c:showCatName val="0"/>
          <c:showSerName val="0"/>
          <c:showPercent val="0"/>
          <c:showBubbleSize val="0"/>
        </c:dLbls>
        <c:gapWidth val="182"/>
        <c:axId val="146887520"/>
        <c:axId val="146905472"/>
      </c:barChart>
      <c:catAx>
        <c:axId val="146887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5472"/>
        <c:crosses val="autoZero"/>
        <c:auto val="1"/>
        <c:lblAlgn val="ctr"/>
        <c:lblOffset val="100"/>
        <c:noMultiLvlLbl val="0"/>
      </c:catAx>
      <c:valAx>
        <c:axId val="1469054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Secano</a:t>
            </a:r>
            <a:r>
              <a:rPr lang="es-ES" b="1" baseline="0">
                <a:solidFill>
                  <a:sysClr val="windowText" lastClr="000000"/>
                </a:solidFill>
              </a:rPr>
              <a:t>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'ALG-EDAD'!$C$206:$X$206</c:f>
              <c:numCache>
                <c:formatCode>#,##0</c:formatCode>
                <c:ptCount val="22"/>
                <c:pt idx="0">
                  <c:v>67.830000000000013</c:v>
                </c:pt>
                <c:pt idx="1">
                  <c:v>3.7199999999999998</c:v>
                </c:pt>
                <c:pt idx="2">
                  <c:v>3.2199999999999998</c:v>
                </c:pt>
                <c:pt idx="3">
                  <c:v>0</c:v>
                </c:pt>
                <c:pt idx="4">
                  <c:v>39.81</c:v>
                </c:pt>
                <c:pt idx="5">
                  <c:v>1.51</c:v>
                </c:pt>
                <c:pt idx="6">
                  <c:v>48.129999999999995</c:v>
                </c:pt>
                <c:pt idx="7">
                  <c:v>14.950000000000001</c:v>
                </c:pt>
                <c:pt idx="8">
                  <c:v>1.33</c:v>
                </c:pt>
                <c:pt idx="9">
                  <c:v>4.18</c:v>
                </c:pt>
                <c:pt idx="10">
                  <c:v>2.3000000000000003</c:v>
                </c:pt>
                <c:pt idx="11">
                  <c:v>6.09</c:v>
                </c:pt>
                <c:pt idx="12">
                  <c:v>9.59</c:v>
                </c:pt>
                <c:pt idx="13">
                  <c:v>0.8899999999999999</c:v>
                </c:pt>
                <c:pt idx="14">
                  <c:v>9.89</c:v>
                </c:pt>
                <c:pt idx="15">
                  <c:v>48.959999999999994</c:v>
                </c:pt>
                <c:pt idx="16">
                  <c:v>11.709999999999999</c:v>
                </c:pt>
                <c:pt idx="17">
                  <c:v>8.7099999999999991</c:v>
                </c:pt>
                <c:pt idx="18">
                  <c:v>21.1</c:v>
                </c:pt>
                <c:pt idx="19">
                  <c:v>8.2999999999999989</c:v>
                </c:pt>
                <c:pt idx="20">
                  <c:v>17.38</c:v>
                </c:pt>
                <c:pt idx="21">
                  <c:v>19.399999999999999</c:v>
                </c:pt>
              </c:numCache>
            </c:numRef>
          </c:val>
          <c:extLst>
            <c:ext xmlns:c16="http://schemas.microsoft.com/office/drawing/2014/chart" uri="{C3380CC4-5D6E-409C-BE32-E72D297353CC}">
              <c16:uniqueId val="{00000000-CA4B-4B31-A9D3-9F2C3552FB9B}"/>
            </c:ext>
          </c:extLst>
        </c:ser>
        <c:dLbls>
          <c:showLegendKey val="0"/>
          <c:showVal val="0"/>
          <c:showCatName val="0"/>
          <c:showSerName val="0"/>
          <c:showPercent val="0"/>
          <c:showBubbleSize val="0"/>
        </c:dLbls>
        <c:gapWidth val="219"/>
        <c:overlap val="-27"/>
        <c:axId val="146906016"/>
        <c:axId val="146895680"/>
      </c:barChart>
      <c:catAx>
        <c:axId val="1469060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5680"/>
        <c:crosses val="autoZero"/>
        <c:auto val="1"/>
        <c:lblAlgn val="ctr"/>
        <c:lblOffset val="100"/>
        <c:noMultiLvlLbl val="0"/>
      </c:catAx>
      <c:valAx>
        <c:axId val="14689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6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Algarrobo</a:t>
            </a:r>
            <a:r>
              <a:rPr lang="en-US" b="1" baseline="0"/>
              <a:t> </a:t>
            </a:r>
            <a:r>
              <a:rPr lang="en-US" b="1"/>
              <a:t>Secano</a:t>
            </a:r>
            <a:r>
              <a:rPr lang="en-US" b="1" baseline="0"/>
              <a:t> Ecológico:</a:t>
            </a:r>
            <a:r>
              <a:rPr lang="en-US" b="1"/>
              <a:t> </a:t>
            </a:r>
          </a:p>
          <a:p>
            <a:pPr>
              <a:defRPr sz="1400" b="0" i="0" u="none" strike="noStrike" kern="1200" spc="0" baseline="0">
                <a:solidFill>
                  <a:sysClr val="windowText" lastClr="000000"/>
                </a:solidFill>
                <a:latin typeface="+mn-lt"/>
                <a:ea typeface="+mn-ea"/>
                <a:cs typeface="+mn-cs"/>
              </a:defRPr>
            </a:pPr>
            <a:r>
              <a:rPr lang="en-US"/>
              <a:t>Las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'ALG-EDAD'!$AK$194</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f>'ALG-EDAD'!$AI$195:$AI$201</c:f>
              <c:strCache>
                <c:ptCount val="7"/>
                <c:pt idx="0">
                  <c:v>ISLAS BALEARES</c:v>
                </c:pt>
                <c:pt idx="1">
                  <c:v>MURCIA</c:v>
                </c:pt>
                <c:pt idx="2">
                  <c:v>TARRAGONA</c:v>
                </c:pt>
                <c:pt idx="3">
                  <c:v>SEVILLA</c:v>
                </c:pt>
                <c:pt idx="4">
                  <c:v>BARCELONA</c:v>
                </c:pt>
                <c:pt idx="5">
                  <c:v>VALENCIA</c:v>
                </c:pt>
                <c:pt idx="6">
                  <c:v>MÁLAGA</c:v>
                </c:pt>
              </c:strCache>
            </c:strRef>
          </c:cat>
          <c:val>
            <c:numRef>
              <c:f>'ALG-EDAD'!$AK$195:$AK$201</c:f>
              <c:numCache>
                <c:formatCode>#,##0</c:formatCode>
                <c:ptCount val="7"/>
                <c:pt idx="0">
                  <c:v>410.34999999999997</c:v>
                </c:pt>
                <c:pt idx="1">
                  <c:v>256.07999999999993</c:v>
                </c:pt>
                <c:pt idx="2">
                  <c:v>233.02999999999997</c:v>
                </c:pt>
                <c:pt idx="3">
                  <c:v>31.400000000000002</c:v>
                </c:pt>
                <c:pt idx="4">
                  <c:v>14.93</c:v>
                </c:pt>
                <c:pt idx="5">
                  <c:v>119.54</c:v>
                </c:pt>
                <c:pt idx="6">
                  <c:v>28.59</c:v>
                </c:pt>
              </c:numCache>
            </c:numRef>
          </c:val>
          <c:extLst>
            <c:ext xmlns:c16="http://schemas.microsoft.com/office/drawing/2014/chart" uri="{C3380CC4-5D6E-409C-BE32-E72D297353CC}">
              <c16:uniqueId val="{00000000-BF5C-43B5-ABFF-E99067487DFE}"/>
            </c:ext>
          </c:extLst>
        </c:ser>
        <c:ser>
          <c:idx val="0"/>
          <c:order val="1"/>
          <c:tx>
            <c:strRef>
              <c:f>'ALG-EDAD'!$AJ$194</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56D82A87-D800-4256-BDF0-D4B6C81BE42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F5C-43B5-ABFF-E99067487DFE}"/>
                </c:ext>
              </c:extLst>
            </c:dLbl>
            <c:dLbl>
              <c:idx val="1"/>
              <c:tx>
                <c:rich>
                  <a:bodyPr/>
                  <a:lstStyle/>
                  <a:p>
                    <a:fld id="{32367441-430A-443D-9F8A-B4491F4BB54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F5C-43B5-ABFF-E99067487DFE}"/>
                </c:ext>
              </c:extLst>
            </c:dLbl>
            <c:dLbl>
              <c:idx val="2"/>
              <c:tx>
                <c:rich>
                  <a:bodyPr/>
                  <a:lstStyle/>
                  <a:p>
                    <a:fld id="{DA7D2273-E0F4-4894-9010-AB2996078FF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F5C-43B5-ABFF-E99067487DFE}"/>
                </c:ext>
              </c:extLst>
            </c:dLbl>
            <c:dLbl>
              <c:idx val="3"/>
              <c:tx>
                <c:rich>
                  <a:bodyPr/>
                  <a:lstStyle/>
                  <a:p>
                    <a:fld id="{15962CC9-4564-4CF3-9ED6-4C974E2D017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F5C-43B5-ABFF-E99067487DFE}"/>
                </c:ext>
              </c:extLst>
            </c:dLbl>
            <c:dLbl>
              <c:idx val="4"/>
              <c:tx>
                <c:rich>
                  <a:bodyPr/>
                  <a:lstStyle/>
                  <a:p>
                    <a:fld id="{50DE7C43-74BF-43A1-B2CF-D72FD2E8ED1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F5C-43B5-ABFF-E99067487DFE}"/>
                </c:ext>
              </c:extLst>
            </c:dLbl>
            <c:dLbl>
              <c:idx val="5"/>
              <c:tx>
                <c:rich>
                  <a:bodyPr/>
                  <a:lstStyle/>
                  <a:p>
                    <a:fld id="{7985A3B9-E886-49DB-8F42-E02F44BAD5D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F5C-43B5-ABFF-E99067487DFE}"/>
                </c:ext>
              </c:extLst>
            </c:dLbl>
            <c:dLbl>
              <c:idx val="6"/>
              <c:tx>
                <c:rich>
                  <a:bodyPr/>
                  <a:lstStyle/>
                  <a:p>
                    <a:fld id="{C335E3EA-F21B-4455-A6C5-1355E2D699C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F5C-43B5-ABFF-E99067487D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'ALG-EDAD'!$AI$195:$AI$201</c:f>
              <c:strCache>
                <c:ptCount val="7"/>
                <c:pt idx="0">
                  <c:v>ISLAS BALEARES</c:v>
                </c:pt>
                <c:pt idx="1">
                  <c:v>MURCIA</c:v>
                </c:pt>
                <c:pt idx="2">
                  <c:v>TARRAGONA</c:v>
                </c:pt>
                <c:pt idx="3">
                  <c:v>SEVILLA</c:v>
                </c:pt>
                <c:pt idx="4">
                  <c:v>BARCELONA</c:v>
                </c:pt>
                <c:pt idx="5">
                  <c:v>VALENCIA</c:v>
                </c:pt>
                <c:pt idx="6">
                  <c:v>MÁLAGA</c:v>
                </c:pt>
              </c:strCache>
            </c:strRef>
          </c:cat>
          <c:val>
            <c:numRef>
              <c:f>'ALG-EDAD'!$AJ$195:$AJ$201</c:f>
              <c:numCache>
                <c:formatCode>#,##0</c:formatCode>
                <c:ptCount val="7"/>
                <c:pt idx="0">
                  <c:v>30.770000000000003</c:v>
                </c:pt>
                <c:pt idx="1">
                  <c:v>13.1</c:v>
                </c:pt>
                <c:pt idx="2">
                  <c:v>12.059999999999999</c:v>
                </c:pt>
                <c:pt idx="3">
                  <c:v>6.12</c:v>
                </c:pt>
                <c:pt idx="4">
                  <c:v>3.4699999999999998</c:v>
                </c:pt>
                <c:pt idx="5" formatCode="#,##0.00">
                  <c:v>0.53</c:v>
                </c:pt>
                <c:pt idx="6" formatCode="#,##0.00">
                  <c:v>0.13</c:v>
                </c:pt>
              </c:numCache>
            </c:numRef>
          </c:val>
          <c:extLst>
            <c:ext xmlns:c15="http://schemas.microsoft.com/office/drawing/2012/chart" uri="{02D57815-91ED-43cb-92C2-25804820EDAC}">
              <c15:datalabelsRange>
                <c15:f>'ALG-EDAD'!$AL$195:$AL$201</c15:f>
                <c15:dlblRangeCache>
                  <c:ptCount val="7"/>
                  <c:pt idx="0">
                    <c:v>7%</c:v>
                  </c:pt>
                  <c:pt idx="1">
                    <c:v>5%</c:v>
                  </c:pt>
                  <c:pt idx="2">
                    <c:v>5%</c:v>
                  </c:pt>
                  <c:pt idx="3">
                    <c:v>19%</c:v>
                  </c:pt>
                  <c:pt idx="4">
                    <c:v>23%</c:v>
                  </c:pt>
                  <c:pt idx="5">
                    <c:v>0%</c:v>
                  </c:pt>
                  <c:pt idx="6">
                    <c:v>0%</c:v>
                  </c:pt>
                </c15:dlblRangeCache>
              </c15:datalabelsRange>
            </c:ext>
            <c:ext xmlns:c16="http://schemas.microsoft.com/office/drawing/2014/chart" uri="{C3380CC4-5D6E-409C-BE32-E72D297353CC}">
              <c16:uniqueId val="{00000008-BF5C-43B5-ABFF-E99067487DFE}"/>
            </c:ext>
          </c:extLst>
        </c:ser>
        <c:dLbls>
          <c:showLegendKey val="0"/>
          <c:showVal val="0"/>
          <c:showCatName val="0"/>
          <c:showSerName val="0"/>
          <c:showPercent val="0"/>
          <c:showBubbleSize val="0"/>
        </c:dLbls>
        <c:gapWidth val="150"/>
        <c:overlap val="-40"/>
        <c:axId val="146889152"/>
        <c:axId val="146890240"/>
      </c:barChart>
      <c:catAx>
        <c:axId val="146889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6890240"/>
        <c:crosses val="autoZero"/>
        <c:auto val="1"/>
        <c:lblAlgn val="ctr"/>
        <c:lblOffset val="100"/>
        <c:noMultiLvlLbl val="0"/>
      </c:catAx>
      <c:valAx>
        <c:axId val="1468902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6889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Secano</a:t>
            </a:r>
            <a:r>
              <a:rPr lang="es-ES" b="1" baseline="0">
                <a:solidFill>
                  <a:sysClr val="windowText" lastClr="000000"/>
                </a:solidFill>
              </a:rPr>
              <a:t> 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'ALG-EDAD'!$AO$192</c:f>
              <c:strCache>
                <c:ptCount val="1"/>
                <c:pt idx="0">
                  <c:v>Plantaciones jóvenes</c:v>
                </c:pt>
              </c:strCache>
            </c:strRef>
          </c:tx>
          <c:spPr>
            <a:solidFill>
              <a:schemeClr val="accent6">
                <a:shade val="76000"/>
              </a:schemeClr>
            </a:solidFill>
            <a:ln>
              <a:noFill/>
            </a:ln>
            <a:effectLst/>
          </c:spPr>
          <c:invertIfNegative val="0"/>
          <c:dLbls>
            <c:dLbl>
              <c:idx val="0"/>
              <c:tx>
                <c:rich>
                  <a:bodyPr/>
                  <a:lstStyle/>
                  <a:p>
                    <a:fld id="{32E638D0-8AD4-4DBD-9666-E2C4CDF1FEE0}"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404-40AA-B15C-55FAC6A2261F}"/>
                </c:ext>
              </c:extLst>
            </c:dLbl>
            <c:dLbl>
              <c:idx val="1"/>
              <c:tx>
                <c:rich>
                  <a:bodyPr/>
                  <a:lstStyle/>
                  <a:p>
                    <a:fld id="{07D1937D-4F42-42D1-8D44-79A04C931CD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04-40AA-B15C-55FAC6A2261F}"/>
                </c:ext>
              </c:extLst>
            </c:dLbl>
            <c:dLbl>
              <c:idx val="2"/>
              <c:tx>
                <c:rich>
                  <a:bodyPr/>
                  <a:lstStyle/>
                  <a:p>
                    <a:fld id="{53E90555-9F16-49DE-9891-F6BEB6ED2FF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04-40AA-B15C-55FAC6A2261F}"/>
                </c:ext>
              </c:extLst>
            </c:dLbl>
            <c:dLbl>
              <c:idx val="3"/>
              <c:tx>
                <c:rich>
                  <a:bodyPr/>
                  <a:lstStyle/>
                  <a:p>
                    <a:fld id="{D8AA2BF9-7A2B-4975-AA43-DD0F0F7B231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04-40AA-B15C-55FAC6A226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'ALG-EDAD'!$AN$193:$AN$196</c:f>
              <c:strCache>
                <c:ptCount val="4"/>
                <c:pt idx="0">
                  <c:v>ISLAS BALEARES</c:v>
                </c:pt>
                <c:pt idx="1">
                  <c:v>ANDALUCÍA</c:v>
                </c:pt>
                <c:pt idx="2">
                  <c:v>CATALUÑA</c:v>
                </c:pt>
                <c:pt idx="3">
                  <c:v>MURCIA</c:v>
                </c:pt>
              </c:strCache>
            </c:strRef>
          </c:cat>
          <c:val>
            <c:numRef>
              <c:f>'ALG-EDAD'!$AO$193:$AO$196</c:f>
              <c:numCache>
                <c:formatCode>#,##0</c:formatCode>
                <c:ptCount val="4"/>
                <c:pt idx="0">
                  <c:v>30.770000000000003</c:v>
                </c:pt>
                <c:pt idx="1">
                  <c:v>6.25</c:v>
                </c:pt>
                <c:pt idx="2">
                  <c:v>15.529999999999998</c:v>
                </c:pt>
                <c:pt idx="3">
                  <c:v>13.1</c:v>
                </c:pt>
              </c:numCache>
            </c:numRef>
          </c:val>
          <c:extLst>
            <c:ext xmlns:c15="http://schemas.microsoft.com/office/drawing/2012/chart" uri="{02D57815-91ED-43cb-92C2-25804820EDAC}">
              <c15:datalabelsRange>
                <c15:f>'ALG-EDAD'!$AQ$193:$AQ$196</c15:f>
                <c15:dlblRangeCache>
                  <c:ptCount val="4"/>
                  <c:pt idx="0">
                    <c:v>7%</c:v>
                  </c:pt>
                  <c:pt idx="1">
                    <c:v>2%</c:v>
                  </c:pt>
                  <c:pt idx="2">
                    <c:v>6%</c:v>
                  </c:pt>
                  <c:pt idx="3">
                    <c:v>5%</c:v>
                  </c:pt>
                </c15:dlblRangeCache>
              </c15:datalabelsRange>
            </c:ext>
            <c:ext xmlns:c16="http://schemas.microsoft.com/office/drawing/2014/chart" uri="{C3380CC4-5D6E-409C-BE32-E72D297353CC}">
              <c16:uniqueId val="{00000004-6404-40AA-B15C-55FAC6A2261F}"/>
            </c:ext>
          </c:extLst>
        </c:ser>
        <c:ser>
          <c:idx val="1"/>
          <c:order val="1"/>
          <c:tx>
            <c:strRef>
              <c:f>'ALG-EDAD'!$AP$192</c:f>
              <c:strCache>
                <c:ptCount val="1"/>
                <c:pt idx="0">
                  <c:v>Total</c:v>
                </c:pt>
              </c:strCache>
            </c:strRef>
          </c:tx>
          <c:spPr>
            <a:solidFill>
              <a:schemeClr val="accent6">
                <a:tint val="77000"/>
              </a:schemeClr>
            </a:solidFill>
            <a:ln>
              <a:solidFill>
                <a:schemeClr val="accent6">
                  <a:lumMod val="50000"/>
                </a:schemeClr>
              </a:solidFill>
            </a:ln>
            <a:effectLst/>
          </c:spPr>
          <c:invertIfNegative val="0"/>
          <c:cat>
            <c:strRef>
              <c:f>'ALG-EDAD'!$AN$193:$AN$196</c:f>
              <c:strCache>
                <c:ptCount val="4"/>
                <c:pt idx="0">
                  <c:v>ISLAS BALEARES</c:v>
                </c:pt>
                <c:pt idx="1">
                  <c:v>ANDALUCÍA</c:v>
                </c:pt>
                <c:pt idx="2">
                  <c:v>CATALUÑA</c:v>
                </c:pt>
                <c:pt idx="3">
                  <c:v>MURCIA</c:v>
                </c:pt>
              </c:strCache>
            </c:strRef>
          </c:cat>
          <c:val>
            <c:numRef>
              <c:f>'ALG-EDAD'!$AP$193:$AP$196</c:f>
              <c:numCache>
                <c:formatCode>#,##0</c:formatCode>
                <c:ptCount val="4"/>
                <c:pt idx="0">
                  <c:v>410.34999999999997</c:v>
                </c:pt>
                <c:pt idx="1">
                  <c:v>320.05</c:v>
                </c:pt>
                <c:pt idx="2">
                  <c:v>247.95999999999998</c:v>
                </c:pt>
                <c:pt idx="3">
                  <c:v>256.07999999999993</c:v>
                </c:pt>
              </c:numCache>
            </c:numRef>
          </c:val>
          <c:extLst>
            <c:ext xmlns:c16="http://schemas.microsoft.com/office/drawing/2014/chart" uri="{C3380CC4-5D6E-409C-BE32-E72D297353CC}">
              <c16:uniqueId val="{00000005-6404-40AA-B15C-55FAC6A2261F}"/>
            </c:ext>
          </c:extLst>
        </c:ser>
        <c:dLbls>
          <c:showLegendKey val="0"/>
          <c:showVal val="0"/>
          <c:showCatName val="0"/>
          <c:showSerName val="0"/>
          <c:showPercent val="0"/>
          <c:showBubbleSize val="0"/>
        </c:dLbls>
        <c:gapWidth val="100"/>
        <c:axId val="146900032"/>
        <c:axId val="146903840"/>
      </c:barChart>
      <c:catAx>
        <c:axId val="14690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3840"/>
        <c:crosses val="autoZero"/>
        <c:auto val="1"/>
        <c:lblAlgn val="ctr"/>
        <c:lblOffset val="100"/>
        <c:noMultiLvlLbl val="0"/>
      </c:catAx>
      <c:valAx>
        <c:axId val="14690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Algarrobo Secano</a:t>
            </a:r>
            <a:r>
              <a:rPr lang="es-ES" baseline="0"/>
              <a:t> 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4"/>
            <c:invertIfNegative val="0"/>
            <c:bubble3D val="0"/>
            <c:spPr>
              <a:solidFill>
                <a:srgbClr val="C0504D"/>
              </a:solidFill>
              <a:ln>
                <a:noFill/>
              </a:ln>
              <a:effectLst/>
            </c:spPr>
            <c:extLst>
              <c:ext xmlns:c16="http://schemas.microsoft.com/office/drawing/2014/chart" uri="{C3380CC4-5D6E-409C-BE32-E72D297353CC}">
                <c16:uniqueId val="{00000001-DB4E-44C1-9B0B-7218016F79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'ALG-EDAD'!$A$210:$A$217</c15:sqref>
                  </c15:fullRef>
                </c:ext>
              </c:extLst>
              <c:f>('ALG-EDAD'!$A$210,'ALG-EDAD'!$A$212,'ALG-EDAD'!$A$215:$A$217)</c:f>
              <c:strCache>
                <c:ptCount val="5"/>
                <c:pt idx="0">
                  <c:v>ANDALUCÍA</c:v>
                </c:pt>
                <c:pt idx="1">
                  <c:v>C. VALENCIANA</c:v>
                </c:pt>
                <c:pt idx="2">
                  <c:v>ISLAS BALEARES</c:v>
                </c:pt>
                <c:pt idx="3">
                  <c:v>MURCIA</c:v>
                </c:pt>
                <c:pt idx="4">
                  <c:v>ESPAÑA</c:v>
                </c:pt>
              </c:strCache>
            </c:strRef>
          </c:cat>
          <c:val>
            <c:numRef>
              <c:extLst>
                <c:ext xmlns:c15="http://schemas.microsoft.com/office/drawing/2012/chart" uri="{02D57815-91ED-43cb-92C2-25804820EDAC}">
                  <c15:fullRef>
                    <c15:sqref>'ALG-EDAD'!$Y$210:$Y$217</c15:sqref>
                  </c15:fullRef>
                </c:ext>
              </c:extLst>
              <c:f>('ALG-EDAD'!$Y$210,'ALG-EDAD'!$Y$212,'ALG-EDAD'!$Y$215:$Y$217)</c:f>
              <c:numCache>
                <c:formatCode>0.00%</c:formatCode>
                <c:ptCount val="5"/>
                <c:pt idx="0">
                  <c:v>3.1245117950320261E-4</c:v>
                </c:pt>
                <c:pt idx="1">
                  <c:v>6.7322923738402356E-3</c:v>
                </c:pt>
                <c:pt idx="2">
                  <c:v>2.875594005117583E-3</c:v>
                </c:pt>
                <c:pt idx="3">
                  <c:v>1.7572633552014997E-3</c:v>
                </c:pt>
                <c:pt idx="4">
                  <c:v>2.0686772509263002E-3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6892960"/>
        <c:axId val="146883168"/>
      </c:barChart>
      <c:catAx>
        <c:axId val="146892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3168"/>
        <c:crosses val="autoZero"/>
        <c:auto val="1"/>
        <c:lblAlgn val="ctr"/>
        <c:lblOffset val="100"/>
        <c:noMultiLvlLbl val="0"/>
      </c:catAx>
      <c:valAx>
        <c:axId val="14688316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rgbClr val="00FFCC"/>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'ALG-EDAD'!$C$246:$X$246</c:f>
              <c:numCache>
                <c:formatCode>#,##0</c:formatCode>
                <c:ptCount val="22"/>
                <c:pt idx="0">
                  <c:v>94.99</c:v>
                </c:pt>
                <c:pt idx="1">
                  <c:v>0.05</c:v>
                </c:pt>
                <c:pt idx="2">
                  <c:v>1.63</c:v>
                </c:pt>
                <c:pt idx="3">
                  <c:v>0</c:v>
                </c:pt>
                <c:pt idx="4">
                  <c:v>0.12</c:v>
                </c:pt>
                <c:pt idx="5">
                  <c:v>0</c:v>
                </c:pt>
                <c:pt idx="6">
                  <c:v>0</c:v>
                </c:pt>
                <c:pt idx="7">
                  <c:v>0</c:v>
                </c:pt>
                <c:pt idx="8">
                  <c:v>0</c:v>
                </c:pt>
                <c:pt idx="9">
                  <c:v>0</c:v>
                </c:pt>
                <c:pt idx="10">
                  <c:v>0.14000000000000001</c:v>
                </c:pt>
                <c:pt idx="11">
                  <c:v>0</c:v>
                </c:pt>
                <c:pt idx="12">
                  <c:v>0</c:v>
                </c:pt>
                <c:pt idx="13">
                  <c:v>0</c:v>
                </c:pt>
                <c:pt idx="14">
                  <c:v>0</c:v>
                </c:pt>
                <c:pt idx="15">
                  <c:v>0.34</c:v>
                </c:pt>
                <c:pt idx="16">
                  <c:v>0.9</c:v>
                </c:pt>
                <c:pt idx="17">
                  <c:v>0</c:v>
                </c:pt>
                <c:pt idx="18">
                  <c:v>0</c:v>
                </c:pt>
                <c:pt idx="19">
                  <c:v>0.02</c:v>
                </c:pt>
                <c:pt idx="20">
                  <c:v>1.5</c:v>
                </c:pt>
                <c:pt idx="21">
                  <c:v>1.34</c:v>
                </c:pt>
              </c:numCache>
            </c:numRef>
          </c:val>
          <c:extLst>
            <c:ext xmlns:c16="http://schemas.microsoft.com/office/drawing/2014/chart" uri="{C3380CC4-5D6E-409C-BE32-E72D297353CC}">
              <c16:uniqueId val="{00000000-C362-41BA-8686-E8B29D6F14DD}"/>
            </c:ext>
          </c:extLst>
        </c:ser>
        <c:dLbls>
          <c:showLegendKey val="0"/>
          <c:showVal val="0"/>
          <c:showCatName val="0"/>
          <c:showSerName val="0"/>
          <c:showPercent val="0"/>
          <c:showBubbleSize val="0"/>
        </c:dLbls>
        <c:gapWidth val="219"/>
        <c:overlap val="-27"/>
        <c:axId val="146875008"/>
        <c:axId val="146883712"/>
      </c:barChart>
      <c:catAx>
        <c:axId val="146875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3712"/>
        <c:crosses val="autoZero"/>
        <c:auto val="1"/>
        <c:lblAlgn val="ctr"/>
        <c:lblOffset val="100"/>
        <c:noMultiLvlLbl val="0"/>
      </c:catAx>
      <c:valAx>
        <c:axId val="14688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5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'ALG-EDAD'!$AO$192</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F1AC173C-4BD8-481E-84A9-DED3D46ACA71}"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D53-46F0-ADE2-7C0CF395FD76}"/>
                </c:ext>
              </c:extLst>
            </c:dLbl>
            <c:dLbl>
              <c:idx val="1"/>
              <c:tx>
                <c:rich>
                  <a:bodyPr/>
                  <a:lstStyle/>
                  <a:p>
                    <a:fld id="{1F8B2305-1B87-47DF-8CAE-13FEA08F8FC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D53-46F0-ADE2-7C0CF395FD76}"/>
                </c:ext>
              </c:extLst>
            </c:dLbl>
            <c:dLbl>
              <c:idx val="2"/>
              <c:tx>
                <c:rich>
                  <a:bodyPr/>
                  <a:lstStyle/>
                  <a:p>
                    <a:fld id="{6E5B086E-53C4-404B-A3D8-3F3D1210933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D53-46F0-ADE2-7C0CF395FD7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'ALG-EDAD'!$AN$238:$AN$240</c:f>
              <c:strCache>
                <c:ptCount val="3"/>
                <c:pt idx="0">
                  <c:v>CATALUÑA</c:v>
                </c:pt>
                <c:pt idx="1">
                  <c:v>EXTREMADURA</c:v>
                </c:pt>
                <c:pt idx="2">
                  <c:v>C. VALENCIANA</c:v>
                </c:pt>
              </c:strCache>
            </c:strRef>
          </c:cat>
          <c:val>
            <c:numRef>
              <c:f>'ALG-EDAD'!$AO$238:$AO$240</c:f>
              <c:numCache>
                <c:formatCode>#,##0.00</c:formatCode>
                <c:ptCount val="3"/>
                <c:pt idx="0" formatCode="#,##0">
                  <c:v>2.0100000000000002</c:v>
                </c:pt>
                <c:pt idx="1">
                  <c:v>0.56999999999999995</c:v>
                </c:pt>
                <c:pt idx="2">
                  <c:v>0.26</c:v>
                </c:pt>
              </c:numCache>
            </c:numRef>
          </c:val>
          <c:extLst>
            <c:ext xmlns:c15="http://schemas.microsoft.com/office/drawing/2012/chart" uri="{02D57815-91ED-43cb-92C2-25804820EDAC}">
              <c15:datalabelsRange>
                <c15:f>'ALG-EDAD'!$AQ$238:$AQ$240</c15:f>
                <c15:dlblRangeCache>
                  <c:ptCount val="3"/>
                  <c:pt idx="0">
                    <c:v>10%</c:v>
                  </c:pt>
                  <c:pt idx="1">
                    <c:v>100%</c:v>
                  </c:pt>
                  <c:pt idx="2">
                    <c:v>2%</c:v>
                  </c:pt>
                </c15:dlblRangeCache>
              </c15:datalabelsRange>
            </c:ext>
            <c:ext xmlns:c16="http://schemas.microsoft.com/office/drawing/2014/chart" uri="{C3380CC4-5D6E-409C-BE32-E72D297353CC}">
              <c16:uniqueId val="{00000003-7D53-46F0-ADE2-7C0CF395FD76}"/>
            </c:ext>
          </c:extLst>
        </c:ser>
        <c:ser>
          <c:idx val="1"/>
          <c:order val="1"/>
          <c:tx>
            <c:strRef>
              <c:f>'ALG-EDAD'!$AP$192</c:f>
              <c:strCache>
                <c:ptCount val="1"/>
                <c:pt idx="0">
                  <c:v>Total</c:v>
                </c:pt>
              </c:strCache>
            </c:strRef>
          </c:tx>
          <c:spPr>
            <a:solidFill>
              <a:srgbClr val="00FFCC"/>
            </a:solidFill>
            <a:ln>
              <a:solidFill>
                <a:schemeClr val="accent6">
                  <a:lumMod val="75000"/>
                </a:schemeClr>
              </a:solidFill>
            </a:ln>
            <a:effectLst/>
          </c:spPr>
          <c:invertIfNegative val="0"/>
          <c:cat>
            <c:strRef>
              <c:f>'ALG-EDAD'!$AN$238:$AN$240</c:f>
              <c:strCache>
                <c:ptCount val="3"/>
                <c:pt idx="0">
                  <c:v>CATALUÑA</c:v>
                </c:pt>
                <c:pt idx="1">
                  <c:v>EXTREMADURA</c:v>
                </c:pt>
                <c:pt idx="2">
                  <c:v>C. VALENCIANA</c:v>
                </c:pt>
              </c:strCache>
            </c:strRef>
          </c:cat>
          <c:val>
            <c:numRef>
              <c:f>'ALG-EDAD'!$AP$238:$AP$240</c:f>
              <c:numCache>
                <c:formatCode>#,##0.00</c:formatCode>
                <c:ptCount val="3"/>
                <c:pt idx="0" formatCode="#,##0">
                  <c:v>19.57</c:v>
                </c:pt>
                <c:pt idx="1">
                  <c:v>0.56999999999999995</c:v>
                </c:pt>
                <c:pt idx="2">
                  <c:v>13.1</c:v>
                </c:pt>
              </c:numCache>
            </c:numRef>
          </c:val>
          <c:extLst>
            <c:ext xmlns:c16="http://schemas.microsoft.com/office/drawing/2014/chart" uri="{C3380CC4-5D6E-409C-BE32-E72D297353CC}">
              <c16:uniqueId val="{00000004-7D53-46F0-ADE2-7C0CF395FD76}"/>
            </c:ext>
          </c:extLst>
        </c:ser>
        <c:dLbls>
          <c:showLegendKey val="0"/>
          <c:showVal val="0"/>
          <c:showCatName val="0"/>
          <c:showSerName val="0"/>
          <c:showPercent val="0"/>
          <c:showBubbleSize val="0"/>
        </c:dLbls>
        <c:gapWidth val="100"/>
        <c:axId val="146898944"/>
        <c:axId val="146898400"/>
      </c:barChart>
      <c:catAx>
        <c:axId val="14689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8400"/>
        <c:crosses val="autoZero"/>
        <c:auto val="1"/>
        <c:lblAlgn val="ctr"/>
        <c:lblOffset val="100"/>
        <c:noMultiLvlLbl val="0"/>
      </c:catAx>
      <c:valAx>
        <c:axId val="14689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8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rPr>
              <a:t>Almendro Regadío: </a:t>
            </a: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Representatividad 2020 vs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'ALM-REPR'!$Q$76</c:f>
              <c:strCache>
                <c:ptCount val="1"/>
                <c:pt idx="0">
                  <c:v>Representatividad 2020</c:v>
                </c:pt>
              </c:strCache>
            </c:strRef>
          </c:tx>
          <c:spPr>
            <a:solidFill>
              <a:schemeClr val="accent1">
                <a:lumMod val="20000"/>
                <a:lumOff val="80000"/>
              </a:schemeClr>
            </a:solidFill>
            <a:ln>
              <a:noFill/>
            </a:ln>
            <a:effectLst/>
          </c:spPr>
          <c:invertIfNegative val="0"/>
          <c:cat>
            <c:strRef>
              <c:f>'ALM-REPR'!$M$77:$M$82</c:f>
              <c:strCache>
                <c:ptCount val="6"/>
                <c:pt idx="0">
                  <c:v>ANDALUCÍA</c:v>
                </c:pt>
                <c:pt idx="1">
                  <c:v>C.-LA MANCHA</c:v>
                </c:pt>
                <c:pt idx="2">
                  <c:v>ARAGÓN</c:v>
                </c:pt>
                <c:pt idx="3">
                  <c:v>CATALUÑA</c:v>
                </c:pt>
                <c:pt idx="4">
                  <c:v>C. VALENCIANA</c:v>
                </c:pt>
                <c:pt idx="5">
                  <c:v>MURCIA</c:v>
                </c:pt>
              </c:strCache>
            </c:strRef>
          </c:cat>
          <c:val>
            <c:numRef>
              <c:f>'ALM-REPR'!$Q$77:$Q$82</c:f>
              <c:numCache>
                <c:formatCode>0%</c:formatCode>
                <c:ptCount val="6"/>
                <c:pt idx="0">
                  <c:v>0.85863691361012207</c:v>
                </c:pt>
                <c:pt idx="1">
                  <c:v>0.81551299062620419</c:v>
                </c:pt>
                <c:pt idx="2">
                  <c:v>0.93386634372991939</c:v>
                </c:pt>
                <c:pt idx="3">
                  <c:v>1.0039860393436677</c:v>
                </c:pt>
                <c:pt idx="4">
                  <c:v>0.55604904632152552</c:v>
                </c:pt>
                <c:pt idx="5">
                  <c:v>0.96614301961899285</c:v>
                </c:pt>
              </c:numCache>
            </c:numRef>
          </c:val>
          <c:extLst>
            <c:ext xmlns:c16="http://schemas.microsoft.com/office/drawing/2014/chart" uri="{C3380CC4-5D6E-409C-BE32-E72D297353CC}">
              <c16:uniqueId val="{00000007-6CA5-4D90-8470-1F5F0E48DEF7}"/>
            </c:ext>
          </c:extLst>
        </c:ser>
        <c:ser>
          <c:idx val="0"/>
          <c:order val="1"/>
          <c:tx>
            <c:strRef>
              <c:f>'ALM-REPR'!$P$76</c:f>
              <c:strCache>
                <c:ptCount val="1"/>
                <c:pt idx="0">
                  <c:v>Representatividad 2021</c:v>
                </c:pt>
              </c:strCache>
            </c:strRef>
          </c:tx>
          <c:spPr>
            <a:solidFill>
              <a:schemeClr val="accent1">
                <a:lumMod val="75000"/>
              </a:schemeClr>
            </a:solidFill>
            <a:ln>
              <a:noFill/>
            </a:ln>
            <a:effectLst/>
          </c:spPr>
          <c:invertIfNegative val="0"/>
          <c:cat>
            <c:strRef>
              <c:f>'ALM-REPR'!$M$77:$M$82</c:f>
              <c:strCache>
                <c:ptCount val="6"/>
                <c:pt idx="0">
                  <c:v>ANDALUCÍA</c:v>
                </c:pt>
                <c:pt idx="1">
                  <c:v>C.-LA MANCHA</c:v>
                </c:pt>
                <c:pt idx="2">
                  <c:v>ARAGÓN</c:v>
                </c:pt>
                <c:pt idx="3">
                  <c:v>CATALUÑA</c:v>
                </c:pt>
                <c:pt idx="4">
                  <c:v>C. VALENCIANA</c:v>
                </c:pt>
                <c:pt idx="5">
                  <c:v>MURCIA</c:v>
                </c:pt>
              </c:strCache>
            </c:strRef>
          </c:cat>
          <c:val>
            <c:numRef>
              <c:f>'ALM-REPR'!$P$77:$P$82</c:f>
              <c:numCache>
                <c:formatCode>0%</c:formatCode>
                <c:ptCount val="6"/>
                <c:pt idx="0">
                  <c:v>0.90599726898072908</c:v>
                </c:pt>
                <c:pt idx="1">
                  <c:v>0.81793440888653801</c:v>
                </c:pt>
                <c:pt idx="2">
                  <c:v>0.96325718594748055</c:v>
                </c:pt>
                <c:pt idx="3">
                  <c:v>0.89589848353893298</c:v>
                </c:pt>
                <c:pt idx="4">
                  <c:v>0.60679965307892447</c:v>
                </c:pt>
                <c:pt idx="5">
                  <c:v>0.94219400162118361</c:v>
                </c:pt>
              </c:numCache>
            </c:numRef>
          </c:val>
          <c:extLst>
            <c:ext xmlns:c16="http://schemas.microsoft.com/office/drawing/2014/chart" uri="{C3380CC4-5D6E-409C-BE32-E72D297353CC}">
              <c16:uniqueId val="{00000006-6CA5-4D90-8470-1F5F0E48DEF7}"/>
            </c:ext>
          </c:extLst>
        </c:ser>
        <c:dLbls>
          <c:showLegendKey val="0"/>
          <c:showVal val="0"/>
          <c:showCatName val="0"/>
          <c:showSerName val="0"/>
          <c:showPercent val="0"/>
          <c:showBubbleSize val="0"/>
        </c:dLbls>
        <c:gapWidth val="219"/>
        <c:axId val="2128807888"/>
        <c:axId val="2128804624"/>
      </c:barChart>
      <c:catAx>
        <c:axId val="212880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4624"/>
        <c:crosses val="autoZero"/>
        <c:auto val="1"/>
        <c:lblAlgn val="ctr"/>
        <c:lblOffset val="100"/>
        <c:noMultiLvlLbl val="0"/>
      </c:catAx>
      <c:valAx>
        <c:axId val="212880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28807888"/>
        <c:crosses val="autoZero"/>
        <c:crossBetween val="between"/>
      </c:valAx>
      <c:spPr>
        <a:noFill/>
        <a:ln>
          <a:noFill/>
        </a:ln>
        <a:effectLst/>
      </c:spPr>
    </c:plotArea>
    <c:legend>
      <c:legendPos val="b"/>
      <c:layout>
        <c:manualLayout>
          <c:xMode val="edge"/>
          <c:yMode val="edge"/>
          <c:x val="0.42911801133666444"/>
          <c:y val="0.91078173166565457"/>
          <c:w val="0.44206167102362215"/>
          <c:h val="6.88256313929712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Secano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'ALG-EDAD'!$C$121:$X$121</c:f>
              <c:numCache>
                <c:formatCode>#,##0</c:formatCode>
                <c:ptCount val="22"/>
                <c:pt idx="0">
                  <c:v>275.36</c:v>
                </c:pt>
                <c:pt idx="1">
                  <c:v>22.87</c:v>
                </c:pt>
                <c:pt idx="2">
                  <c:v>29.5</c:v>
                </c:pt>
                <c:pt idx="3">
                  <c:v>48.86</c:v>
                </c:pt>
                <c:pt idx="4">
                  <c:v>52.750000000000007</c:v>
                </c:pt>
                <c:pt idx="5">
                  <c:v>63.910000000000004</c:v>
                </c:pt>
                <c:pt idx="6">
                  <c:v>21.889999999999997</c:v>
                </c:pt>
                <c:pt idx="7">
                  <c:v>42.03</c:v>
                </c:pt>
                <c:pt idx="8">
                  <c:v>32.93</c:v>
                </c:pt>
                <c:pt idx="9">
                  <c:v>58.740000000000009</c:v>
                </c:pt>
                <c:pt idx="10">
                  <c:v>72.78</c:v>
                </c:pt>
                <c:pt idx="11">
                  <c:v>17.470000000000002</c:v>
                </c:pt>
                <c:pt idx="12">
                  <c:v>33.14</c:v>
                </c:pt>
                <c:pt idx="13">
                  <c:v>9.4299999999999979</c:v>
                </c:pt>
                <c:pt idx="14">
                  <c:v>35.199999999999996</c:v>
                </c:pt>
                <c:pt idx="15">
                  <c:v>41.19</c:v>
                </c:pt>
                <c:pt idx="16">
                  <c:v>30.889999999999997</c:v>
                </c:pt>
                <c:pt idx="17">
                  <c:v>14.24</c:v>
                </c:pt>
                <c:pt idx="18">
                  <c:v>52.309999999999988</c:v>
                </c:pt>
                <c:pt idx="19">
                  <c:v>75.969999999999985</c:v>
                </c:pt>
                <c:pt idx="20">
                  <c:v>129.6</c:v>
                </c:pt>
                <c:pt idx="21">
                  <c:v>136.78</c:v>
                </c:pt>
              </c:numCache>
            </c:numRef>
          </c:val>
          <c:extLst>
            <c:ext xmlns:c16="http://schemas.microsoft.com/office/drawing/2014/chart" uri="{C3380CC4-5D6E-409C-BE32-E72D297353CC}">
              <c16:uniqueId val="{00000000-B285-4B1F-8104-3A208DD6C59A}"/>
            </c:ext>
          </c:extLst>
        </c:ser>
        <c:dLbls>
          <c:showLegendKey val="0"/>
          <c:showVal val="0"/>
          <c:showCatName val="0"/>
          <c:showSerName val="0"/>
          <c:showPercent val="0"/>
          <c:showBubbleSize val="0"/>
        </c:dLbls>
        <c:gapWidth val="219"/>
        <c:overlap val="-27"/>
        <c:axId val="146893504"/>
        <c:axId val="146901664"/>
      </c:barChart>
      <c:catAx>
        <c:axId val="1468935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1664"/>
        <c:crosses val="autoZero"/>
        <c:auto val="1"/>
        <c:lblAlgn val="ctr"/>
        <c:lblOffset val="100"/>
        <c:noMultiLvlLbl val="0"/>
      </c:catAx>
      <c:valAx>
        <c:axId val="146901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3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Algarrobo Secano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'ALG-EDAD'!$AK$109</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'ALG-EDAD'!$AI$110:$AI$119</c:f>
              <c:strCache>
                <c:ptCount val="10"/>
                <c:pt idx="0">
                  <c:v>ISLAS BALEARES</c:v>
                </c:pt>
                <c:pt idx="1">
                  <c:v>TARRAGONA</c:v>
                </c:pt>
                <c:pt idx="2">
                  <c:v>HUELVA</c:v>
                </c:pt>
                <c:pt idx="3">
                  <c:v>VALENCIA</c:v>
                </c:pt>
                <c:pt idx="4">
                  <c:v>MÁLAGA</c:v>
                </c:pt>
                <c:pt idx="5">
                  <c:v>CASTELLÓN</c:v>
                </c:pt>
                <c:pt idx="6">
                  <c:v>MURCIA</c:v>
                </c:pt>
                <c:pt idx="7">
                  <c:v>SEVILLA</c:v>
                </c:pt>
                <c:pt idx="8">
                  <c:v>BARCELONA</c:v>
                </c:pt>
                <c:pt idx="9">
                  <c:v>ALICANTE</c:v>
                </c:pt>
              </c:strCache>
            </c:strRef>
          </c:cat>
          <c:val>
            <c:numRef>
              <c:f>'ALG-EDAD'!$AK$110:$AK$119</c:f>
              <c:numCache>
                <c:formatCode>#,##0</c:formatCode>
                <c:ptCount val="10"/>
                <c:pt idx="0">
                  <c:v>2140.9599999999982</c:v>
                </c:pt>
                <c:pt idx="1">
                  <c:v>3262.6400000000076</c:v>
                </c:pt>
                <c:pt idx="2">
                  <c:v>554.27</c:v>
                </c:pt>
                <c:pt idx="3">
                  <c:v>4407.1000000000504</c:v>
                </c:pt>
                <c:pt idx="4">
                  <c:v>117.07000000000001</c:v>
                </c:pt>
                <c:pt idx="5">
                  <c:v>2787.6000000000104</c:v>
                </c:pt>
                <c:pt idx="6">
                  <c:v>456.38999999999987</c:v>
                </c:pt>
                <c:pt idx="7">
                  <c:v>19.689999999999998</c:v>
                </c:pt>
                <c:pt idx="8">
                  <c:v>109.75999999999999</c:v>
                </c:pt>
                <c:pt idx="9">
                  <c:v>230.14000000000019</c:v>
                </c:pt>
              </c:numCache>
            </c:numRef>
          </c:val>
          <c:extLst>
            <c:ext xmlns:c16="http://schemas.microsoft.com/office/drawing/2014/chart" uri="{C3380CC4-5D6E-409C-BE32-E72D297353CC}">
              <c16:uniqueId val="{00000000-403F-4DA3-8999-29790EBF07D7}"/>
            </c:ext>
          </c:extLst>
        </c:ser>
        <c:ser>
          <c:idx val="0"/>
          <c:order val="1"/>
          <c:tx>
            <c:strRef>
              <c:f>'ALG-EDAD'!$AJ$109</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93861A09-4E68-4040-BCB2-035D51FDF3A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03F-4DA3-8999-29790EBF07D7}"/>
                </c:ext>
              </c:extLst>
            </c:dLbl>
            <c:dLbl>
              <c:idx val="1"/>
              <c:tx>
                <c:rich>
                  <a:bodyPr/>
                  <a:lstStyle/>
                  <a:p>
                    <a:fld id="{EEE2E29C-0070-4BCA-AD5E-AE365A3BACE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03F-4DA3-8999-29790EBF07D7}"/>
                </c:ext>
              </c:extLst>
            </c:dLbl>
            <c:dLbl>
              <c:idx val="2"/>
              <c:tx>
                <c:rich>
                  <a:bodyPr/>
                  <a:lstStyle/>
                  <a:p>
                    <a:fld id="{884B70CC-9824-4340-A6E1-3979090A6F0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03F-4DA3-8999-29790EBF07D7}"/>
                </c:ext>
              </c:extLst>
            </c:dLbl>
            <c:dLbl>
              <c:idx val="3"/>
              <c:tx>
                <c:rich>
                  <a:bodyPr/>
                  <a:lstStyle/>
                  <a:p>
                    <a:fld id="{BDF696E6-9145-4818-957B-A2F098A876B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03F-4DA3-8999-29790EBF07D7}"/>
                </c:ext>
              </c:extLst>
            </c:dLbl>
            <c:dLbl>
              <c:idx val="4"/>
              <c:tx>
                <c:rich>
                  <a:bodyPr/>
                  <a:lstStyle/>
                  <a:p>
                    <a:fld id="{6F39F87F-EFED-4D68-92A1-9CD87215BCA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03F-4DA3-8999-29790EBF07D7}"/>
                </c:ext>
              </c:extLst>
            </c:dLbl>
            <c:dLbl>
              <c:idx val="5"/>
              <c:tx>
                <c:rich>
                  <a:bodyPr/>
                  <a:lstStyle/>
                  <a:p>
                    <a:fld id="{2ED25810-1D4B-4160-82A3-84149CD5BDD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03F-4DA3-8999-29790EBF07D7}"/>
                </c:ext>
              </c:extLst>
            </c:dLbl>
            <c:dLbl>
              <c:idx val="6"/>
              <c:tx>
                <c:rich>
                  <a:bodyPr/>
                  <a:lstStyle/>
                  <a:p>
                    <a:fld id="{D285EC96-5458-465C-AA4A-2F2376BF5CD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03F-4DA3-8999-29790EBF07D7}"/>
                </c:ext>
              </c:extLst>
            </c:dLbl>
            <c:dLbl>
              <c:idx val="7"/>
              <c:tx>
                <c:rich>
                  <a:bodyPr/>
                  <a:lstStyle/>
                  <a:p>
                    <a:fld id="{C5A5F5B6-07E0-40B3-AEE3-AA4A8485677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03F-4DA3-8999-29790EBF07D7}"/>
                </c:ext>
              </c:extLst>
            </c:dLbl>
            <c:dLbl>
              <c:idx val="8"/>
              <c:tx>
                <c:rich>
                  <a:bodyPr/>
                  <a:lstStyle/>
                  <a:p>
                    <a:fld id="{8AF6208F-D44B-4201-A776-155AB799079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03F-4DA3-8999-29790EBF07D7}"/>
                </c:ext>
              </c:extLst>
            </c:dLbl>
            <c:dLbl>
              <c:idx val="9"/>
              <c:tx>
                <c:rich>
                  <a:bodyPr/>
                  <a:lstStyle/>
                  <a:p>
                    <a:fld id="{33F3EE54-FED9-45A0-BB45-D9B98EA6BE5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03F-4DA3-8999-29790EBF07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'ALG-EDAD'!$AI$110:$AI$119</c:f>
              <c:strCache>
                <c:ptCount val="10"/>
                <c:pt idx="0">
                  <c:v>ISLAS BALEARES</c:v>
                </c:pt>
                <c:pt idx="1">
                  <c:v>TARRAGONA</c:v>
                </c:pt>
                <c:pt idx="2">
                  <c:v>HUELVA</c:v>
                </c:pt>
                <c:pt idx="3">
                  <c:v>VALENCIA</c:v>
                </c:pt>
                <c:pt idx="4">
                  <c:v>MÁLAGA</c:v>
                </c:pt>
                <c:pt idx="5">
                  <c:v>CASTELLÓN</c:v>
                </c:pt>
                <c:pt idx="6">
                  <c:v>MURCIA</c:v>
                </c:pt>
                <c:pt idx="7">
                  <c:v>SEVILLA</c:v>
                </c:pt>
                <c:pt idx="8">
                  <c:v>BARCELONA</c:v>
                </c:pt>
                <c:pt idx="9">
                  <c:v>ALICANTE</c:v>
                </c:pt>
              </c:strCache>
            </c:strRef>
          </c:cat>
          <c:val>
            <c:numRef>
              <c:f>'ALG-EDAD'!$AJ$110:$AJ$119</c:f>
              <c:numCache>
                <c:formatCode>#,##0</c:formatCode>
                <c:ptCount val="10"/>
                <c:pt idx="0">
                  <c:v>139.78</c:v>
                </c:pt>
                <c:pt idx="1">
                  <c:v>71.66</c:v>
                </c:pt>
                <c:pt idx="2">
                  <c:v>70.92</c:v>
                </c:pt>
                <c:pt idx="3">
                  <c:v>42.38</c:v>
                </c:pt>
                <c:pt idx="4">
                  <c:v>29.299999999999997</c:v>
                </c:pt>
                <c:pt idx="5">
                  <c:v>20.27</c:v>
                </c:pt>
                <c:pt idx="6">
                  <c:v>11.79</c:v>
                </c:pt>
                <c:pt idx="7">
                  <c:v>5.33</c:v>
                </c:pt>
                <c:pt idx="8" formatCode="#,##0.00">
                  <c:v>1.85</c:v>
                </c:pt>
                <c:pt idx="9" formatCode="#,##0.00">
                  <c:v>1.3800000000000001</c:v>
                </c:pt>
              </c:numCache>
            </c:numRef>
          </c:val>
          <c:extLst>
            <c:ext xmlns:c15="http://schemas.microsoft.com/office/drawing/2012/chart" uri="{02D57815-91ED-43cb-92C2-25804820EDAC}">
              <c15:datalabelsRange>
                <c15:f>'ALG-EDAD'!$AL$110:$AL$119</c15:f>
                <c15:dlblRangeCache>
                  <c:ptCount val="10"/>
                  <c:pt idx="0">
                    <c:v>7%</c:v>
                  </c:pt>
                  <c:pt idx="1">
                    <c:v>2%</c:v>
                  </c:pt>
                  <c:pt idx="2">
                    <c:v>13%</c:v>
                  </c:pt>
                  <c:pt idx="3">
                    <c:v>1%</c:v>
                  </c:pt>
                  <c:pt idx="4">
                    <c:v>25%</c:v>
                  </c:pt>
                  <c:pt idx="5">
                    <c:v>1%</c:v>
                  </c:pt>
                  <c:pt idx="6">
                    <c:v>3%</c:v>
                  </c:pt>
                  <c:pt idx="7">
                    <c:v>27%</c:v>
                  </c:pt>
                  <c:pt idx="8">
                    <c:v>2%</c:v>
                  </c:pt>
                  <c:pt idx="9">
                    <c:v>1%</c:v>
                  </c:pt>
                </c15:dlblRangeCache>
              </c15:datalabelsRange>
            </c:ext>
            <c:ext xmlns:c16="http://schemas.microsoft.com/office/drawing/2014/chart" uri="{C3380CC4-5D6E-409C-BE32-E72D297353CC}">
              <c16:uniqueId val="{0000000B-403F-4DA3-8999-29790EBF07D7}"/>
            </c:ext>
          </c:extLst>
        </c:ser>
        <c:dLbls>
          <c:showLegendKey val="0"/>
          <c:showVal val="0"/>
          <c:showCatName val="0"/>
          <c:showSerName val="0"/>
          <c:showPercent val="0"/>
          <c:showBubbleSize val="0"/>
        </c:dLbls>
        <c:gapWidth val="150"/>
        <c:overlap val="-40"/>
        <c:axId val="146892416"/>
        <c:axId val="146894048"/>
      </c:barChart>
      <c:catAx>
        <c:axId val="146892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6894048"/>
        <c:crosses val="autoZero"/>
        <c:auto val="1"/>
        <c:lblAlgn val="ctr"/>
        <c:lblOffset val="100"/>
        <c:noMultiLvlLbl val="0"/>
      </c:catAx>
      <c:valAx>
        <c:axId val="14689404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689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Secano</a:t>
            </a:r>
            <a:r>
              <a:rPr lang="es-ES" b="1" baseline="0">
                <a:solidFill>
                  <a:sysClr val="windowText" lastClr="000000"/>
                </a:solidFill>
              </a:rPr>
              <a:t> 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'ALG-EDAD'!$AP$107</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26B1DCBD-37D3-4EA2-AF6F-338B859D0181}"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245-4B49-A41E-39A18C1E7AFD}"/>
                </c:ext>
              </c:extLst>
            </c:dLbl>
            <c:dLbl>
              <c:idx val="1"/>
              <c:tx>
                <c:rich>
                  <a:bodyPr/>
                  <a:lstStyle/>
                  <a:p>
                    <a:fld id="{3D0137CB-EF5D-4F3C-9B43-04B79645902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245-4B49-A41E-39A18C1E7AFD}"/>
                </c:ext>
              </c:extLst>
            </c:dLbl>
            <c:dLbl>
              <c:idx val="2"/>
              <c:tx>
                <c:rich>
                  <a:bodyPr/>
                  <a:lstStyle/>
                  <a:p>
                    <a:fld id="{74F72F0D-8365-4652-85B8-57C2AD054E7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245-4B49-A41E-39A18C1E7AFD}"/>
                </c:ext>
              </c:extLst>
            </c:dLbl>
            <c:dLbl>
              <c:idx val="3"/>
              <c:tx>
                <c:rich>
                  <a:bodyPr/>
                  <a:lstStyle/>
                  <a:p>
                    <a:fld id="{04C78C60-B2EE-4CC7-A973-63307F26A65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245-4B49-A41E-39A18C1E7AF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'ALG-EDAD'!$AO$108:$AO$111</c:f>
              <c:strCache>
                <c:ptCount val="4"/>
                <c:pt idx="0">
                  <c:v>ISLAS BALEARES</c:v>
                </c:pt>
                <c:pt idx="1">
                  <c:v>ANDALUCÍA</c:v>
                </c:pt>
                <c:pt idx="2">
                  <c:v>CATALUÑA</c:v>
                </c:pt>
                <c:pt idx="3">
                  <c:v>C. VALENCIANA</c:v>
                </c:pt>
              </c:strCache>
            </c:strRef>
          </c:cat>
          <c:val>
            <c:numRef>
              <c:f>'ALG-EDAD'!$AP$108:$AP$111</c:f>
              <c:numCache>
                <c:formatCode>#,##0</c:formatCode>
                <c:ptCount val="4"/>
                <c:pt idx="0">
                  <c:v>139.78</c:v>
                </c:pt>
                <c:pt idx="1">
                  <c:v>105.55</c:v>
                </c:pt>
                <c:pt idx="2">
                  <c:v>73.510000000000005</c:v>
                </c:pt>
                <c:pt idx="3">
                  <c:v>64.03</c:v>
                </c:pt>
              </c:numCache>
            </c:numRef>
          </c:val>
          <c:extLst>
            <c:ext xmlns:c15="http://schemas.microsoft.com/office/drawing/2012/chart" uri="{02D57815-91ED-43cb-92C2-25804820EDAC}">
              <c15:datalabelsRange>
                <c15:f>'ALG-EDAD'!$AR$108:$AR$111</c15:f>
                <c15:dlblRangeCache>
                  <c:ptCount val="4"/>
                  <c:pt idx="0">
                    <c:v>7%</c:v>
                  </c:pt>
                  <c:pt idx="1">
                    <c:v>14%</c:v>
                  </c:pt>
                  <c:pt idx="2">
                    <c:v>2%</c:v>
                  </c:pt>
                  <c:pt idx="3">
                    <c:v>1%</c:v>
                  </c:pt>
                </c15:dlblRangeCache>
              </c15:datalabelsRange>
            </c:ext>
            <c:ext xmlns:c16="http://schemas.microsoft.com/office/drawing/2014/chart" uri="{C3380CC4-5D6E-409C-BE32-E72D297353CC}">
              <c16:uniqueId val="{00000004-5245-4B49-A41E-39A18C1E7AFD}"/>
            </c:ext>
          </c:extLst>
        </c:ser>
        <c:ser>
          <c:idx val="1"/>
          <c:order val="1"/>
          <c:tx>
            <c:strRef>
              <c:f>'ALG-EDAD'!$AQ$107</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'ALG-EDAD'!$AO$108:$AO$111</c:f>
              <c:strCache>
                <c:ptCount val="4"/>
                <c:pt idx="0">
                  <c:v>ISLAS BALEARES</c:v>
                </c:pt>
                <c:pt idx="1">
                  <c:v>ANDALUCÍA</c:v>
                </c:pt>
                <c:pt idx="2">
                  <c:v>CATALUÑA</c:v>
                </c:pt>
                <c:pt idx="3">
                  <c:v>C. VALENCIANA</c:v>
                </c:pt>
              </c:strCache>
            </c:strRef>
          </c:cat>
          <c:val>
            <c:numRef>
              <c:f>'ALG-EDAD'!$AQ$108:$AQ$111</c:f>
              <c:numCache>
                <c:formatCode>#,##0</c:formatCode>
                <c:ptCount val="4"/>
                <c:pt idx="0">
                  <c:v>2140.9599999999982</c:v>
                </c:pt>
                <c:pt idx="1">
                  <c:v>728.74000000000012</c:v>
                </c:pt>
                <c:pt idx="2">
                  <c:v>3374.1300000000083</c:v>
                </c:pt>
                <c:pt idx="3">
                  <c:v>7424.8400000000593</c:v>
                </c:pt>
              </c:numCache>
            </c:numRef>
          </c:val>
          <c:extLst>
            <c:ext xmlns:c16="http://schemas.microsoft.com/office/drawing/2014/chart" uri="{C3380CC4-5D6E-409C-BE32-E72D297353CC}">
              <c16:uniqueId val="{00000005-5245-4B49-A41E-39A18C1E7AFD}"/>
            </c:ext>
          </c:extLst>
        </c:ser>
        <c:dLbls>
          <c:showLegendKey val="0"/>
          <c:showVal val="0"/>
          <c:showCatName val="0"/>
          <c:showSerName val="0"/>
          <c:showPercent val="0"/>
          <c:showBubbleSize val="0"/>
        </c:dLbls>
        <c:gapWidth val="100"/>
        <c:axId val="146879904"/>
        <c:axId val="146884256"/>
      </c:barChart>
      <c:catAx>
        <c:axId val="14687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4256"/>
        <c:crosses val="autoZero"/>
        <c:auto val="1"/>
        <c:lblAlgn val="ctr"/>
        <c:lblOffset val="100"/>
        <c:noMultiLvlLbl val="0"/>
      </c:catAx>
      <c:valAx>
        <c:axId val="146884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Algarrobo Secano Convencional: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4"/>
            <c:invertIfNegative val="0"/>
            <c:bubble3D val="0"/>
            <c:spPr>
              <a:solidFill>
                <a:srgbClr val="C0504D"/>
              </a:solidFill>
              <a:ln>
                <a:noFill/>
              </a:ln>
              <a:effectLst/>
            </c:spPr>
            <c:extLst>
              <c:ext xmlns:c16="http://schemas.microsoft.com/office/drawing/2014/chart" uri="{C3380CC4-5D6E-409C-BE32-E72D297353CC}">
                <c16:uniqueId val="{00000001-33B2-498C-A955-AC3A7E8688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'ALG-EDAD'!$A$125:$A$132</c15:sqref>
                  </c15:fullRef>
                </c:ext>
              </c:extLst>
              <c:f>('ALG-EDAD'!$A$125,'ALG-EDAD'!$A$127,'ALG-EDAD'!$A$130:$A$132)</c:f>
              <c:strCache>
                <c:ptCount val="5"/>
                <c:pt idx="0">
                  <c:v>ANDALUCÍA</c:v>
                </c:pt>
                <c:pt idx="1">
                  <c:v>C. VALENCIANA</c:v>
                </c:pt>
                <c:pt idx="2">
                  <c:v>ISLAS BALEARES</c:v>
                </c:pt>
                <c:pt idx="3">
                  <c:v>MURCIA</c:v>
                </c:pt>
                <c:pt idx="4">
                  <c:v>ESPAÑA</c:v>
                </c:pt>
              </c:strCache>
            </c:strRef>
          </c:cat>
          <c:val>
            <c:numRef>
              <c:extLst>
                <c:ext xmlns:c15="http://schemas.microsoft.com/office/drawing/2012/chart" uri="{02D57815-91ED-43cb-92C2-25804820EDAC}">
                  <c15:fullRef>
                    <c15:sqref>'ALG-EDAD'!$Y$125:$Y$132</c15:sqref>
                  </c15:fullRef>
                </c:ext>
              </c:extLst>
              <c:f>('ALG-EDAD'!$Y$125,'ALG-EDAD'!$Y$127,'ALG-EDAD'!$Y$130:$Y$132)</c:f>
              <c:numCache>
                <c:formatCode>0%</c:formatCode>
                <c:ptCount val="5"/>
                <c:pt idx="0" formatCode="0.00%">
                  <c:v>2.4700167412245789E-4</c:v>
                </c:pt>
                <c:pt idx="1" formatCode="0.0%">
                  <c:v>9.0183761535601401E-3</c:v>
                </c:pt>
                <c:pt idx="2" formatCode="0.0%">
                  <c:v>3.6245422614154411E-3</c:v>
                </c:pt>
                <c:pt idx="3" formatCode="0.0%">
                  <c:v>3.396218146760447E-3</c:v>
                </c:pt>
                <c:pt idx="4">
                  <c:v>5.419660975680511E-3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46876640"/>
        <c:axId val="146896768"/>
      </c:barChart>
      <c:catAx>
        <c:axId val="146876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6768"/>
        <c:crosses val="autoZero"/>
        <c:auto val="1"/>
        <c:lblAlgn val="ctr"/>
        <c:lblOffset val="100"/>
        <c:noMultiLvlLbl val="0"/>
      </c:catAx>
      <c:valAx>
        <c:axId val="14689676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6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'ALG-EDAD'!$C$162:$X$162</c:f>
              <c:numCache>
                <c:formatCode>#,##0</c:formatCode>
                <c:ptCount val="22"/>
                <c:pt idx="0">
                  <c:v>25.759999999999994</c:v>
                </c:pt>
                <c:pt idx="1">
                  <c:v>3.31</c:v>
                </c:pt>
                <c:pt idx="2">
                  <c:v>10.209999999999999</c:v>
                </c:pt>
                <c:pt idx="3">
                  <c:v>0.77</c:v>
                </c:pt>
                <c:pt idx="4">
                  <c:v>6.31</c:v>
                </c:pt>
                <c:pt idx="5">
                  <c:v>7.3699999999999992</c:v>
                </c:pt>
                <c:pt idx="6">
                  <c:v>7.64</c:v>
                </c:pt>
                <c:pt idx="7">
                  <c:v>4.55</c:v>
                </c:pt>
                <c:pt idx="8">
                  <c:v>7.03</c:v>
                </c:pt>
                <c:pt idx="9">
                  <c:v>5.5200000000000005</c:v>
                </c:pt>
                <c:pt idx="10">
                  <c:v>6.8199999999999994</c:v>
                </c:pt>
                <c:pt idx="11">
                  <c:v>3.39</c:v>
                </c:pt>
                <c:pt idx="12">
                  <c:v>5.22</c:v>
                </c:pt>
                <c:pt idx="13">
                  <c:v>2.3299999999999996</c:v>
                </c:pt>
                <c:pt idx="14">
                  <c:v>4.5599999999999996</c:v>
                </c:pt>
                <c:pt idx="15">
                  <c:v>22.880000000000003</c:v>
                </c:pt>
                <c:pt idx="16">
                  <c:v>3.2099999999999995</c:v>
                </c:pt>
                <c:pt idx="17">
                  <c:v>1.77</c:v>
                </c:pt>
                <c:pt idx="18">
                  <c:v>1.69</c:v>
                </c:pt>
                <c:pt idx="19">
                  <c:v>12.989999999999998</c:v>
                </c:pt>
                <c:pt idx="20">
                  <c:v>31.410000000000004</c:v>
                </c:pt>
                <c:pt idx="21">
                  <c:v>27.380000000000003</c:v>
                </c:pt>
              </c:numCache>
            </c:numRef>
          </c:val>
          <c:extLst>
            <c:ext xmlns:c16="http://schemas.microsoft.com/office/drawing/2014/chart" uri="{C3380CC4-5D6E-409C-BE32-E72D297353CC}">
              <c16:uniqueId val="{00000000-379F-46DE-9FD7-B717E920D800}"/>
            </c:ext>
          </c:extLst>
        </c:ser>
        <c:dLbls>
          <c:showLegendKey val="0"/>
          <c:showVal val="0"/>
          <c:showCatName val="0"/>
          <c:showSerName val="0"/>
          <c:showPercent val="0"/>
          <c:showBubbleSize val="0"/>
        </c:dLbls>
        <c:gapWidth val="219"/>
        <c:overlap val="-27"/>
        <c:axId val="146904928"/>
        <c:axId val="146875552"/>
      </c:barChart>
      <c:catAx>
        <c:axId val="146904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5552"/>
        <c:crosses val="autoZero"/>
        <c:auto val="1"/>
        <c:lblAlgn val="ctr"/>
        <c:lblOffset val="100"/>
        <c:noMultiLvlLbl val="0"/>
      </c:catAx>
      <c:valAx>
        <c:axId val="146875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4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Algarrobo Regadío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'ALG-EDAD'!$AK$155</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'ALG-EDAD'!$AI$156:$AI$161</c:f>
              <c:strCache>
                <c:ptCount val="6"/>
                <c:pt idx="0">
                  <c:v>TARRAGONA</c:v>
                </c:pt>
                <c:pt idx="1">
                  <c:v>VALENCIA</c:v>
                </c:pt>
                <c:pt idx="2">
                  <c:v>ISLAS BALEARES</c:v>
                </c:pt>
                <c:pt idx="3">
                  <c:v>ALICANTE</c:v>
                </c:pt>
                <c:pt idx="4">
                  <c:v>CASTELLÓN</c:v>
                </c:pt>
                <c:pt idx="5">
                  <c:v>MURCIA</c:v>
                </c:pt>
              </c:strCache>
            </c:strRef>
          </c:cat>
          <c:val>
            <c:numRef>
              <c:f>'ALG-EDAD'!$AK$156:$AK$161</c:f>
              <c:numCache>
                <c:formatCode>#,##0</c:formatCode>
                <c:ptCount val="6"/>
                <c:pt idx="0">
                  <c:v>422.91999999999996</c:v>
                </c:pt>
                <c:pt idx="1">
                  <c:v>84.300000000000026</c:v>
                </c:pt>
                <c:pt idx="2">
                  <c:v>16.89</c:v>
                </c:pt>
                <c:pt idx="3">
                  <c:v>23.4</c:v>
                </c:pt>
                <c:pt idx="4">
                  <c:v>16.000000000000004</c:v>
                </c:pt>
                <c:pt idx="5">
                  <c:v>68.44</c:v>
                </c:pt>
              </c:numCache>
            </c:numRef>
          </c:val>
          <c:extLst>
            <c:ext xmlns:c16="http://schemas.microsoft.com/office/drawing/2014/chart" uri="{C3380CC4-5D6E-409C-BE32-E72D297353CC}">
              <c16:uniqueId val="{00000000-6FD6-4D99-905C-02287949E001}"/>
            </c:ext>
          </c:extLst>
        </c:ser>
        <c:ser>
          <c:idx val="0"/>
          <c:order val="1"/>
          <c:tx>
            <c:strRef>
              <c:f>'ALG-EDAD'!$AJ$155</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7DC0578B-21FC-49EE-909B-B577B4E4C894}"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FD6-4D99-905C-02287949E001}"/>
                </c:ext>
              </c:extLst>
            </c:dLbl>
            <c:dLbl>
              <c:idx val="1"/>
              <c:tx>
                <c:rich>
                  <a:bodyPr/>
                  <a:lstStyle/>
                  <a:p>
                    <a:fld id="{93C05A4B-26F9-4C1B-9331-C8B500B49D5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FD6-4D99-905C-02287949E001}"/>
                </c:ext>
              </c:extLst>
            </c:dLbl>
            <c:dLbl>
              <c:idx val="2"/>
              <c:tx>
                <c:rich>
                  <a:bodyPr/>
                  <a:lstStyle/>
                  <a:p>
                    <a:fld id="{B516A661-3535-4426-83FE-1D232D13988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FD6-4D99-905C-02287949E001}"/>
                </c:ext>
              </c:extLst>
            </c:dLbl>
            <c:dLbl>
              <c:idx val="3"/>
              <c:tx>
                <c:rich>
                  <a:bodyPr/>
                  <a:lstStyle/>
                  <a:p>
                    <a:fld id="{781482AC-300C-4710-87D9-A93E8840126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FD6-4D99-905C-02287949E001}"/>
                </c:ext>
              </c:extLst>
            </c:dLbl>
            <c:dLbl>
              <c:idx val="4"/>
              <c:tx>
                <c:rich>
                  <a:bodyPr/>
                  <a:lstStyle/>
                  <a:p>
                    <a:fld id="{B60CF0DE-B0E0-4DB1-B0FC-A2E685291B0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FD6-4D99-905C-02287949E001}"/>
                </c:ext>
              </c:extLst>
            </c:dLbl>
            <c:dLbl>
              <c:idx val="5"/>
              <c:tx>
                <c:rich>
                  <a:bodyPr/>
                  <a:lstStyle/>
                  <a:p>
                    <a:fld id="{F15132A0-F569-4217-BB65-6E34DB39C37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FD6-4D99-905C-02287949E0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'ALG-EDAD'!$AI$156:$AI$161</c:f>
              <c:strCache>
                <c:ptCount val="6"/>
                <c:pt idx="0">
                  <c:v>TARRAGONA</c:v>
                </c:pt>
                <c:pt idx="1">
                  <c:v>VALENCIA</c:v>
                </c:pt>
                <c:pt idx="2">
                  <c:v>ISLAS BALEARES</c:v>
                </c:pt>
                <c:pt idx="3">
                  <c:v>ALICANTE</c:v>
                </c:pt>
                <c:pt idx="4">
                  <c:v>CASTELLÓN</c:v>
                </c:pt>
                <c:pt idx="5">
                  <c:v>MURCIA</c:v>
                </c:pt>
              </c:strCache>
            </c:strRef>
          </c:cat>
          <c:val>
            <c:numRef>
              <c:f>'ALG-EDAD'!$AJ$156:$AJ$161</c:f>
              <c:numCache>
                <c:formatCode>#,##0</c:formatCode>
                <c:ptCount val="6"/>
                <c:pt idx="0">
                  <c:v>42.3</c:v>
                </c:pt>
                <c:pt idx="1">
                  <c:v>13.090000000000003</c:v>
                </c:pt>
                <c:pt idx="2">
                  <c:v>9.84</c:v>
                </c:pt>
                <c:pt idx="3" formatCode="#,##0.00">
                  <c:v>2.52</c:v>
                </c:pt>
                <c:pt idx="4" formatCode="#,##0.00">
                  <c:v>2.2999999999999998</c:v>
                </c:pt>
                <c:pt idx="5" formatCode="#,##0.00">
                  <c:v>1.73</c:v>
                </c:pt>
              </c:numCache>
            </c:numRef>
          </c:val>
          <c:extLst>
            <c:ext xmlns:c15="http://schemas.microsoft.com/office/drawing/2012/chart" uri="{02D57815-91ED-43cb-92C2-25804820EDAC}">
              <c15:datalabelsRange>
                <c15:f>'ALG-EDAD'!$AL$156:$AL$161</c15:f>
                <c15:dlblRangeCache>
                  <c:ptCount val="6"/>
                  <c:pt idx="0">
                    <c:v>10%</c:v>
                  </c:pt>
                  <c:pt idx="1">
                    <c:v>16%</c:v>
                  </c:pt>
                  <c:pt idx="2">
                    <c:v>58%</c:v>
                  </c:pt>
                  <c:pt idx="3">
                    <c:v>11%</c:v>
                  </c:pt>
                  <c:pt idx="4">
                    <c:v>14%</c:v>
                  </c:pt>
                  <c:pt idx="5">
                    <c:v>3%</c:v>
                  </c:pt>
                </c15:dlblRangeCache>
              </c15:datalabelsRange>
            </c:ext>
            <c:ext xmlns:c16="http://schemas.microsoft.com/office/drawing/2014/chart" uri="{C3380CC4-5D6E-409C-BE32-E72D297353CC}">
              <c16:uniqueId val="{00000007-6FD6-4D99-905C-02287949E001}"/>
            </c:ext>
          </c:extLst>
        </c:ser>
        <c:dLbls>
          <c:showLegendKey val="0"/>
          <c:showVal val="0"/>
          <c:showCatName val="0"/>
          <c:showSerName val="0"/>
          <c:showPercent val="0"/>
          <c:showBubbleSize val="0"/>
        </c:dLbls>
        <c:gapWidth val="150"/>
        <c:overlap val="-40"/>
        <c:axId val="146882080"/>
        <c:axId val="146901120"/>
      </c:barChart>
      <c:catAx>
        <c:axId val="146882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6901120"/>
        <c:crosses val="autoZero"/>
        <c:auto val="1"/>
        <c:lblAlgn val="ctr"/>
        <c:lblOffset val="100"/>
        <c:noMultiLvlLbl val="0"/>
      </c:catAx>
      <c:valAx>
        <c:axId val="14690112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688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'ALG-EDAD'!$AO$153</c:f>
              <c:strCache>
                <c:ptCount val="1"/>
                <c:pt idx="0">
                  <c:v>Plantaciones jóvenes</c:v>
                </c:pt>
              </c:strCache>
            </c:strRef>
          </c:tx>
          <c:spPr>
            <a:solidFill>
              <a:schemeClr val="accent1">
                <a:shade val="76000"/>
              </a:schemeClr>
            </a:solidFill>
            <a:ln>
              <a:solidFill>
                <a:schemeClr val="accent1">
                  <a:lumMod val="50000"/>
                </a:schemeClr>
              </a:solidFill>
            </a:ln>
            <a:effectLst/>
          </c:spPr>
          <c:invertIfNegative val="0"/>
          <c:dLbls>
            <c:dLbl>
              <c:idx val="0"/>
              <c:tx>
                <c:rich>
                  <a:bodyPr/>
                  <a:lstStyle/>
                  <a:p>
                    <a:fld id="{B96AECBC-CDBD-4F0B-9555-EE0B67923AD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CE4-43B8-852A-5F0C6796CC3B}"/>
                </c:ext>
              </c:extLst>
            </c:dLbl>
            <c:dLbl>
              <c:idx val="1"/>
              <c:tx>
                <c:rich>
                  <a:bodyPr/>
                  <a:lstStyle/>
                  <a:p>
                    <a:fld id="{A3E3EB4B-0509-44E8-9051-4C91D759238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CE4-43B8-852A-5F0C6796CC3B}"/>
                </c:ext>
              </c:extLst>
            </c:dLbl>
            <c:dLbl>
              <c:idx val="2"/>
              <c:tx>
                <c:rich>
                  <a:bodyPr/>
                  <a:lstStyle/>
                  <a:p>
                    <a:fld id="{3EA7451F-55E1-4437-AF34-62950812A10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CE4-43B8-852A-5F0C6796CC3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'ALG-EDAD'!$AN$154:$AN$156</c:f>
              <c:strCache>
                <c:ptCount val="3"/>
                <c:pt idx="0">
                  <c:v>CATALUÑA</c:v>
                </c:pt>
                <c:pt idx="1">
                  <c:v>C. VALENCIANA</c:v>
                </c:pt>
                <c:pt idx="2">
                  <c:v>ISLAS BALEARES</c:v>
                </c:pt>
              </c:strCache>
            </c:strRef>
          </c:cat>
          <c:val>
            <c:numRef>
              <c:f>'ALG-EDAD'!$AO$154:$AO$156</c:f>
              <c:numCache>
                <c:formatCode>#,##0</c:formatCode>
                <c:ptCount val="3"/>
                <c:pt idx="0">
                  <c:v>42.3</c:v>
                </c:pt>
                <c:pt idx="1">
                  <c:v>17.910000000000004</c:v>
                </c:pt>
                <c:pt idx="2">
                  <c:v>9.84</c:v>
                </c:pt>
              </c:numCache>
            </c:numRef>
          </c:val>
          <c:extLst>
            <c:ext xmlns:c15="http://schemas.microsoft.com/office/drawing/2012/chart" uri="{02D57815-91ED-43cb-92C2-25804820EDAC}">
              <c15:datalabelsRange>
                <c15:f>'ALG-EDAD'!$AQ$154:$AQ$156</c15:f>
                <c15:dlblRangeCache>
                  <c:ptCount val="3"/>
                  <c:pt idx="0">
                    <c:v>10%</c:v>
                  </c:pt>
                  <c:pt idx="1">
                    <c:v>14%</c:v>
                  </c:pt>
                  <c:pt idx="2">
                    <c:v>58%</c:v>
                  </c:pt>
                </c15:dlblRangeCache>
              </c15:datalabelsRange>
            </c:ext>
            <c:ext xmlns:c16="http://schemas.microsoft.com/office/drawing/2014/chart" uri="{C3380CC4-5D6E-409C-BE32-E72D297353CC}">
              <c16:uniqueId val="{00000003-9CE4-43B8-852A-5F0C6796CC3B}"/>
            </c:ext>
          </c:extLst>
        </c:ser>
        <c:ser>
          <c:idx val="1"/>
          <c:order val="1"/>
          <c:tx>
            <c:strRef>
              <c:f>'ALG-EDAD'!$AP$153</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'ALG-EDAD'!$AN$154:$AN$156</c:f>
              <c:strCache>
                <c:ptCount val="3"/>
                <c:pt idx="0">
                  <c:v>CATALUÑA</c:v>
                </c:pt>
                <c:pt idx="1">
                  <c:v>C. VALENCIANA</c:v>
                </c:pt>
                <c:pt idx="2">
                  <c:v>ISLAS BALEARES</c:v>
                </c:pt>
              </c:strCache>
            </c:strRef>
          </c:cat>
          <c:val>
            <c:numRef>
              <c:f>'ALG-EDAD'!$AP$154:$AP$156</c:f>
              <c:numCache>
                <c:formatCode>#,##0</c:formatCode>
                <c:ptCount val="3"/>
                <c:pt idx="0">
                  <c:v>424.4</c:v>
                </c:pt>
                <c:pt idx="1">
                  <c:v>123.70000000000005</c:v>
                </c:pt>
                <c:pt idx="2">
                  <c:v>16.89</c:v>
                </c:pt>
              </c:numCache>
            </c:numRef>
          </c:val>
          <c:extLst>
            <c:ext xmlns:c16="http://schemas.microsoft.com/office/drawing/2014/chart" uri="{C3380CC4-5D6E-409C-BE32-E72D297353CC}">
              <c16:uniqueId val="{00000004-9CE4-43B8-852A-5F0C6796CC3B}"/>
            </c:ext>
          </c:extLst>
        </c:ser>
        <c:dLbls>
          <c:showLegendKey val="0"/>
          <c:showVal val="0"/>
          <c:showCatName val="0"/>
          <c:showSerName val="0"/>
          <c:showPercent val="0"/>
          <c:showBubbleSize val="0"/>
        </c:dLbls>
        <c:gapWidth val="100"/>
        <c:axId val="142851056"/>
        <c:axId val="142851600"/>
      </c:barChart>
      <c:catAx>
        <c:axId val="14285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51600"/>
        <c:crosses val="autoZero"/>
        <c:auto val="1"/>
        <c:lblAlgn val="ctr"/>
        <c:lblOffset val="100"/>
        <c:noMultiLvlLbl val="0"/>
      </c:catAx>
      <c:valAx>
        <c:axId val="142851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2851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Algarrobo Regadío</a:t>
            </a:r>
            <a:r>
              <a:rPr lang="es-ES" baseline="0"/>
              <a:t> </a:t>
            </a:r>
            <a:r>
              <a:rPr lang="es-ES"/>
              <a:t>Convencional: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4"/>
            <c:invertIfNegative val="0"/>
            <c:bubble3D val="0"/>
            <c:spPr>
              <a:solidFill>
                <a:srgbClr val="C0504D"/>
              </a:solidFill>
              <a:ln>
                <a:noFill/>
              </a:ln>
              <a:effectLst/>
            </c:spPr>
            <c:extLst>
              <c:ext xmlns:c16="http://schemas.microsoft.com/office/drawing/2014/chart" uri="{C3380CC4-5D6E-409C-BE32-E72D297353CC}">
                <c16:uniqueId val="{00000001-7903-4D1C-89DE-2D6A6BB771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'ALG-EDAD'!$A$167:$A$173</c15:sqref>
                  </c15:fullRef>
                </c:ext>
              </c:extLst>
              <c:f>('ALG-EDAD'!$A$168:$A$169,'ALG-EDAD'!$A$171:$A$173)</c:f>
              <c:strCache>
                <c:ptCount val="5"/>
                <c:pt idx="0">
                  <c:v>C. VALENCIANA</c:v>
                </c:pt>
                <c:pt idx="1">
                  <c:v>CATALUÑA</c:v>
                </c:pt>
                <c:pt idx="2">
                  <c:v>ISLAS BALEARES</c:v>
                </c:pt>
                <c:pt idx="3">
                  <c:v>MURCIA</c:v>
                </c:pt>
                <c:pt idx="4">
                  <c:v>ESPAÑA</c:v>
                </c:pt>
              </c:strCache>
            </c:strRef>
          </c:cat>
          <c:val>
            <c:numRef>
              <c:extLst>
                <c:ext xmlns:c15="http://schemas.microsoft.com/office/drawing/2012/chart" uri="{02D57815-91ED-43cb-92C2-25804820EDAC}">
                  <c15:fullRef>
                    <c15:sqref>'ALG-EDAD'!$Y$167:$Y$173</c15:sqref>
                  </c15:fullRef>
                </c:ext>
              </c:extLst>
              <c:f>('ALG-EDAD'!$Y$168:$Y$169,'ALG-EDAD'!$Y$171:$Y$173)</c:f>
              <c:numCache>
                <c:formatCode>0.00%</c:formatCode>
                <c:ptCount val="5"/>
                <c:pt idx="0">
                  <c:v>1.7461600646725944E-2</c:v>
                </c:pt>
                <c:pt idx="1">
                  <c:v>4.0056550424128184E-4</c:v>
                </c:pt>
                <c:pt idx="2">
                  <c:v>5.9206631142687965E-4</c:v>
                </c:pt>
                <c:pt idx="3">
                  <c:v>4.6756282875511403E-3</c:v>
                </c:pt>
                <c:pt idx="4">
                  <c:v>4.1687562688064207E-3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50015504"/>
        <c:axId val="150006256"/>
      </c:barChart>
      <c:catAx>
        <c:axId val="150015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6256"/>
        <c:crosses val="autoZero"/>
        <c:auto val="1"/>
        <c:lblAlgn val="ctr"/>
        <c:lblOffset val="100"/>
        <c:noMultiLvlLbl val="0"/>
      </c:catAx>
      <c:valAx>
        <c:axId val="1500062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15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a:t>
            </a:r>
            <a:r>
              <a:rPr lang="es-ES" b="1" baseline="0">
                <a:solidFill>
                  <a:sysClr val="windowText" lastClr="000000"/>
                </a:solidFill>
              </a:rPr>
              <a:t> </a:t>
            </a:r>
            <a:r>
              <a:rPr lang="es-ES" b="1">
                <a:solidFill>
                  <a:sysClr val="windowText" lastClr="000000"/>
                </a:solidFill>
              </a:rPr>
              <a:t>Secano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'ALG-EDAD'!$C$39:$X$39</c:f>
              <c:numCache>
                <c:formatCode>#,##0</c:formatCode>
                <c:ptCount val="22"/>
                <c:pt idx="0">
                  <c:v>343.19000000000005</c:v>
                </c:pt>
                <c:pt idx="1">
                  <c:v>26.59</c:v>
                </c:pt>
                <c:pt idx="2">
                  <c:v>32.720000000000006</c:v>
                </c:pt>
                <c:pt idx="3">
                  <c:v>48.86</c:v>
                </c:pt>
                <c:pt idx="4">
                  <c:v>92.56</c:v>
                </c:pt>
                <c:pt idx="5">
                  <c:v>65.42</c:v>
                </c:pt>
                <c:pt idx="6">
                  <c:v>70.02</c:v>
                </c:pt>
                <c:pt idx="7">
                  <c:v>56.980000000000004</c:v>
                </c:pt>
                <c:pt idx="8">
                  <c:v>34.26</c:v>
                </c:pt>
                <c:pt idx="9">
                  <c:v>62.92</c:v>
                </c:pt>
                <c:pt idx="10">
                  <c:v>75.080000000000013</c:v>
                </c:pt>
                <c:pt idx="11">
                  <c:v>23.560000000000002</c:v>
                </c:pt>
                <c:pt idx="12">
                  <c:v>42.73</c:v>
                </c:pt>
                <c:pt idx="13">
                  <c:v>10.319999999999997</c:v>
                </c:pt>
                <c:pt idx="14">
                  <c:v>45.089999999999996</c:v>
                </c:pt>
                <c:pt idx="15">
                  <c:v>90.149999999999991</c:v>
                </c:pt>
                <c:pt idx="16">
                  <c:v>42.600000000000009</c:v>
                </c:pt>
                <c:pt idx="17">
                  <c:v>22.95</c:v>
                </c:pt>
                <c:pt idx="18">
                  <c:v>73.41</c:v>
                </c:pt>
                <c:pt idx="19">
                  <c:v>84.269999999999982</c:v>
                </c:pt>
                <c:pt idx="20">
                  <c:v>146.97999999999999</c:v>
                </c:pt>
                <c:pt idx="21">
                  <c:v>156.18</c:v>
                </c:pt>
              </c:numCache>
            </c:numRef>
          </c:val>
          <c:extLst>
            <c:ext xmlns:c16="http://schemas.microsoft.com/office/drawing/2014/chart" uri="{C3380CC4-5D6E-409C-BE32-E72D297353CC}">
              <c16:uniqueId val="{00000000-BF53-4BDA-9E51-BA8AC2393CB6}"/>
            </c:ext>
          </c:extLst>
        </c:ser>
        <c:dLbls>
          <c:showLegendKey val="0"/>
          <c:showVal val="0"/>
          <c:showCatName val="0"/>
          <c:showSerName val="0"/>
          <c:showPercent val="0"/>
          <c:showBubbleSize val="0"/>
        </c:dLbls>
        <c:gapWidth val="219"/>
        <c:overlap val="-27"/>
        <c:axId val="149999728"/>
        <c:axId val="150012240"/>
      </c:barChart>
      <c:catAx>
        <c:axId val="1499997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12240"/>
        <c:crosses val="autoZero"/>
        <c:auto val="1"/>
        <c:lblAlgn val="ctr"/>
        <c:lblOffset val="100"/>
        <c:noMultiLvlLbl val="0"/>
      </c:catAx>
      <c:valAx>
        <c:axId val="15001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9999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Algarrobo Secano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'ALG-EDAD'!$AK$27</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'ALG-EDAD'!$AI$28:$AI$37</c:f>
              <c:strCache>
                <c:ptCount val="10"/>
                <c:pt idx="0">
                  <c:v>ISLAS BALEARES</c:v>
                </c:pt>
                <c:pt idx="1">
                  <c:v>TARRAGONA</c:v>
                </c:pt>
                <c:pt idx="2">
                  <c:v>HUELVA</c:v>
                </c:pt>
                <c:pt idx="3">
                  <c:v>VALENCIA</c:v>
                </c:pt>
                <c:pt idx="4">
                  <c:v>MÁLAGA</c:v>
                </c:pt>
                <c:pt idx="5">
                  <c:v>MURCIA</c:v>
                </c:pt>
                <c:pt idx="6">
                  <c:v>CASTELLÓN</c:v>
                </c:pt>
                <c:pt idx="7">
                  <c:v>SEVILLA</c:v>
                </c:pt>
                <c:pt idx="8">
                  <c:v>BARCELONA</c:v>
                </c:pt>
                <c:pt idx="9">
                  <c:v>ALICANTE</c:v>
                </c:pt>
              </c:strCache>
            </c:strRef>
          </c:cat>
          <c:val>
            <c:numRef>
              <c:f>'ALG-EDAD'!$AK$28:$AK$37</c:f>
              <c:numCache>
                <c:formatCode>#,##0</c:formatCode>
                <c:ptCount val="10"/>
                <c:pt idx="0">
                  <c:v>2551.3099999999977</c:v>
                </c:pt>
                <c:pt idx="1">
                  <c:v>3495.6700000000083</c:v>
                </c:pt>
                <c:pt idx="2">
                  <c:v>794.58999999999992</c:v>
                </c:pt>
                <c:pt idx="3">
                  <c:v>4526.6400000000494</c:v>
                </c:pt>
                <c:pt idx="4">
                  <c:v>145.66</c:v>
                </c:pt>
                <c:pt idx="5">
                  <c:v>712.46999999999969</c:v>
                </c:pt>
                <c:pt idx="6">
                  <c:v>2825.8500000000104</c:v>
                </c:pt>
                <c:pt idx="7">
                  <c:v>51.09</c:v>
                </c:pt>
                <c:pt idx="8">
                  <c:v>124.69</c:v>
                </c:pt>
                <c:pt idx="9">
                  <c:v>249.11000000000018</c:v>
                </c:pt>
              </c:numCache>
            </c:numRef>
          </c:val>
          <c:extLst>
            <c:ext xmlns:c16="http://schemas.microsoft.com/office/drawing/2014/chart" uri="{C3380CC4-5D6E-409C-BE32-E72D297353CC}">
              <c16:uniqueId val="{00000000-925D-4CAA-9EA6-92A57BF71E9E}"/>
            </c:ext>
          </c:extLst>
        </c:ser>
        <c:ser>
          <c:idx val="0"/>
          <c:order val="1"/>
          <c:tx>
            <c:strRef>
              <c:f>'ALG-EDAD'!$AJ$27</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F8CE3A00-2A46-43FE-BA68-3327B814B83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25D-4CAA-9EA6-92A57BF71E9E}"/>
                </c:ext>
              </c:extLst>
            </c:dLbl>
            <c:dLbl>
              <c:idx val="1"/>
              <c:tx>
                <c:rich>
                  <a:bodyPr/>
                  <a:lstStyle/>
                  <a:p>
                    <a:fld id="{03DEBBBA-78D0-4E2D-B44E-E79549443F0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25D-4CAA-9EA6-92A57BF71E9E}"/>
                </c:ext>
              </c:extLst>
            </c:dLbl>
            <c:dLbl>
              <c:idx val="2"/>
              <c:tx>
                <c:rich>
                  <a:bodyPr/>
                  <a:lstStyle/>
                  <a:p>
                    <a:fld id="{F90A3D33-85B4-45AD-B17A-DAEB8E97406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25D-4CAA-9EA6-92A57BF71E9E}"/>
                </c:ext>
              </c:extLst>
            </c:dLbl>
            <c:dLbl>
              <c:idx val="3"/>
              <c:tx>
                <c:rich>
                  <a:bodyPr/>
                  <a:lstStyle/>
                  <a:p>
                    <a:fld id="{7DCD4600-FDC3-478F-88C9-48A192B01D1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25D-4CAA-9EA6-92A57BF71E9E}"/>
                </c:ext>
              </c:extLst>
            </c:dLbl>
            <c:dLbl>
              <c:idx val="4"/>
              <c:tx>
                <c:rich>
                  <a:bodyPr/>
                  <a:lstStyle/>
                  <a:p>
                    <a:fld id="{4A60B9F3-B5D9-429D-B1F0-BD78178C49F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25D-4CAA-9EA6-92A57BF71E9E}"/>
                </c:ext>
              </c:extLst>
            </c:dLbl>
            <c:dLbl>
              <c:idx val="5"/>
              <c:tx>
                <c:rich>
                  <a:bodyPr/>
                  <a:lstStyle/>
                  <a:p>
                    <a:fld id="{55AAE6BD-5A58-4398-9A03-94635CAB201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25D-4CAA-9EA6-92A57BF71E9E}"/>
                </c:ext>
              </c:extLst>
            </c:dLbl>
            <c:dLbl>
              <c:idx val="6"/>
              <c:tx>
                <c:rich>
                  <a:bodyPr/>
                  <a:lstStyle/>
                  <a:p>
                    <a:fld id="{4D0087EC-BE28-46A6-A97F-D2E51F5E063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25D-4CAA-9EA6-92A57BF71E9E}"/>
                </c:ext>
              </c:extLst>
            </c:dLbl>
            <c:dLbl>
              <c:idx val="7"/>
              <c:tx>
                <c:rich>
                  <a:bodyPr/>
                  <a:lstStyle/>
                  <a:p>
                    <a:fld id="{93690A75-B0B8-4D7D-9A45-292B04567C8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25D-4CAA-9EA6-92A57BF71E9E}"/>
                </c:ext>
              </c:extLst>
            </c:dLbl>
            <c:dLbl>
              <c:idx val="8"/>
              <c:tx>
                <c:rich>
                  <a:bodyPr/>
                  <a:lstStyle/>
                  <a:p>
                    <a:fld id="{845A168B-0F36-45B5-BF6B-BA5F58BA863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25D-4CAA-9EA6-92A57BF71E9E}"/>
                </c:ext>
              </c:extLst>
            </c:dLbl>
            <c:dLbl>
              <c:idx val="9"/>
              <c:tx>
                <c:rich>
                  <a:bodyPr/>
                  <a:lstStyle/>
                  <a:p>
                    <a:fld id="{79008891-C10A-4A5F-942A-7F6F2B31D70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25D-4CAA-9EA6-92A57BF71E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'ALG-EDAD'!$AI$28:$AI$37</c:f>
              <c:strCache>
                <c:ptCount val="10"/>
                <c:pt idx="0">
                  <c:v>ISLAS BALEARES</c:v>
                </c:pt>
                <c:pt idx="1">
                  <c:v>TARRAGONA</c:v>
                </c:pt>
                <c:pt idx="2">
                  <c:v>HUELVA</c:v>
                </c:pt>
                <c:pt idx="3">
                  <c:v>VALENCIA</c:v>
                </c:pt>
                <c:pt idx="4">
                  <c:v>MÁLAGA</c:v>
                </c:pt>
                <c:pt idx="5">
                  <c:v>MURCIA</c:v>
                </c:pt>
                <c:pt idx="6">
                  <c:v>CASTELLÓN</c:v>
                </c:pt>
                <c:pt idx="7">
                  <c:v>SEVILLA</c:v>
                </c:pt>
                <c:pt idx="8">
                  <c:v>BARCELONA</c:v>
                </c:pt>
                <c:pt idx="9">
                  <c:v>ALICANTE</c:v>
                </c:pt>
              </c:strCache>
            </c:strRef>
          </c:cat>
          <c:val>
            <c:numRef>
              <c:f>'ALG-EDAD'!$AJ$28:$AJ$37</c:f>
              <c:numCache>
                <c:formatCode>#,##0.00</c:formatCode>
                <c:ptCount val="10"/>
                <c:pt idx="0">
                  <c:v>170.54999999999998</c:v>
                </c:pt>
                <c:pt idx="1">
                  <c:v>83.72</c:v>
                </c:pt>
                <c:pt idx="2">
                  <c:v>70.92</c:v>
                </c:pt>
                <c:pt idx="3">
                  <c:v>42.910000000000004</c:v>
                </c:pt>
                <c:pt idx="4">
                  <c:v>29.43</c:v>
                </c:pt>
                <c:pt idx="5">
                  <c:v>24.89</c:v>
                </c:pt>
                <c:pt idx="6">
                  <c:v>20.27</c:v>
                </c:pt>
                <c:pt idx="7">
                  <c:v>11.45</c:v>
                </c:pt>
                <c:pt idx="8">
                  <c:v>5.32</c:v>
                </c:pt>
                <c:pt idx="9">
                  <c:v>1.3800000000000001</c:v>
                </c:pt>
              </c:numCache>
            </c:numRef>
          </c:val>
          <c:extLst>
            <c:ext xmlns:c15="http://schemas.microsoft.com/office/drawing/2012/chart" uri="{02D57815-91ED-43cb-92C2-25804820EDAC}">
              <c15:datalabelsRange>
                <c15:f>'ALG-EDAD'!$AL$28:$AL$37</c15:f>
                <c15:dlblRangeCache>
                  <c:ptCount val="10"/>
                  <c:pt idx="0">
                    <c:v>7%</c:v>
                  </c:pt>
                  <c:pt idx="1">
                    <c:v>2%</c:v>
                  </c:pt>
                  <c:pt idx="2">
                    <c:v>9%</c:v>
                  </c:pt>
                  <c:pt idx="3">
                    <c:v>1%</c:v>
                  </c:pt>
                  <c:pt idx="4">
                    <c:v>20%</c:v>
                  </c:pt>
                  <c:pt idx="5">
                    <c:v>3%</c:v>
                  </c:pt>
                  <c:pt idx="6">
                    <c:v>1%</c:v>
                  </c:pt>
                  <c:pt idx="7">
                    <c:v>22%</c:v>
                  </c:pt>
                  <c:pt idx="8">
                    <c:v>4%</c:v>
                  </c:pt>
                  <c:pt idx="9">
                    <c:v>1%</c:v>
                  </c:pt>
                </c15:dlblRangeCache>
              </c15:datalabelsRange>
            </c:ext>
            <c:ext xmlns:c16="http://schemas.microsoft.com/office/drawing/2014/chart" uri="{C3380CC4-5D6E-409C-BE32-E72D297353CC}">
              <c16:uniqueId val="{0000000B-925D-4CAA-9EA6-92A57BF71E9E}"/>
            </c:ext>
          </c:extLst>
        </c:ser>
        <c:dLbls>
          <c:showLegendKey val="0"/>
          <c:showVal val="0"/>
          <c:showCatName val="0"/>
          <c:showSerName val="0"/>
          <c:showPercent val="0"/>
          <c:showBubbleSize val="0"/>
        </c:dLbls>
        <c:gapWidth val="150"/>
        <c:overlap val="-40"/>
        <c:axId val="150019312"/>
        <c:axId val="150026384"/>
      </c:barChart>
      <c:catAx>
        <c:axId val="15001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50026384"/>
        <c:crosses val="autoZero"/>
        <c:auto val="1"/>
        <c:lblAlgn val="ctr"/>
        <c:lblOffset val="100"/>
        <c:noMultiLvlLbl val="0"/>
      </c:catAx>
      <c:valAx>
        <c:axId val="15002638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0019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'ALM-REPR'!$F$5</c:f>
              <c:strCache>
                <c:ptCount val="1"/>
                <c:pt idx="0">
                  <c:v>ALMENDRO SEC</c:v>
                </c:pt>
              </c:strCache>
            </c:strRef>
          </c:tx>
          <c:spPr>
            <a:solidFill>
              <a:srgbClr val="ED7D31">
                <a:lumMod val="50000"/>
              </a:srgbClr>
            </a:solidFill>
            <a:ln>
              <a:noFill/>
            </a:ln>
            <a:effectLst/>
            <a:sp3d/>
          </c:spPr>
          <c:invertIfNegative val="0"/>
          <c:dLbls>
            <c:dLbl>
              <c:idx val="0"/>
              <c:layout>
                <c:manualLayout>
                  <c:x val="-1.3888798586728059E-2"/>
                  <c:y val="-1.2359885183060944E-2"/>
                </c:manualLayout>
              </c:layout>
              <c:tx>
                <c:rich>
                  <a:bodyPr/>
                  <a:lstStyle/>
                  <a:p>
                    <a:fld id="{217ADCDB-9B21-444C-98DF-3910710884A2}" type="CELLRANGE">
                      <a:rPr lang="en-US" b="0" baseline="0">
                        <a:latin typeface="Arial Rounded MT Bold" panose="020F0704030504030204" pitchFamily="34" charset="0"/>
                      </a:rPr>
                      <a:pPr/>
                      <a:t>[CELLRANGE]</a:t>
                    </a:fld>
                    <a:r>
                      <a:rPr lang="en-US" b="0" baseline="0">
                        <a:latin typeface="Arial Rounded MT Bold" panose="020F0704030504030204" pitchFamily="34" charset="0"/>
                      </a:rPr>
                      <a:t> </a:t>
                    </a:r>
                    <a:fld id="{B72B26D0-6B14-4D6B-88AC-700F12A5E05F}" type="SERIESNAME">
                      <a:rPr lang="en-US" b="0" baseline="0">
                        <a:latin typeface="Arial Rounded MT Bold" panose="020F0704030504030204" pitchFamily="34" charset="0"/>
                      </a:rPr>
                      <a:pPr/>
                      <a:t>[NOMBRE DE LA SERIE]</a:t>
                    </a:fld>
                    <a:endParaRPr lang="en-US" b="0" baseline="0">
                      <a:latin typeface="Arial Rounded MT Bold" panose="020F0704030504030204" pitchFamily="34" charset="0"/>
                    </a:endParaRPr>
                  </a:p>
                </c:rich>
              </c:tx>
              <c:showLegendKey val="0"/>
              <c:showVal val="0"/>
              <c:showCatName val="0"/>
              <c:showSerName val="1"/>
              <c:showPercent val="0"/>
              <c:showBubbleSize val="0"/>
              <c:separator> </c:separator>
              <c:extLst>
                <c:ext xmlns:c15="http://schemas.microsoft.com/office/drawing/2012/chart" uri="{CE6537A1-D6FC-4f65-9D91-7224C49458BB}">
                  <c15:layout>
                    <c:manualLayout>
                      <c:w val="0.49850826656275044"/>
                      <c:h val="0.21736126070244921"/>
                    </c:manualLayout>
                  </c15:layout>
                  <c15:dlblFieldTable/>
                  <c15:showDataLabelsRange val="1"/>
                </c:ext>
                <c:ext xmlns:c16="http://schemas.microsoft.com/office/drawing/2014/chart" uri="{C3380CC4-5D6E-409C-BE32-E72D297353CC}">
                  <c16:uniqueId val="{00000000-8B9B-43EF-8C48-3A0C90001104}"/>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'ALM-REPR'!$G$5</c:f>
              <c:numCache>
                <c:formatCode>#,##0</c:formatCode>
                <c:ptCount val="1"/>
                <c:pt idx="0">
                  <c:v>511463.20920000027</c:v>
                </c:pt>
              </c:numCache>
            </c:numRef>
          </c:val>
          <c:extLst>
            <c:ext xmlns:c15="http://schemas.microsoft.com/office/drawing/2012/chart" uri="{02D57815-91ED-43cb-92C2-25804820EDAC}">
              <c15:datalabelsRange>
                <c15:f>'ALM-REPR'!$H$5:$H$6</c15:f>
                <c15:dlblRangeCache>
                  <c:ptCount val="2"/>
                  <c:pt idx="0">
                    <c:v>82%</c:v>
                  </c:pt>
                  <c:pt idx="1">
                    <c:v>18%</c:v>
                  </c:pt>
                </c15:dlblRangeCache>
              </c15:datalabelsRange>
            </c:ext>
            <c:ext xmlns:c16="http://schemas.microsoft.com/office/drawing/2014/chart" uri="{C3380CC4-5D6E-409C-BE32-E72D297353CC}">
              <c16:uniqueId val="{00000001-8B9B-43EF-8C48-3A0C90001104}"/>
            </c:ext>
          </c:extLst>
        </c:ser>
        <c:ser>
          <c:idx val="1"/>
          <c:order val="1"/>
          <c:tx>
            <c:strRef>
              <c:f>'ALM-REPR'!$F$6</c:f>
              <c:strCache>
                <c:ptCount val="1"/>
                <c:pt idx="0">
                  <c:v>ALMENDRO REG</c:v>
                </c:pt>
              </c:strCache>
            </c:strRef>
          </c:tx>
          <c:spPr>
            <a:solidFill>
              <a:schemeClr val="accent5">
                <a:lumMod val="60000"/>
                <a:lumOff val="40000"/>
              </a:schemeClr>
            </a:solidFill>
            <a:ln>
              <a:noFill/>
            </a:ln>
            <a:effectLst/>
            <a:sp3d/>
          </c:spPr>
          <c:invertIfNegative val="0"/>
          <c:dLbls>
            <c:dLbl>
              <c:idx val="0"/>
              <c:layout>
                <c:manualLayout>
                  <c:x val="0.11982494337704951"/>
                  <c:y val="0.25513921943167689"/>
                </c:manualLayout>
              </c:layout>
              <c:tx>
                <c:rich>
                  <a:bodyPr/>
                  <a:lstStyle/>
                  <a:p>
                    <a:fld id="{EB7D3A44-DDE5-4F54-B61E-06A1AC4B3740}" type="CELLRANGE">
                      <a:rPr lang="en-US" baseline="0"/>
                      <a:pPr/>
                      <a:t>[CELLRANGE]</a:t>
                    </a:fld>
                    <a:r>
                      <a:rPr lang="en-US" baseline="0"/>
                      <a:t> </a:t>
                    </a:r>
                    <a:fld id="{D2813038-B211-4D29-9AF8-BC0D54C82D85}" type="SERIESNAME">
                      <a:rPr lang="en-US" baseline="0"/>
                      <a:pPr/>
                      <a:t>[NOMBRE DE LA SERIE]</a:t>
                    </a:fld>
                    <a:endParaRPr lang="en-US" baseline="0"/>
                  </a:p>
                </c:rich>
              </c:tx>
              <c:showLegendKey val="0"/>
              <c:showVal val="0"/>
              <c:showCatName val="0"/>
              <c:showSerName val="1"/>
              <c:showPercent val="0"/>
              <c:showBubbleSize val="0"/>
              <c:separator> </c:separator>
              <c:extLst>
                <c:ext xmlns:c15="http://schemas.microsoft.com/office/drawing/2012/chart" uri="{CE6537A1-D6FC-4f65-9D91-7224C49458BB}">
                  <c15:layout>
                    <c:manualLayout>
                      <c:w val="0.26365288713910762"/>
                      <c:h val="0.21736111111111106"/>
                    </c:manualLayout>
                  </c15:layout>
                  <c15:dlblFieldTable/>
                  <c15:showDataLabelsRange val="1"/>
                </c:ext>
                <c:ext xmlns:c16="http://schemas.microsoft.com/office/drawing/2014/chart" uri="{C3380CC4-5D6E-409C-BE32-E72D297353CC}">
                  <c16:uniqueId val="{00000002-8B9B-43EF-8C48-3A0C9000110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1">
                        <a:lumMod val="50000"/>
                      </a:schemeClr>
                    </a:solidFill>
                    <a:latin typeface="Arial Rounded MT Bold" panose="020F0704030504030204" pitchFamily="34" charset="0"/>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'ALM-REPR'!$G$6</c:f>
              <c:numCache>
                <c:formatCode>#,##0</c:formatCode>
                <c:ptCount val="1"/>
                <c:pt idx="0">
                  <c:v>114697.76459999999</c:v>
                </c:pt>
              </c:numCache>
            </c:numRef>
          </c:val>
          <c:extLst>
            <c:ext xmlns:c15="http://schemas.microsoft.com/office/drawing/2012/chart" uri="{02D57815-91ED-43cb-92C2-25804820EDAC}">
              <c15:datalabelsRange>
                <c15:f>'ALM-REPR'!$H$6</c15:f>
                <c15:dlblRangeCache>
                  <c:ptCount val="1"/>
                  <c:pt idx="0">
                    <c:v>18%</c:v>
                  </c:pt>
                </c15:dlblRangeCache>
              </c15:datalabelsRange>
            </c:ext>
            <c:ext xmlns:c16="http://schemas.microsoft.com/office/drawing/2014/chart" uri="{C3380CC4-5D6E-409C-BE32-E72D297353CC}">
              <c16:uniqueId val="{00000003-8B9B-43EF-8C48-3A0C90001104}"/>
            </c:ext>
          </c:extLst>
        </c:ser>
        <c:dLbls>
          <c:showLegendKey val="0"/>
          <c:showVal val="0"/>
          <c:showCatName val="0"/>
          <c:showSerName val="0"/>
          <c:showPercent val="0"/>
          <c:showBubbleSize val="0"/>
        </c:dLbls>
        <c:gapWidth val="150"/>
        <c:shape val="box"/>
        <c:axId val="1591255920"/>
        <c:axId val="1591243024"/>
        <c:axId val="0"/>
      </c:bar3DChart>
      <c:catAx>
        <c:axId val="1591255920"/>
        <c:scaling>
          <c:orientation val="minMax"/>
        </c:scaling>
        <c:delete val="1"/>
        <c:axPos val="l"/>
        <c:numFmt formatCode="General" sourceLinked="1"/>
        <c:majorTickMark val="none"/>
        <c:minorTickMark val="none"/>
        <c:tickLblPos val="nextTo"/>
        <c:crossAx val="1591243024"/>
        <c:crosses val="autoZero"/>
        <c:auto val="1"/>
        <c:lblAlgn val="ctr"/>
        <c:lblOffset val="100"/>
        <c:noMultiLvlLbl val="0"/>
      </c:catAx>
      <c:valAx>
        <c:axId val="1591243024"/>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591255920"/>
        <c:crosses val="autoZero"/>
        <c:crossBetween val="between"/>
      </c:valAx>
      <c:spPr>
        <a:solidFill>
          <a:srgbClr val="D7AE85"/>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a:t>
            </a:r>
            <a:r>
              <a:rPr lang="es-ES" b="1" baseline="0">
                <a:solidFill>
                  <a:sysClr val="windowText" lastClr="000000"/>
                </a:solidFill>
              </a:rPr>
              <a:t> </a:t>
            </a:r>
            <a:r>
              <a:rPr lang="es-ES" b="1">
                <a:solidFill>
                  <a:sysClr val="windowText" lastClr="000000"/>
                </a:solidFill>
              </a:rPr>
              <a:t>Secano</a:t>
            </a:r>
            <a:r>
              <a:rPr lang="es-ES" b="1" baseline="0">
                <a:solidFill>
                  <a:sysClr val="windowText" lastClr="000000"/>
                </a:solidFill>
              </a:rPr>
              <a:t> 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'ALG-EDAD'!$AO$25</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9F31C7D9-D2FF-4ADF-8671-12E730AD3D2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7DD-4C5E-8D7F-F2AECAECDCE3}"/>
                </c:ext>
              </c:extLst>
            </c:dLbl>
            <c:dLbl>
              <c:idx val="1"/>
              <c:tx>
                <c:rich>
                  <a:bodyPr/>
                  <a:lstStyle/>
                  <a:p>
                    <a:fld id="{573323EB-9071-4E23-9247-BBE7E8983D8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7DD-4C5E-8D7F-F2AECAECDCE3}"/>
                </c:ext>
              </c:extLst>
            </c:dLbl>
            <c:dLbl>
              <c:idx val="2"/>
              <c:tx>
                <c:rich>
                  <a:bodyPr/>
                  <a:lstStyle/>
                  <a:p>
                    <a:fld id="{818682B2-B9D9-4E7E-A1C9-8B76F1CAF27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7DD-4C5E-8D7F-F2AECAECDCE3}"/>
                </c:ext>
              </c:extLst>
            </c:dLbl>
            <c:dLbl>
              <c:idx val="3"/>
              <c:tx>
                <c:rich>
                  <a:bodyPr/>
                  <a:lstStyle/>
                  <a:p>
                    <a:fld id="{DDB5E86E-5897-4461-81F9-0A9C34CD20C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7DD-4C5E-8D7F-F2AECAECDCE3}"/>
                </c:ext>
              </c:extLst>
            </c:dLbl>
            <c:dLbl>
              <c:idx val="4"/>
              <c:tx>
                <c:rich>
                  <a:bodyPr/>
                  <a:lstStyle/>
                  <a:p>
                    <a:fld id="{BFA17734-7491-487F-B980-3BD17801476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7DD-4C5E-8D7F-F2AECAECDCE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'ALG-EDAD'!$AN$26:$AN$30</c:f>
              <c:strCache>
                <c:ptCount val="5"/>
                <c:pt idx="0">
                  <c:v>ISLAS BALEARES</c:v>
                </c:pt>
                <c:pt idx="1">
                  <c:v>ANDALUCÍA</c:v>
                </c:pt>
                <c:pt idx="2">
                  <c:v>CATALUÑA</c:v>
                </c:pt>
                <c:pt idx="3">
                  <c:v>C. VALENCIANA</c:v>
                </c:pt>
                <c:pt idx="4">
                  <c:v>MURCIA</c:v>
                </c:pt>
              </c:strCache>
            </c:strRef>
          </c:cat>
          <c:val>
            <c:numRef>
              <c:f>'ALG-EDAD'!$AO$26:$AO$30</c:f>
              <c:numCache>
                <c:formatCode>#,##0</c:formatCode>
                <c:ptCount val="5"/>
                <c:pt idx="0">
                  <c:v>170.54999999999998</c:v>
                </c:pt>
                <c:pt idx="1">
                  <c:v>111.80000000000001</c:v>
                </c:pt>
                <c:pt idx="2">
                  <c:v>89.04</c:v>
                </c:pt>
                <c:pt idx="3">
                  <c:v>64.56</c:v>
                </c:pt>
                <c:pt idx="4">
                  <c:v>24.89</c:v>
                </c:pt>
              </c:numCache>
            </c:numRef>
          </c:val>
          <c:extLst>
            <c:ext xmlns:c15="http://schemas.microsoft.com/office/drawing/2012/chart" uri="{02D57815-91ED-43cb-92C2-25804820EDAC}">
              <c15:datalabelsRange>
                <c15:f>'ALG-EDAD'!$AQ$26:$AQ$30</c15:f>
                <c15:dlblRangeCache>
                  <c:ptCount val="5"/>
                  <c:pt idx="0">
                    <c:v>7%</c:v>
                  </c:pt>
                  <c:pt idx="1">
                    <c:v>11%</c:v>
                  </c:pt>
                  <c:pt idx="2">
                    <c:v>2%</c:v>
                  </c:pt>
                  <c:pt idx="3">
                    <c:v>1%</c:v>
                  </c:pt>
                  <c:pt idx="4">
                    <c:v>3%</c:v>
                  </c:pt>
                </c15:dlblRangeCache>
              </c15:datalabelsRange>
            </c:ext>
            <c:ext xmlns:c16="http://schemas.microsoft.com/office/drawing/2014/chart" uri="{C3380CC4-5D6E-409C-BE32-E72D297353CC}">
              <c16:uniqueId val="{00000005-07DD-4C5E-8D7F-F2AECAECDCE3}"/>
            </c:ext>
          </c:extLst>
        </c:ser>
        <c:ser>
          <c:idx val="1"/>
          <c:order val="1"/>
          <c:tx>
            <c:strRef>
              <c:f>'ALG-EDAD'!$AP$25</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'ALG-EDAD'!$AN$26:$AN$30</c:f>
              <c:strCache>
                <c:ptCount val="5"/>
                <c:pt idx="0">
                  <c:v>ISLAS BALEARES</c:v>
                </c:pt>
                <c:pt idx="1">
                  <c:v>ANDALUCÍA</c:v>
                </c:pt>
                <c:pt idx="2">
                  <c:v>CATALUÑA</c:v>
                </c:pt>
                <c:pt idx="3">
                  <c:v>C. VALENCIANA</c:v>
                </c:pt>
                <c:pt idx="4">
                  <c:v>MURCIA</c:v>
                </c:pt>
              </c:strCache>
            </c:strRef>
          </c:cat>
          <c:val>
            <c:numRef>
              <c:f>'ALG-EDAD'!$AP$26:$AP$30</c:f>
              <c:numCache>
                <c:formatCode>#,##0</c:formatCode>
                <c:ptCount val="5"/>
                <c:pt idx="0">
                  <c:v>2551.3099999999977</c:v>
                </c:pt>
                <c:pt idx="1">
                  <c:v>1048.7900000000002</c:v>
                </c:pt>
                <c:pt idx="2">
                  <c:v>3622.0900000000083</c:v>
                </c:pt>
                <c:pt idx="3">
                  <c:v>7601.6000000000595</c:v>
                </c:pt>
                <c:pt idx="4">
                  <c:v>712.46999999999969</c:v>
                </c:pt>
              </c:numCache>
            </c:numRef>
          </c:val>
          <c:extLst>
            <c:ext xmlns:c16="http://schemas.microsoft.com/office/drawing/2014/chart" uri="{C3380CC4-5D6E-409C-BE32-E72D297353CC}">
              <c16:uniqueId val="{00000006-07DD-4C5E-8D7F-F2AECAECDCE3}"/>
            </c:ext>
          </c:extLst>
        </c:ser>
        <c:dLbls>
          <c:showLegendKey val="0"/>
          <c:showVal val="0"/>
          <c:showCatName val="0"/>
          <c:showSerName val="0"/>
          <c:showPercent val="0"/>
          <c:showBubbleSize val="0"/>
        </c:dLbls>
        <c:gapWidth val="100"/>
        <c:axId val="150029104"/>
        <c:axId val="150030736"/>
      </c:barChart>
      <c:catAx>
        <c:axId val="15002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30736"/>
        <c:crosses val="autoZero"/>
        <c:auto val="1"/>
        <c:lblAlgn val="ctr"/>
        <c:lblOffset val="100"/>
        <c:noMultiLvlLbl val="0"/>
      </c:catAx>
      <c:valAx>
        <c:axId val="150030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Algarrobo Secano Total: </a:t>
            </a:r>
            <a:r>
              <a:rPr lang="es-ES" baseline="0"/>
              <a:t>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4"/>
            <c:invertIfNegative val="0"/>
            <c:bubble3D val="0"/>
            <c:spPr>
              <a:solidFill>
                <a:srgbClr val="C0504D"/>
              </a:solidFill>
              <a:ln>
                <a:noFill/>
              </a:ln>
              <a:effectLst/>
            </c:spPr>
            <c:extLst>
              <c:ext xmlns:c16="http://schemas.microsoft.com/office/drawing/2014/chart" uri="{C3380CC4-5D6E-409C-BE32-E72D297353CC}">
                <c16:uniqueId val="{00000001-D7C4-4683-9077-611617CE1BB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'ALG-EDAD'!$A$44:$A$51</c15:sqref>
                  </c15:fullRef>
                </c:ext>
              </c:extLst>
              <c:f>('ALG-EDAD'!$A$44,'ALG-EDAD'!$A$46,'ALG-EDAD'!$A$49:$A$51)</c:f>
              <c:strCache>
                <c:ptCount val="5"/>
                <c:pt idx="0">
                  <c:v>ANDALUCÍA</c:v>
                </c:pt>
                <c:pt idx="1">
                  <c:v>C. VALENCIANA</c:v>
                </c:pt>
                <c:pt idx="2">
                  <c:v>ISLAS BALEARES</c:v>
                </c:pt>
                <c:pt idx="3">
                  <c:v>MURCIA</c:v>
                </c:pt>
                <c:pt idx="4">
                  <c:v>ESPAÑA</c:v>
                </c:pt>
              </c:strCache>
            </c:strRef>
          </c:cat>
          <c:val>
            <c:numRef>
              <c:extLst>
                <c:ext xmlns:c15="http://schemas.microsoft.com/office/drawing/2012/chart" uri="{02D57815-91ED-43cb-92C2-25804820EDAC}">
                  <c15:fullRef>
                    <c15:sqref>'ALG-EDAD'!$Y$44:$Y$51</c15:sqref>
                  </c15:fullRef>
                </c:ext>
              </c:extLst>
              <c:f>('ALG-EDAD'!$Y$44,'ALG-EDAD'!$Y$46,'ALG-EDAD'!$Y$49:$Y$51)</c:f>
              <c:numCache>
                <c:formatCode>0.00%</c:formatCode>
                <c:ptCount val="5"/>
                <c:pt idx="0">
                  <c:v>2.6697432279102585E-4</c:v>
                </c:pt>
                <c:pt idx="1">
                  <c:v>8.9652178488738507E-3</c:v>
                </c:pt>
                <c:pt idx="2">
                  <c:v>3.5040822165867741E-3</c:v>
                </c:pt>
                <c:pt idx="3">
                  <c:v>2.8071357390486626E-3</c:v>
                </c:pt>
                <c:pt idx="4">
                  <c:v>5.1152787823718618E-3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50013328"/>
        <c:axId val="150004624"/>
      </c:barChart>
      <c:catAx>
        <c:axId val="150013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4624"/>
        <c:crosses val="autoZero"/>
        <c:auto val="1"/>
        <c:lblAlgn val="ctr"/>
        <c:lblOffset val="100"/>
        <c:noMultiLvlLbl val="0"/>
      </c:catAx>
      <c:valAx>
        <c:axId val="15000462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13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'ALG-EDAD'!$C$79:$X$79</c:f>
              <c:numCache>
                <c:formatCode>#,##0</c:formatCode>
                <c:ptCount val="22"/>
                <c:pt idx="0">
                  <c:v>120.75</c:v>
                </c:pt>
                <c:pt idx="1">
                  <c:v>3.36</c:v>
                </c:pt>
                <c:pt idx="2">
                  <c:v>11.839999999999998</c:v>
                </c:pt>
                <c:pt idx="3">
                  <c:v>0.77</c:v>
                </c:pt>
                <c:pt idx="4">
                  <c:v>6.43</c:v>
                </c:pt>
                <c:pt idx="5">
                  <c:v>7.3699999999999992</c:v>
                </c:pt>
                <c:pt idx="6">
                  <c:v>7.64</c:v>
                </c:pt>
                <c:pt idx="7">
                  <c:v>4.55</c:v>
                </c:pt>
                <c:pt idx="8">
                  <c:v>7.03</c:v>
                </c:pt>
                <c:pt idx="9">
                  <c:v>5.5200000000000005</c:v>
                </c:pt>
                <c:pt idx="10">
                  <c:v>6.9599999999999991</c:v>
                </c:pt>
                <c:pt idx="11">
                  <c:v>3.39</c:v>
                </c:pt>
                <c:pt idx="12">
                  <c:v>5.22</c:v>
                </c:pt>
                <c:pt idx="13">
                  <c:v>2.3299999999999996</c:v>
                </c:pt>
                <c:pt idx="14">
                  <c:v>4.5599999999999996</c:v>
                </c:pt>
                <c:pt idx="15">
                  <c:v>23.220000000000002</c:v>
                </c:pt>
                <c:pt idx="16">
                  <c:v>4.1099999999999994</c:v>
                </c:pt>
                <c:pt idx="17">
                  <c:v>1.77</c:v>
                </c:pt>
                <c:pt idx="18">
                  <c:v>1.69</c:v>
                </c:pt>
                <c:pt idx="19">
                  <c:v>13.01</c:v>
                </c:pt>
                <c:pt idx="20">
                  <c:v>32.910000000000004</c:v>
                </c:pt>
                <c:pt idx="21">
                  <c:v>28.72</c:v>
                </c:pt>
              </c:numCache>
            </c:numRef>
          </c:val>
          <c:extLst>
            <c:ext xmlns:c16="http://schemas.microsoft.com/office/drawing/2014/chart" uri="{C3380CC4-5D6E-409C-BE32-E72D297353CC}">
              <c16:uniqueId val="{00000000-EA94-449E-B91B-342AB908374C}"/>
            </c:ext>
          </c:extLst>
        </c:ser>
        <c:dLbls>
          <c:showLegendKey val="0"/>
          <c:showVal val="0"/>
          <c:showCatName val="0"/>
          <c:showSerName val="0"/>
          <c:showPercent val="0"/>
          <c:showBubbleSize val="0"/>
        </c:dLbls>
        <c:gapWidth val="219"/>
        <c:overlap val="-27"/>
        <c:axId val="150025840"/>
        <c:axId val="150003536"/>
      </c:barChart>
      <c:catAx>
        <c:axId val="1500258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3536"/>
        <c:crosses val="autoZero"/>
        <c:auto val="1"/>
        <c:lblAlgn val="ctr"/>
        <c:lblOffset val="100"/>
        <c:noMultiLvlLbl val="0"/>
      </c:catAx>
      <c:valAx>
        <c:axId val="15000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5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'ALG-EDAD'!$AP$70</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5E6D6326-50A3-4DEE-89B5-B34072C5386C}"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B4-49F9-BED8-31B46B2B4D46}"/>
                </c:ext>
              </c:extLst>
            </c:dLbl>
            <c:dLbl>
              <c:idx val="1"/>
              <c:tx>
                <c:rich>
                  <a:bodyPr/>
                  <a:lstStyle/>
                  <a:p>
                    <a:fld id="{2524C658-96A9-4E9B-AF91-E2C8106A473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4B4-49F9-BED8-31B46B2B4D46}"/>
                </c:ext>
              </c:extLst>
            </c:dLbl>
            <c:dLbl>
              <c:idx val="2"/>
              <c:tx>
                <c:rich>
                  <a:bodyPr/>
                  <a:lstStyle/>
                  <a:p>
                    <a:fld id="{46E12874-7AF6-4E4D-AA82-58739BA6A55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4B4-49F9-BED8-31B46B2B4D4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'ALG-EDAD'!$AO$71:$AO$73</c:f>
              <c:strCache>
                <c:ptCount val="3"/>
                <c:pt idx="0">
                  <c:v>CATALUÑA</c:v>
                </c:pt>
                <c:pt idx="1">
                  <c:v>C. VALENCIANA</c:v>
                </c:pt>
                <c:pt idx="2">
                  <c:v>ISLAS BALEARES</c:v>
                </c:pt>
              </c:strCache>
            </c:strRef>
          </c:cat>
          <c:val>
            <c:numRef>
              <c:f>'ALG-EDAD'!$AP$71:$AP$73</c:f>
              <c:numCache>
                <c:formatCode>#,##0</c:formatCode>
                <c:ptCount val="3"/>
                <c:pt idx="0">
                  <c:v>44.31</c:v>
                </c:pt>
                <c:pt idx="1">
                  <c:v>18.170000000000002</c:v>
                </c:pt>
                <c:pt idx="2">
                  <c:v>9.86</c:v>
                </c:pt>
              </c:numCache>
            </c:numRef>
          </c:val>
          <c:extLst>
            <c:ext xmlns:c15="http://schemas.microsoft.com/office/drawing/2012/chart" uri="{02D57815-91ED-43cb-92C2-25804820EDAC}">
              <c15:datalabelsRange>
                <c15:f>'ALG-EDAD'!$AR$71:$AR$73</c15:f>
                <c15:dlblRangeCache>
                  <c:ptCount val="3"/>
                  <c:pt idx="0">
                    <c:v>10%</c:v>
                  </c:pt>
                  <c:pt idx="1">
                    <c:v>13%</c:v>
                  </c:pt>
                  <c:pt idx="2">
                    <c:v>58%</c:v>
                  </c:pt>
                </c15:dlblRangeCache>
              </c15:datalabelsRange>
            </c:ext>
            <c:ext xmlns:c16="http://schemas.microsoft.com/office/drawing/2014/chart" uri="{C3380CC4-5D6E-409C-BE32-E72D297353CC}">
              <c16:uniqueId val="{00000003-B4B4-49F9-BED8-31B46B2B4D46}"/>
            </c:ext>
          </c:extLst>
        </c:ser>
        <c:ser>
          <c:idx val="1"/>
          <c:order val="1"/>
          <c:tx>
            <c:strRef>
              <c:f>'ALG-EDAD'!$AQ$70</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'ALG-EDAD'!$AO$71:$AO$73</c:f>
              <c:strCache>
                <c:ptCount val="3"/>
                <c:pt idx="0">
                  <c:v>CATALUÑA</c:v>
                </c:pt>
                <c:pt idx="1">
                  <c:v>C. VALENCIANA</c:v>
                </c:pt>
                <c:pt idx="2">
                  <c:v>ISLAS BALEARES</c:v>
                </c:pt>
              </c:strCache>
            </c:strRef>
          </c:cat>
          <c:val>
            <c:numRef>
              <c:f>'ALG-EDAD'!$AQ$71:$AQ$73</c:f>
              <c:numCache>
                <c:formatCode>#,##0</c:formatCode>
                <c:ptCount val="3"/>
                <c:pt idx="0">
                  <c:v>443.97</c:v>
                </c:pt>
                <c:pt idx="1">
                  <c:v>136.80000000000004</c:v>
                </c:pt>
                <c:pt idx="2">
                  <c:v>16.91</c:v>
                </c:pt>
              </c:numCache>
            </c:numRef>
          </c:val>
          <c:extLst>
            <c:ext xmlns:c16="http://schemas.microsoft.com/office/drawing/2014/chart" uri="{C3380CC4-5D6E-409C-BE32-E72D297353CC}">
              <c16:uniqueId val="{00000004-B4B4-49F9-BED8-31B46B2B4D46}"/>
            </c:ext>
          </c:extLst>
        </c:ser>
        <c:dLbls>
          <c:showLegendKey val="0"/>
          <c:showVal val="0"/>
          <c:showCatName val="0"/>
          <c:showSerName val="0"/>
          <c:showPercent val="0"/>
          <c:showBubbleSize val="0"/>
        </c:dLbls>
        <c:gapWidth val="100"/>
        <c:axId val="150006800"/>
        <c:axId val="150030192"/>
      </c:barChart>
      <c:catAx>
        <c:axId val="15000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30192"/>
        <c:crosses val="autoZero"/>
        <c:auto val="1"/>
        <c:lblAlgn val="ctr"/>
        <c:lblOffset val="100"/>
        <c:noMultiLvlLbl val="0"/>
      </c:catAx>
      <c:valAx>
        <c:axId val="150030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6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6"/>
            </a:solidFill>
            <a:ln>
              <a:noFill/>
            </a:ln>
            <a:effectLst/>
          </c:spPr>
          <c:invertIfNegative val="0"/>
          <c:cat>
            <c:numRef>
              <c:extLst>
                <c:ext xmlns:c15="http://schemas.microsoft.com/office/drawing/2012/chart" uri="{02D57815-91ED-43cb-92C2-25804820EDAC}">
                  <c15:fullRef>
                    <c15:sqref>'ALM-EDAD'!$C$318:$X$318</c15:sqref>
                  </c15:fullRef>
                </c:ext>
              </c:extLst>
              <c:f>'ALM-EDAD'!$D$318:$X$318</c:f>
              <c:numCache>
                <c:formatCode>#,##0</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extLst>
                <c:ext xmlns:c15="http://schemas.microsoft.com/office/drawing/2012/chart" uri="{02D57815-91ED-43cb-92C2-25804820EDAC}">
                  <c15:fullRef>
                    <c15:sqref>'ALG-EDAD'!$C$246:$X$246</c15:sqref>
                  </c15:fullRef>
                </c:ext>
              </c:extLst>
              <c:f>'ALG-EDAD'!$D$246:$X$246</c:f>
              <c:numCache>
                <c:formatCode>#,##0</c:formatCode>
                <c:ptCount val="21"/>
                <c:pt idx="0">
                  <c:v>0.05</c:v>
                </c:pt>
                <c:pt idx="1">
                  <c:v>1.63</c:v>
                </c:pt>
                <c:pt idx="2">
                  <c:v>0</c:v>
                </c:pt>
                <c:pt idx="3">
                  <c:v>0.12</c:v>
                </c:pt>
                <c:pt idx="4">
                  <c:v>0</c:v>
                </c:pt>
                <c:pt idx="5">
                  <c:v>0</c:v>
                </c:pt>
                <c:pt idx="6">
                  <c:v>0</c:v>
                </c:pt>
                <c:pt idx="7">
                  <c:v>0</c:v>
                </c:pt>
                <c:pt idx="8">
                  <c:v>0</c:v>
                </c:pt>
                <c:pt idx="9">
                  <c:v>0.14000000000000001</c:v>
                </c:pt>
                <c:pt idx="10">
                  <c:v>0</c:v>
                </c:pt>
                <c:pt idx="11">
                  <c:v>0</c:v>
                </c:pt>
                <c:pt idx="12">
                  <c:v>0</c:v>
                </c:pt>
                <c:pt idx="13">
                  <c:v>0</c:v>
                </c:pt>
                <c:pt idx="14">
                  <c:v>0.34</c:v>
                </c:pt>
                <c:pt idx="15">
                  <c:v>0.9</c:v>
                </c:pt>
                <c:pt idx="16">
                  <c:v>0</c:v>
                </c:pt>
                <c:pt idx="17">
                  <c:v>0</c:v>
                </c:pt>
                <c:pt idx="18">
                  <c:v>0.02</c:v>
                </c:pt>
                <c:pt idx="19">
                  <c:v>1.5</c:v>
                </c:pt>
                <c:pt idx="20">
                  <c:v>1.34</c:v>
                </c:pt>
              </c:numCache>
            </c:numRef>
          </c:val>
          <c:extLst>
            <c:ext xmlns:c16="http://schemas.microsoft.com/office/drawing/2014/chart" uri="{C3380CC4-5D6E-409C-BE32-E72D297353CC}">
              <c16:uniqueId val="{00000000-3231-405E-A0A5-AC336FBBE284}"/>
            </c:ext>
          </c:extLst>
        </c:ser>
        <c:dLbls>
          <c:showLegendKey val="0"/>
          <c:showVal val="0"/>
          <c:showCatName val="0"/>
          <c:showSerName val="0"/>
          <c:showPercent val="0"/>
          <c:showBubbleSize val="0"/>
        </c:dLbls>
        <c:gapWidth val="219"/>
        <c:overlap val="-27"/>
        <c:axId val="150018224"/>
        <c:axId val="150023664"/>
      </c:barChart>
      <c:catAx>
        <c:axId val="1500182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3664"/>
        <c:crosses val="autoZero"/>
        <c:auto val="1"/>
        <c:lblAlgn val="ctr"/>
        <c:lblOffset val="100"/>
        <c:noMultiLvlLbl val="0"/>
      </c:catAx>
      <c:valAx>
        <c:axId val="150023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18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Algarrobo</a:t>
            </a:r>
            <a:r>
              <a:rPr lang="en-US" b="1" baseline="0"/>
              <a:t> </a:t>
            </a:r>
            <a:r>
              <a:rPr lang="en-US" b="1"/>
              <a:t>Regadío </a:t>
            </a:r>
            <a:r>
              <a:rPr lang="en-US" b="1" baseline="0"/>
              <a:t>Ecológico:</a:t>
            </a:r>
            <a:r>
              <a:rPr lang="en-US" b="1"/>
              <a:t> </a:t>
            </a:r>
          </a:p>
          <a:p>
            <a:pPr>
              <a:defRPr sz="1400" b="0" i="0" u="none" strike="noStrike" kern="1200" spc="0" baseline="0">
                <a:solidFill>
                  <a:sysClr val="windowText" lastClr="000000"/>
                </a:solidFill>
                <a:latin typeface="+mn-lt"/>
                <a:ea typeface="+mn-ea"/>
                <a:cs typeface="+mn-cs"/>
              </a:defRPr>
            </a:pPr>
            <a:r>
              <a:rPr lang="en-US"/>
              <a:t>Las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'ALG-EDAD'!$AK$194</c:f>
              <c:strCache>
                <c:ptCount val="1"/>
                <c:pt idx="0">
                  <c:v>Total</c:v>
                </c:pt>
              </c:strCache>
            </c:strRef>
          </c:tx>
          <c:spPr>
            <a:solidFill>
              <a:srgbClr val="00FFCC"/>
            </a:solidFill>
            <a:ln>
              <a:solidFill>
                <a:schemeClr val="accent6">
                  <a:lumMod val="75000"/>
                </a:schemeClr>
              </a:solidFill>
            </a:ln>
            <a:effectLst/>
          </c:spPr>
          <c:invertIfNegative val="0"/>
          <c:cat>
            <c:strRef>
              <c:f>'ALG-EDAD'!$AI$239:$AI$242</c:f>
              <c:strCache>
                <c:ptCount val="4"/>
                <c:pt idx="0">
                  <c:v>TARRAGONA</c:v>
                </c:pt>
                <c:pt idx="1">
                  <c:v>CÁCERES</c:v>
                </c:pt>
                <c:pt idx="2">
                  <c:v>VALENCIA</c:v>
                </c:pt>
                <c:pt idx="3">
                  <c:v>ISLAS BALEARES</c:v>
                </c:pt>
              </c:strCache>
            </c:strRef>
          </c:cat>
          <c:val>
            <c:numRef>
              <c:f>'ALG-EDAD'!$AK$239:$AK$242</c:f>
              <c:numCache>
                <c:formatCode>#,##0</c:formatCode>
                <c:ptCount val="4"/>
                <c:pt idx="0">
                  <c:v>19.57</c:v>
                </c:pt>
                <c:pt idx="1">
                  <c:v>0.56999999999999995</c:v>
                </c:pt>
                <c:pt idx="2">
                  <c:v>5.43</c:v>
                </c:pt>
                <c:pt idx="3">
                  <c:v>0.02</c:v>
                </c:pt>
              </c:numCache>
            </c:numRef>
          </c:val>
          <c:extLst>
            <c:ext xmlns:c16="http://schemas.microsoft.com/office/drawing/2014/chart" uri="{C3380CC4-5D6E-409C-BE32-E72D297353CC}">
              <c16:uniqueId val="{00000000-73A2-404F-B470-71D63E69F04C}"/>
            </c:ext>
          </c:extLst>
        </c:ser>
        <c:ser>
          <c:idx val="0"/>
          <c:order val="1"/>
          <c:tx>
            <c:strRef>
              <c:f>'ALG-EDAD'!$AJ$194</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6FAA1FF3-C2BE-4ACF-A688-22DD1DCE2121}"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3A2-404F-B470-71D63E69F04C}"/>
                </c:ext>
              </c:extLst>
            </c:dLbl>
            <c:dLbl>
              <c:idx val="1"/>
              <c:tx>
                <c:rich>
                  <a:bodyPr/>
                  <a:lstStyle/>
                  <a:p>
                    <a:fld id="{B8ED693F-30A3-4EB8-BCBF-CC7C710C9D1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3A2-404F-B470-71D63E69F04C}"/>
                </c:ext>
              </c:extLst>
            </c:dLbl>
            <c:dLbl>
              <c:idx val="2"/>
              <c:tx>
                <c:rich>
                  <a:bodyPr/>
                  <a:lstStyle/>
                  <a:p>
                    <a:fld id="{04DFCDF0-2094-4524-B58B-E9FB6A57FFF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3A2-404F-B470-71D63E69F04C}"/>
                </c:ext>
              </c:extLst>
            </c:dLbl>
            <c:dLbl>
              <c:idx val="3"/>
              <c:tx>
                <c:rich>
                  <a:bodyPr/>
                  <a:lstStyle/>
                  <a:p>
                    <a:fld id="{941E7544-01DF-4BA7-B4B5-5FA477AEB06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3A2-404F-B470-71D63E69F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'ALG-EDAD'!$AI$239:$AI$242</c:f>
              <c:strCache>
                <c:ptCount val="4"/>
                <c:pt idx="0">
                  <c:v>TARRAGONA</c:v>
                </c:pt>
                <c:pt idx="1">
                  <c:v>CÁCERES</c:v>
                </c:pt>
                <c:pt idx="2">
                  <c:v>VALENCIA</c:v>
                </c:pt>
                <c:pt idx="3">
                  <c:v>ISLAS BALEARES</c:v>
                </c:pt>
              </c:strCache>
            </c:strRef>
          </c:cat>
          <c:val>
            <c:numRef>
              <c:f>'ALG-EDAD'!$AJ$239:$AJ$242</c:f>
              <c:numCache>
                <c:formatCode>#,##0.00</c:formatCode>
                <c:ptCount val="4"/>
                <c:pt idx="0">
                  <c:v>2.0100000000000002</c:v>
                </c:pt>
                <c:pt idx="1">
                  <c:v>0.56999999999999995</c:v>
                </c:pt>
                <c:pt idx="2">
                  <c:v>0.26</c:v>
                </c:pt>
                <c:pt idx="3">
                  <c:v>0.02</c:v>
                </c:pt>
              </c:numCache>
            </c:numRef>
          </c:val>
          <c:extLst>
            <c:ext xmlns:c15="http://schemas.microsoft.com/office/drawing/2012/chart" uri="{02D57815-91ED-43cb-92C2-25804820EDAC}">
              <c15:datalabelsRange>
                <c15:f>'ALG-EDAD'!$AL$239:$AL$242</c15:f>
                <c15:dlblRangeCache>
                  <c:ptCount val="4"/>
                  <c:pt idx="0">
                    <c:v>10%</c:v>
                  </c:pt>
                  <c:pt idx="1">
                    <c:v>100%</c:v>
                  </c:pt>
                  <c:pt idx="2">
                    <c:v>5%</c:v>
                  </c:pt>
                  <c:pt idx="3">
                    <c:v>100%</c:v>
                  </c:pt>
                </c15:dlblRangeCache>
              </c15:datalabelsRange>
            </c:ext>
            <c:ext xmlns:c16="http://schemas.microsoft.com/office/drawing/2014/chart" uri="{C3380CC4-5D6E-409C-BE32-E72D297353CC}">
              <c16:uniqueId val="{00000005-73A2-404F-B470-71D63E69F04C}"/>
            </c:ext>
          </c:extLst>
        </c:ser>
        <c:dLbls>
          <c:showLegendKey val="0"/>
          <c:showVal val="0"/>
          <c:showCatName val="0"/>
          <c:showSerName val="0"/>
          <c:showPercent val="0"/>
          <c:showBubbleSize val="0"/>
        </c:dLbls>
        <c:gapWidth val="150"/>
        <c:overlap val="-40"/>
        <c:axId val="146878272"/>
        <c:axId val="146894592"/>
      </c:barChart>
      <c:catAx>
        <c:axId val="14687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46894592"/>
        <c:crosses val="autoZero"/>
        <c:auto val="1"/>
        <c:lblAlgn val="ctr"/>
        <c:lblOffset val="100"/>
        <c:noMultiLvlLbl val="0"/>
      </c:catAx>
      <c:valAx>
        <c:axId val="146894592"/>
        <c:scaling>
          <c:orientation val="minMax"/>
          <c:max val="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4687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Algarrobo Regadío </a:t>
            </a:r>
            <a:r>
              <a:rPr lang="es-ES" baseline="0"/>
              <a:t>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3"/>
            <c:invertIfNegative val="0"/>
            <c:bubble3D val="0"/>
            <c:spPr>
              <a:solidFill>
                <a:srgbClr val="C0504D"/>
              </a:solidFill>
              <a:ln>
                <a:noFill/>
              </a:ln>
              <a:effectLst/>
            </c:spPr>
            <c:extLst>
              <c:ext xmlns:c16="http://schemas.microsoft.com/office/drawing/2014/chart" uri="{C3380CC4-5D6E-409C-BE32-E72D297353CC}">
                <c16:uniqueId val="{00000001-6728-4D5B-9C2C-EA88BBCE335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'ALG-EDAD'!$A$251:$A$257</c15:sqref>
                  </c15:fullRef>
                </c:ext>
              </c:extLst>
              <c:f>('ALG-EDAD'!$A$251:$A$252,'ALG-EDAD'!$A$256:$A$257)</c:f>
              <c:strCache>
                <c:ptCount val="4"/>
                <c:pt idx="0">
                  <c:v>ANDALUCÍA</c:v>
                </c:pt>
                <c:pt idx="1">
                  <c:v>C. VALENCIANA</c:v>
                </c:pt>
                <c:pt idx="2">
                  <c:v>MURCIA</c:v>
                </c:pt>
                <c:pt idx="3">
                  <c:v>ESPAÑA</c:v>
                </c:pt>
              </c:strCache>
            </c:strRef>
          </c:cat>
          <c:val>
            <c:numRef>
              <c:extLst>
                <c:ext xmlns:c15="http://schemas.microsoft.com/office/drawing/2012/chart" uri="{02D57815-91ED-43cb-92C2-25804820EDAC}">
                  <c15:fullRef>
                    <c15:sqref>'ALG-EDAD'!$Y$251:$Y$257</c15:sqref>
                  </c15:fullRef>
                </c:ext>
              </c:extLst>
              <c:f>('ALG-EDAD'!$Y$251:$Y$252,'ALG-EDAD'!$Y$256:$Y$257)</c:f>
              <c:numCache>
                <c:formatCode>0.00%</c:formatCode>
                <c:ptCount val="4"/>
                <c:pt idx="0">
                  <c:v>5.0627784528149049E-4</c:v>
                </c:pt>
                <c:pt idx="1">
                  <c:v>1.984732824427481E-2</c:v>
                </c:pt>
                <c:pt idx="2">
                  <c:v>1.1820330969267141E-2</c:v>
                </c:pt>
                <c:pt idx="3">
                  <c:v>2.6422018348623848E-3</c:v>
                </c:pt>
              </c:numCache>
            </c:numRef>
          </c:val>
          <c:extLst>
            <c:ext xmlns:c16="http://schemas.microsoft.com/office/drawing/2014/chart" uri="{C3380CC4-5D6E-409C-BE32-E72D297353CC}">
              <c16:uniqueId val="{00000002-6728-4D5B-9C2C-EA88BBCE3357}"/>
            </c:ext>
          </c:extLst>
        </c:ser>
        <c:dLbls>
          <c:dLblPos val="outEnd"/>
          <c:showLegendKey val="0"/>
          <c:showVal val="1"/>
          <c:showCatName val="0"/>
          <c:showSerName val="0"/>
          <c:showPercent val="0"/>
          <c:showBubbleSize val="0"/>
        </c:dLbls>
        <c:gapWidth val="182"/>
        <c:axId val="146906560"/>
        <c:axId val="146890784"/>
      </c:barChart>
      <c:catAx>
        <c:axId val="146906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0784"/>
        <c:crosses val="autoZero"/>
        <c:auto val="1"/>
        <c:lblAlgn val="ctr"/>
        <c:lblOffset val="100"/>
        <c:noMultiLvlLbl val="0"/>
      </c:catAx>
      <c:valAx>
        <c:axId val="14689078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Algarrobo Regadío Total: </a:t>
            </a:r>
            <a:r>
              <a:rPr lang="es-ES" baseline="0"/>
              <a:t>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5"/>
            <c:invertIfNegative val="0"/>
            <c:bubble3D val="0"/>
            <c:spPr>
              <a:solidFill>
                <a:srgbClr val="C0504D"/>
              </a:solidFill>
              <a:ln>
                <a:noFill/>
              </a:ln>
              <a:effectLst/>
            </c:spPr>
            <c:extLst>
              <c:ext xmlns:c16="http://schemas.microsoft.com/office/drawing/2014/chart" uri="{C3380CC4-5D6E-409C-BE32-E72D297353CC}">
                <c16:uniqueId val="{00000001-3751-4D62-A58D-4AA2EDA3D0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'ALG-EDAD'!$A$84:$A$90</c15:sqref>
                  </c15:fullRef>
                </c:ext>
              </c:extLst>
              <c:f>('ALG-EDAD'!$A$84:$A$86,'ALG-EDAD'!$A$88:$A$90)</c:f>
              <c:strCache>
                <c:ptCount val="6"/>
                <c:pt idx="0">
                  <c:v>ANDALUCÍA</c:v>
                </c:pt>
                <c:pt idx="1">
                  <c:v>C. VALENCIANA</c:v>
                </c:pt>
                <c:pt idx="2">
                  <c:v>CATALUÑA</c:v>
                </c:pt>
                <c:pt idx="3">
                  <c:v>ISLAS BALEARES</c:v>
                </c:pt>
                <c:pt idx="4">
                  <c:v>MURCIA</c:v>
                </c:pt>
                <c:pt idx="5">
                  <c:v>ESPAÑA</c:v>
                </c:pt>
              </c:strCache>
            </c:strRef>
          </c:cat>
          <c:val>
            <c:numRef>
              <c:extLst>
                <c:ext xmlns:c15="http://schemas.microsoft.com/office/drawing/2012/chart" uri="{02D57815-91ED-43cb-92C2-25804820EDAC}">
                  <c15:fullRef>
                    <c15:sqref>'ALG-EDAD'!$Y$84:$Y$90</c15:sqref>
                  </c15:fullRef>
                </c:ext>
              </c:extLst>
              <c:f>('ALG-EDAD'!$Y$84:$Y$86,'ALG-EDAD'!$Y$88:$Y$90)</c:f>
              <c:numCache>
                <c:formatCode>0.00%</c:formatCode>
                <c:ptCount val="6"/>
                <c:pt idx="0">
                  <c:v>4.8351223285949131E-4</c:v>
                </c:pt>
                <c:pt idx="1">
                  <c:v>1.7690058479532159E-2</c:v>
                </c:pt>
                <c:pt idx="2">
                  <c:v>3.829087550960651E-4</c:v>
                </c:pt>
                <c:pt idx="3">
                  <c:v>5.9136605558840905E-4</c:v>
                </c:pt>
                <c:pt idx="4">
                  <c:v>5.0915095637814774E-3</c:v>
                </c:pt>
                <c:pt idx="5">
                  <c:v>3.9001459326127108E-3</c:v>
                </c:pt>
              </c:numCache>
            </c:numRef>
          </c:val>
          <c:extLst>
            <c:ext xmlns:c16="http://schemas.microsoft.com/office/drawing/2014/chart" uri="{C3380CC4-5D6E-409C-BE32-E72D297353CC}">
              <c16:uniqueId val="{00000002-3751-4D62-A58D-4AA2EDA3D0C0}"/>
            </c:ext>
          </c:extLst>
        </c:ser>
        <c:dLbls>
          <c:dLblPos val="outEnd"/>
          <c:showLegendKey val="0"/>
          <c:showVal val="1"/>
          <c:showCatName val="0"/>
          <c:showSerName val="0"/>
          <c:showPercent val="0"/>
          <c:showBubbleSize val="0"/>
        </c:dLbls>
        <c:gapWidth val="182"/>
        <c:axId val="150027472"/>
        <c:axId val="150013872"/>
      </c:barChart>
      <c:catAx>
        <c:axId val="150027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13872"/>
        <c:crosses val="autoZero"/>
        <c:auto val="1"/>
        <c:lblAlgn val="ctr"/>
        <c:lblOffset val="100"/>
        <c:noMultiLvlLbl val="0"/>
      </c:catAx>
      <c:valAx>
        <c:axId val="15001387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Algarrobo Regadío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'ALG-EDAD'!$AK$71</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'ALG-EDAD'!$AI$72:$AI$78</c:f>
              <c:strCache>
                <c:ptCount val="7"/>
                <c:pt idx="0">
                  <c:v>TARRAGONA</c:v>
                </c:pt>
                <c:pt idx="1">
                  <c:v>VALENCIA</c:v>
                </c:pt>
                <c:pt idx="2">
                  <c:v>ISLAS BALEARES</c:v>
                </c:pt>
                <c:pt idx="3">
                  <c:v>ALICANTE</c:v>
                </c:pt>
                <c:pt idx="4">
                  <c:v>CASTELLÓN</c:v>
                </c:pt>
                <c:pt idx="5">
                  <c:v>MURCIA</c:v>
                </c:pt>
                <c:pt idx="6">
                  <c:v>CÁCERES</c:v>
                </c:pt>
              </c:strCache>
            </c:strRef>
          </c:cat>
          <c:val>
            <c:numRef>
              <c:f>'ALG-EDAD'!$AK$72:$AK$78</c:f>
              <c:numCache>
                <c:formatCode>#,##0</c:formatCode>
                <c:ptCount val="7"/>
                <c:pt idx="0">
                  <c:v>442.49</c:v>
                </c:pt>
                <c:pt idx="1">
                  <c:v>89.730000000000018</c:v>
                </c:pt>
                <c:pt idx="2">
                  <c:v>16.91</c:v>
                </c:pt>
                <c:pt idx="3">
                  <c:v>30.74</c:v>
                </c:pt>
                <c:pt idx="4">
                  <c:v>16.330000000000005</c:v>
                </c:pt>
                <c:pt idx="5">
                  <c:v>72.670000000000016</c:v>
                </c:pt>
                <c:pt idx="6">
                  <c:v>0.56999999999999995</c:v>
                </c:pt>
              </c:numCache>
            </c:numRef>
          </c:val>
          <c:extLst>
            <c:ext xmlns:c16="http://schemas.microsoft.com/office/drawing/2014/chart" uri="{C3380CC4-5D6E-409C-BE32-E72D297353CC}">
              <c16:uniqueId val="{00000000-059C-46D7-85AD-FFF3496DAB75}"/>
            </c:ext>
          </c:extLst>
        </c:ser>
        <c:ser>
          <c:idx val="0"/>
          <c:order val="1"/>
          <c:tx>
            <c:strRef>
              <c:f>'ALG-EDAD'!$AJ$71</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14E81354-2486-4981-8CD0-0F7567BE3C9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59C-46D7-85AD-FFF3496DAB75}"/>
                </c:ext>
              </c:extLst>
            </c:dLbl>
            <c:dLbl>
              <c:idx val="1"/>
              <c:tx>
                <c:rich>
                  <a:bodyPr/>
                  <a:lstStyle/>
                  <a:p>
                    <a:fld id="{2A29B1FB-C83F-4FF1-AEC2-933A5A3309C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59C-46D7-85AD-FFF3496DAB75}"/>
                </c:ext>
              </c:extLst>
            </c:dLbl>
            <c:dLbl>
              <c:idx val="2"/>
              <c:tx>
                <c:rich>
                  <a:bodyPr/>
                  <a:lstStyle/>
                  <a:p>
                    <a:fld id="{F8978BA6-4311-408E-AFE0-338235950B7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59C-46D7-85AD-FFF3496DAB75}"/>
                </c:ext>
              </c:extLst>
            </c:dLbl>
            <c:dLbl>
              <c:idx val="3"/>
              <c:tx>
                <c:rich>
                  <a:bodyPr/>
                  <a:lstStyle/>
                  <a:p>
                    <a:fld id="{9B04A7F7-A5B8-4FF0-8478-73933C1B716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59C-46D7-85AD-FFF3496DAB75}"/>
                </c:ext>
              </c:extLst>
            </c:dLbl>
            <c:dLbl>
              <c:idx val="4"/>
              <c:tx>
                <c:rich>
                  <a:bodyPr/>
                  <a:lstStyle/>
                  <a:p>
                    <a:fld id="{53EDFE37-9B50-4EBE-B38A-4E5C29F63F1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59C-46D7-85AD-FFF3496DAB75}"/>
                </c:ext>
              </c:extLst>
            </c:dLbl>
            <c:dLbl>
              <c:idx val="5"/>
              <c:tx>
                <c:rich>
                  <a:bodyPr/>
                  <a:lstStyle/>
                  <a:p>
                    <a:fld id="{63CC6FA5-E462-4175-A744-952B9ABCD9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59C-46D7-85AD-FFF3496DAB75}"/>
                </c:ext>
              </c:extLst>
            </c:dLbl>
            <c:dLbl>
              <c:idx val="6"/>
              <c:tx>
                <c:rich>
                  <a:bodyPr/>
                  <a:lstStyle/>
                  <a:p>
                    <a:fld id="{A329D138-7008-4BD5-9090-1B033BAAFD1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59C-46D7-85AD-FFF3496DAB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'ALG-EDAD'!$AI$72:$AI$78</c:f>
              <c:strCache>
                <c:ptCount val="7"/>
                <c:pt idx="0">
                  <c:v>TARRAGONA</c:v>
                </c:pt>
                <c:pt idx="1">
                  <c:v>VALENCIA</c:v>
                </c:pt>
                <c:pt idx="2">
                  <c:v>ISLAS BALEARES</c:v>
                </c:pt>
                <c:pt idx="3">
                  <c:v>ALICANTE</c:v>
                </c:pt>
                <c:pt idx="4">
                  <c:v>CASTELLÓN</c:v>
                </c:pt>
                <c:pt idx="5">
                  <c:v>MURCIA</c:v>
                </c:pt>
                <c:pt idx="6">
                  <c:v>CÁCERES</c:v>
                </c:pt>
              </c:strCache>
            </c:strRef>
          </c:cat>
          <c:val>
            <c:numRef>
              <c:f>'ALG-EDAD'!$AJ$72:$AJ$78</c:f>
              <c:numCache>
                <c:formatCode>#,##0</c:formatCode>
                <c:ptCount val="7"/>
                <c:pt idx="0">
                  <c:v>44.31</c:v>
                </c:pt>
                <c:pt idx="1">
                  <c:v>13.350000000000001</c:v>
                </c:pt>
                <c:pt idx="2">
                  <c:v>9.86</c:v>
                </c:pt>
                <c:pt idx="3" formatCode="#,##0.00">
                  <c:v>2.52</c:v>
                </c:pt>
                <c:pt idx="4" formatCode="#,##0.00">
                  <c:v>2.2999999999999998</c:v>
                </c:pt>
                <c:pt idx="5" formatCode="#,##0.00">
                  <c:v>1.73</c:v>
                </c:pt>
                <c:pt idx="6" formatCode="#,##0.00">
                  <c:v>0.56999999999999995</c:v>
                </c:pt>
              </c:numCache>
            </c:numRef>
          </c:val>
          <c:extLst>
            <c:ext xmlns:c15="http://schemas.microsoft.com/office/drawing/2012/chart" uri="{02D57815-91ED-43cb-92C2-25804820EDAC}">
              <c15:datalabelsRange>
                <c15:f>'ALG-EDAD'!$AL$72:$AL$78</c15:f>
                <c15:dlblRangeCache>
                  <c:ptCount val="7"/>
                  <c:pt idx="0">
                    <c:v>10%</c:v>
                  </c:pt>
                  <c:pt idx="1">
                    <c:v>15%</c:v>
                  </c:pt>
                  <c:pt idx="2">
                    <c:v>58%</c:v>
                  </c:pt>
                  <c:pt idx="3">
                    <c:v>8%</c:v>
                  </c:pt>
                  <c:pt idx="4">
                    <c:v>14%</c:v>
                  </c:pt>
                  <c:pt idx="5">
                    <c:v>2%</c:v>
                  </c:pt>
                  <c:pt idx="6">
                    <c:v>100%</c:v>
                  </c:pt>
                </c15:dlblRangeCache>
              </c15:datalabelsRange>
            </c:ext>
            <c:ext xmlns:c16="http://schemas.microsoft.com/office/drawing/2014/chart" uri="{C3380CC4-5D6E-409C-BE32-E72D297353CC}">
              <c16:uniqueId val="{00000008-059C-46D7-85AD-FFF3496DAB75}"/>
            </c:ext>
          </c:extLst>
        </c:ser>
        <c:dLbls>
          <c:showLegendKey val="0"/>
          <c:showVal val="0"/>
          <c:showCatName val="0"/>
          <c:showSerName val="0"/>
          <c:showPercent val="0"/>
          <c:showBubbleSize val="0"/>
        </c:dLbls>
        <c:gapWidth val="150"/>
        <c:overlap val="-40"/>
        <c:axId val="150024752"/>
        <c:axId val="150025296"/>
      </c:barChart>
      <c:catAx>
        <c:axId val="150024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50025296"/>
        <c:crosses val="autoZero"/>
        <c:auto val="1"/>
        <c:lblAlgn val="ctr"/>
        <c:lblOffset val="100"/>
        <c:noMultiLvlLbl val="0"/>
      </c:catAx>
      <c:valAx>
        <c:axId val="150025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0024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Secano</a:t>
            </a:r>
            <a:r>
              <a:rPr lang="es-ES" b="1" baseline="0">
                <a:solidFill>
                  <a:sysClr val="windowText" lastClr="000000"/>
                </a:solidFill>
              </a:rPr>
              <a:t> Convencional vs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'ALG-EDAD'!$C$121:$X$121</c:f>
              <c:numCache>
                <c:formatCode>#,##0</c:formatCode>
                <c:ptCount val="22"/>
                <c:pt idx="0">
                  <c:v>275.36</c:v>
                </c:pt>
                <c:pt idx="1">
                  <c:v>22.87</c:v>
                </c:pt>
                <c:pt idx="2">
                  <c:v>29.5</c:v>
                </c:pt>
                <c:pt idx="3">
                  <c:v>48.86</c:v>
                </c:pt>
                <c:pt idx="4">
                  <c:v>52.750000000000007</c:v>
                </c:pt>
                <c:pt idx="5">
                  <c:v>63.910000000000004</c:v>
                </c:pt>
                <c:pt idx="6">
                  <c:v>21.889999999999997</c:v>
                </c:pt>
                <c:pt idx="7">
                  <c:v>42.03</c:v>
                </c:pt>
                <c:pt idx="8">
                  <c:v>32.93</c:v>
                </c:pt>
                <c:pt idx="9">
                  <c:v>58.740000000000009</c:v>
                </c:pt>
                <c:pt idx="10">
                  <c:v>72.78</c:v>
                </c:pt>
                <c:pt idx="11">
                  <c:v>17.470000000000002</c:v>
                </c:pt>
                <c:pt idx="12">
                  <c:v>33.14</c:v>
                </c:pt>
                <c:pt idx="13">
                  <c:v>9.4299999999999979</c:v>
                </c:pt>
                <c:pt idx="14">
                  <c:v>35.199999999999996</c:v>
                </c:pt>
                <c:pt idx="15">
                  <c:v>41.19</c:v>
                </c:pt>
                <c:pt idx="16">
                  <c:v>30.889999999999997</c:v>
                </c:pt>
                <c:pt idx="17">
                  <c:v>14.24</c:v>
                </c:pt>
                <c:pt idx="18">
                  <c:v>52.309999999999988</c:v>
                </c:pt>
                <c:pt idx="19">
                  <c:v>75.969999999999985</c:v>
                </c:pt>
                <c:pt idx="20">
                  <c:v>129.6</c:v>
                </c:pt>
                <c:pt idx="21">
                  <c:v>136.78</c:v>
                </c:pt>
              </c:numCache>
            </c:numRef>
          </c:val>
          <c:extLst>
            <c:ext xmlns:c16="http://schemas.microsoft.com/office/drawing/2014/chart" uri="{C3380CC4-5D6E-409C-BE32-E72D297353CC}">
              <c16:uniqueId val="{00000004-F53C-4F23-9896-86AAFAD7A2D3}"/>
            </c:ext>
          </c:extLst>
        </c:ser>
        <c:ser>
          <c:idx val="0"/>
          <c:order val="1"/>
          <c:tx>
            <c:v>Ecológico</c:v>
          </c:tx>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'ALG-EDAD'!$C$206:$X$206</c:f>
              <c:numCache>
                <c:formatCode>#,##0</c:formatCode>
                <c:ptCount val="22"/>
                <c:pt idx="0">
                  <c:v>67.830000000000013</c:v>
                </c:pt>
                <c:pt idx="1">
                  <c:v>3.7199999999999998</c:v>
                </c:pt>
                <c:pt idx="2">
                  <c:v>3.2199999999999998</c:v>
                </c:pt>
                <c:pt idx="3">
                  <c:v>0</c:v>
                </c:pt>
                <c:pt idx="4">
                  <c:v>39.81</c:v>
                </c:pt>
                <c:pt idx="5">
                  <c:v>1.51</c:v>
                </c:pt>
                <c:pt idx="6">
                  <c:v>48.129999999999995</c:v>
                </c:pt>
                <c:pt idx="7">
                  <c:v>14.950000000000001</c:v>
                </c:pt>
                <c:pt idx="8">
                  <c:v>1.33</c:v>
                </c:pt>
                <c:pt idx="9">
                  <c:v>4.18</c:v>
                </c:pt>
                <c:pt idx="10">
                  <c:v>2.3000000000000003</c:v>
                </c:pt>
                <c:pt idx="11">
                  <c:v>6.09</c:v>
                </c:pt>
                <c:pt idx="12">
                  <c:v>9.59</c:v>
                </c:pt>
                <c:pt idx="13">
                  <c:v>0.8899999999999999</c:v>
                </c:pt>
                <c:pt idx="14">
                  <c:v>9.89</c:v>
                </c:pt>
                <c:pt idx="15">
                  <c:v>48.959999999999994</c:v>
                </c:pt>
                <c:pt idx="16">
                  <c:v>11.709999999999999</c:v>
                </c:pt>
                <c:pt idx="17">
                  <c:v>8.7099999999999991</c:v>
                </c:pt>
                <c:pt idx="18">
                  <c:v>21.1</c:v>
                </c:pt>
                <c:pt idx="19">
                  <c:v>8.2999999999999989</c:v>
                </c:pt>
                <c:pt idx="20">
                  <c:v>17.38</c:v>
                </c:pt>
                <c:pt idx="21">
                  <c:v>19.399999999999999</c:v>
                </c:pt>
              </c:numCache>
            </c:numRef>
          </c:val>
          <c:extLst>
            <c:ext xmlns:c16="http://schemas.microsoft.com/office/drawing/2014/chart" uri="{C3380CC4-5D6E-409C-BE32-E72D297353CC}">
              <c16:uniqueId val="{00000003-F53C-4F23-9896-86AAFAD7A2D3}"/>
            </c:ext>
          </c:extLst>
        </c:ser>
        <c:dLbls>
          <c:showLegendKey val="0"/>
          <c:showVal val="0"/>
          <c:showCatName val="0"/>
          <c:showSerName val="0"/>
          <c:showPercent val="0"/>
          <c:showBubbleSize val="0"/>
        </c:dLbls>
        <c:gapWidth val="219"/>
        <c:overlap val="-27"/>
        <c:axId val="146906016"/>
        <c:axId val="146895680"/>
      </c:barChart>
      <c:catAx>
        <c:axId val="1469060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95680"/>
        <c:crosses val="autoZero"/>
        <c:auto val="1"/>
        <c:lblAlgn val="ctr"/>
        <c:lblOffset val="100"/>
        <c:noMultiLvlLbl val="0"/>
      </c:catAx>
      <c:valAx>
        <c:axId val="14689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906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u="sng">
                <a:solidFill>
                  <a:sysClr val="windowText" lastClr="000000"/>
                </a:solidFill>
              </a:rPr>
              <a:t>PISTACHO</a:t>
            </a:r>
            <a:r>
              <a:rPr lang="en-US" b="1" u="sng" baseline="0">
                <a:solidFill>
                  <a:sysClr val="windowText" lastClr="000000"/>
                </a:solidFill>
              </a:rPr>
              <a:t> SECANO</a:t>
            </a:r>
            <a:endParaRPr lang="en-US" b="1" u="sng">
              <a:solidFill>
                <a:sysClr val="windowText" lastClr="000000"/>
              </a:solidFill>
            </a:endParaRPr>
          </a:p>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RSU REGEPA 2021</a:t>
            </a:r>
            <a:r>
              <a:rPr lang="en-US" baseline="0">
                <a:solidFill>
                  <a:sysClr val="windowText" lastClr="000000"/>
                </a:solidFill>
              </a:rPr>
              <a:t> </a:t>
            </a:r>
            <a:r>
              <a:rPr lang="en-US">
                <a:solidFill>
                  <a:sysClr val="windowText" lastClr="000000"/>
                </a:solidFill>
              </a:rPr>
              <a:t>vs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7908821638259073"/>
          <c:y val="0.14393518518518519"/>
          <c:w val="0.77128672168990919"/>
          <c:h val="0.61488407699037617"/>
        </c:manualLayout>
      </c:layout>
      <c:barChart>
        <c:barDir val="bar"/>
        <c:grouping val="clustered"/>
        <c:varyColors val="0"/>
        <c:ser>
          <c:idx val="0"/>
          <c:order val="0"/>
          <c:tx>
            <c:strRef>
              <c:f>'PIS-REPR'!$R$11</c:f>
              <c:strCache>
                <c:ptCount val="1"/>
                <c:pt idx="0">
                  <c:v>RSU REGEPA 2020</c:v>
                </c:pt>
              </c:strCache>
            </c:strRef>
          </c:tx>
          <c:spPr>
            <a:solidFill>
              <a:schemeClr val="accent2">
                <a:shade val="76000"/>
              </a:schemeClr>
            </a:solidFill>
            <a:ln>
              <a:noFill/>
            </a:ln>
            <a:effectLst/>
          </c:spPr>
          <c:invertIfNegative val="0"/>
          <c:cat>
            <c:strRef>
              <c:f>'PIS-REPR'!$Q$12:$Q$16</c:f>
              <c:strCache>
                <c:ptCount val="5"/>
                <c:pt idx="0">
                  <c:v>C.-LA MANCHA</c:v>
                </c:pt>
                <c:pt idx="1">
                  <c:v>ANDALUCÍA</c:v>
                </c:pt>
                <c:pt idx="2">
                  <c:v>C. Y LEÓN</c:v>
                </c:pt>
                <c:pt idx="3">
                  <c:v>EXTREMADURA</c:v>
                </c:pt>
                <c:pt idx="4">
                  <c:v>ARAGÓN</c:v>
                </c:pt>
              </c:strCache>
            </c:strRef>
          </c:cat>
          <c:val>
            <c:numRef>
              <c:f>'PIS-REPR'!$R$12:$R$16</c:f>
              <c:numCache>
                <c:formatCode>#,##0</c:formatCode>
                <c:ptCount val="5"/>
                <c:pt idx="0">
                  <c:v>29250.860000000008</c:v>
                </c:pt>
                <c:pt idx="1">
                  <c:v>2889.32</c:v>
                </c:pt>
                <c:pt idx="2">
                  <c:v>1761.6699999999996</c:v>
                </c:pt>
                <c:pt idx="3">
                  <c:v>1140.9099999999999</c:v>
                </c:pt>
                <c:pt idx="4">
                  <c:v>383.07000000000005</c:v>
                </c:pt>
              </c:numCache>
            </c:numRef>
          </c:val>
          <c:extLst>
            <c:ext xmlns:c16="http://schemas.microsoft.com/office/drawing/2014/chart" uri="{C3380CC4-5D6E-409C-BE32-E72D297353CC}">
              <c16:uniqueId val="{00000000-75C6-42A5-AC45-0F6B23C22A22}"/>
            </c:ext>
          </c:extLst>
        </c:ser>
        <c:ser>
          <c:idx val="1"/>
          <c:order val="1"/>
          <c:tx>
            <c:strRef>
              <c:f>'PIS-REPR'!$S$11</c:f>
              <c:strCache>
                <c:ptCount val="1"/>
                <c:pt idx="0">
                  <c:v>RSU REGEPA 2021</c:v>
                </c:pt>
              </c:strCache>
            </c:strRef>
          </c:tx>
          <c:spPr>
            <a:solidFill>
              <a:schemeClr val="accent2">
                <a:tint val="77000"/>
              </a:schemeClr>
            </a:solidFill>
            <a:ln>
              <a:noFill/>
            </a:ln>
            <a:effectLst/>
          </c:spPr>
          <c:invertIfNegative val="0"/>
          <c:dLbls>
            <c:dLbl>
              <c:idx val="0"/>
              <c:tx>
                <c:rich>
                  <a:bodyPr/>
                  <a:lstStyle/>
                  <a:p>
                    <a:fld id="{F8AC8B4E-A54C-4DF6-AA9E-8E21B630769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EC1-4266-8901-21B95761F679}"/>
                </c:ext>
              </c:extLst>
            </c:dLbl>
            <c:dLbl>
              <c:idx val="1"/>
              <c:tx>
                <c:rich>
                  <a:bodyPr/>
                  <a:lstStyle/>
                  <a:p>
                    <a:fld id="{2CAAC06E-DBAA-4F66-AC77-BB9C5983579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EC1-4266-8901-21B95761F679}"/>
                </c:ext>
              </c:extLst>
            </c:dLbl>
            <c:dLbl>
              <c:idx val="2"/>
              <c:tx>
                <c:rich>
                  <a:bodyPr/>
                  <a:lstStyle/>
                  <a:p>
                    <a:fld id="{6FBC6599-4946-4309-AEF1-6B1D8EEE1DC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EC1-4266-8901-21B95761F679}"/>
                </c:ext>
              </c:extLst>
            </c:dLbl>
            <c:dLbl>
              <c:idx val="3"/>
              <c:tx>
                <c:rich>
                  <a:bodyPr/>
                  <a:lstStyle/>
                  <a:p>
                    <a:fld id="{30CB9256-C9C5-4FC6-B044-085FBF1321B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EC1-4266-8901-21B95761F679}"/>
                </c:ext>
              </c:extLst>
            </c:dLbl>
            <c:dLbl>
              <c:idx val="4"/>
              <c:tx>
                <c:rich>
                  <a:bodyPr/>
                  <a:lstStyle/>
                  <a:p>
                    <a:fld id="{DED620F8-69AC-4AF3-8682-61EB20A40DB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EC1-4266-8901-21B95761F67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'PIS-REPR'!$Q$12:$Q$16</c:f>
              <c:strCache>
                <c:ptCount val="5"/>
                <c:pt idx="0">
                  <c:v>C.-LA MANCHA</c:v>
                </c:pt>
                <c:pt idx="1">
                  <c:v>ANDALUCÍA</c:v>
                </c:pt>
                <c:pt idx="2">
                  <c:v>C. Y LEÓN</c:v>
                </c:pt>
                <c:pt idx="3">
                  <c:v>EXTREMADURA</c:v>
                </c:pt>
                <c:pt idx="4">
                  <c:v>ARAGÓN</c:v>
                </c:pt>
              </c:strCache>
            </c:strRef>
          </c:cat>
          <c:val>
            <c:numRef>
              <c:f>'PIS-REPR'!$S$12:$S$16</c:f>
              <c:numCache>
                <c:formatCode>#,##0</c:formatCode>
                <c:ptCount val="5"/>
                <c:pt idx="0">
                  <c:v>34604.449999999997</c:v>
                </c:pt>
                <c:pt idx="1">
                  <c:v>4141.8799999999974</c:v>
                </c:pt>
                <c:pt idx="2">
                  <c:v>1955.57</c:v>
                </c:pt>
                <c:pt idx="3">
                  <c:v>1435.12</c:v>
                </c:pt>
                <c:pt idx="4">
                  <c:v>440.16</c:v>
                </c:pt>
              </c:numCache>
            </c:numRef>
          </c:val>
          <c:extLst>
            <c:ext xmlns:c15="http://schemas.microsoft.com/office/drawing/2012/chart" uri="{02D57815-91ED-43cb-92C2-25804820EDAC}">
              <c15:datalabelsRange>
                <c15:f>'PIS-REPR'!$T$12:$T$16</c15:f>
                <c15:dlblRangeCache>
                  <c:ptCount val="5"/>
                  <c:pt idx="0">
                    <c:v>18%</c:v>
                  </c:pt>
                  <c:pt idx="1">
                    <c:v>43%</c:v>
                  </c:pt>
                  <c:pt idx="2">
                    <c:v>11%</c:v>
                  </c:pt>
                  <c:pt idx="3">
                    <c:v>26%</c:v>
                  </c:pt>
                  <c:pt idx="4">
                    <c:v>15%</c:v>
                  </c:pt>
                </c15:dlblRangeCache>
              </c15:datalabelsRange>
            </c:ext>
            <c:ext xmlns:c16="http://schemas.microsoft.com/office/drawing/2014/chart" uri="{C3380CC4-5D6E-409C-BE32-E72D297353CC}">
              <c16:uniqueId val="{00000001-75C6-42A5-AC45-0F6B23C22A22}"/>
            </c:ext>
          </c:extLst>
        </c:ser>
        <c:dLbls>
          <c:showLegendKey val="0"/>
          <c:showVal val="0"/>
          <c:showCatName val="0"/>
          <c:showSerName val="0"/>
          <c:showPercent val="0"/>
          <c:showBubbleSize val="0"/>
        </c:dLbls>
        <c:gapWidth val="150"/>
        <c:axId val="97590240"/>
        <c:axId val="97589152"/>
      </c:barChart>
      <c:catAx>
        <c:axId val="975902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9152"/>
        <c:crosses val="autoZero"/>
        <c:auto val="1"/>
        <c:lblAlgn val="ctr"/>
        <c:lblOffset val="100"/>
        <c:noMultiLvlLbl val="0"/>
      </c:catAx>
      <c:valAx>
        <c:axId val="97589152"/>
        <c:scaling>
          <c:orientation val="minMax"/>
          <c:max val="3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a:t>
                </a:r>
                <a:r>
                  <a:rPr lang="es-ES" b="1" baseline="0">
                    <a:solidFill>
                      <a:schemeClr val="tx1"/>
                    </a:solidFill>
                  </a:rPr>
                  <a:t> (h</a:t>
                </a:r>
                <a:r>
                  <a:rPr lang="es-ES" b="1">
                    <a:solidFill>
                      <a:schemeClr val="tx1"/>
                    </a:solidFill>
                  </a:rPr>
                  <a:t>a)</a:t>
                </a:r>
              </a:p>
            </c:rich>
          </c:tx>
          <c:layout>
            <c:manualLayout>
              <c:xMode val="edge"/>
              <c:yMode val="edge"/>
              <c:x val="0.47850657222064097"/>
              <c:y val="0.8430705016039661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7590240"/>
        <c:crosses val="autoZero"/>
        <c:crossBetween val="between"/>
      </c:valAx>
      <c:spPr>
        <a:noFill/>
        <a:ln>
          <a:noFill/>
        </a:ln>
        <a:effectLst/>
      </c:spPr>
    </c:plotArea>
    <c:legend>
      <c:legendPos val="b"/>
      <c:layout>
        <c:manualLayout>
          <c:xMode val="edge"/>
          <c:yMode val="edge"/>
          <c:x val="0.21436696918909232"/>
          <c:y val="0.91346420239136761"/>
          <c:w val="0.55673287414415662"/>
          <c:h val="8.653579760863226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Algarrobo Regadío Convencional vs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'ALG-EDAD'!$C$162:$X$162</c:f>
              <c:numCache>
                <c:formatCode>#,##0</c:formatCode>
                <c:ptCount val="22"/>
                <c:pt idx="0">
                  <c:v>25.759999999999994</c:v>
                </c:pt>
                <c:pt idx="1">
                  <c:v>3.31</c:v>
                </c:pt>
                <c:pt idx="2">
                  <c:v>10.209999999999999</c:v>
                </c:pt>
                <c:pt idx="3">
                  <c:v>0.77</c:v>
                </c:pt>
                <c:pt idx="4">
                  <c:v>6.31</c:v>
                </c:pt>
                <c:pt idx="5">
                  <c:v>7.3699999999999992</c:v>
                </c:pt>
                <c:pt idx="6">
                  <c:v>7.64</c:v>
                </c:pt>
                <c:pt idx="7">
                  <c:v>4.55</c:v>
                </c:pt>
                <c:pt idx="8">
                  <c:v>7.03</c:v>
                </c:pt>
                <c:pt idx="9">
                  <c:v>5.5200000000000005</c:v>
                </c:pt>
                <c:pt idx="10">
                  <c:v>6.8199999999999994</c:v>
                </c:pt>
                <c:pt idx="11">
                  <c:v>3.39</c:v>
                </c:pt>
                <c:pt idx="12">
                  <c:v>5.22</c:v>
                </c:pt>
                <c:pt idx="13">
                  <c:v>2.3299999999999996</c:v>
                </c:pt>
                <c:pt idx="14">
                  <c:v>4.5599999999999996</c:v>
                </c:pt>
                <c:pt idx="15">
                  <c:v>22.880000000000003</c:v>
                </c:pt>
                <c:pt idx="16">
                  <c:v>3.2099999999999995</c:v>
                </c:pt>
                <c:pt idx="17">
                  <c:v>1.77</c:v>
                </c:pt>
                <c:pt idx="18">
                  <c:v>1.69</c:v>
                </c:pt>
                <c:pt idx="19">
                  <c:v>12.989999999999998</c:v>
                </c:pt>
                <c:pt idx="20">
                  <c:v>31.410000000000004</c:v>
                </c:pt>
                <c:pt idx="21">
                  <c:v>27.380000000000003</c:v>
                </c:pt>
              </c:numCache>
            </c:numRef>
          </c:val>
          <c:extLst>
            <c:ext xmlns:c16="http://schemas.microsoft.com/office/drawing/2014/chart" uri="{C3380CC4-5D6E-409C-BE32-E72D297353CC}">
              <c16:uniqueId val="{00000004-0471-466B-A771-04FF41B120D8}"/>
            </c:ext>
          </c:extLst>
        </c:ser>
        <c:ser>
          <c:idx val="0"/>
          <c:order val="1"/>
          <c:tx>
            <c:v>Ecológico</c:v>
          </c:tx>
          <c:spPr>
            <a:solidFill>
              <a:srgbClr val="00FFCC"/>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'ALG-EDAD'!$C$246:$X$246</c:f>
              <c:numCache>
                <c:formatCode>#,##0</c:formatCode>
                <c:ptCount val="22"/>
                <c:pt idx="0">
                  <c:v>94.99</c:v>
                </c:pt>
                <c:pt idx="1">
                  <c:v>0.05</c:v>
                </c:pt>
                <c:pt idx="2">
                  <c:v>1.63</c:v>
                </c:pt>
                <c:pt idx="3">
                  <c:v>0</c:v>
                </c:pt>
                <c:pt idx="4">
                  <c:v>0.12</c:v>
                </c:pt>
                <c:pt idx="5">
                  <c:v>0</c:v>
                </c:pt>
                <c:pt idx="6">
                  <c:v>0</c:v>
                </c:pt>
                <c:pt idx="7">
                  <c:v>0</c:v>
                </c:pt>
                <c:pt idx="8">
                  <c:v>0</c:v>
                </c:pt>
                <c:pt idx="9">
                  <c:v>0</c:v>
                </c:pt>
                <c:pt idx="10">
                  <c:v>0.14000000000000001</c:v>
                </c:pt>
                <c:pt idx="11">
                  <c:v>0</c:v>
                </c:pt>
                <c:pt idx="12">
                  <c:v>0</c:v>
                </c:pt>
                <c:pt idx="13">
                  <c:v>0</c:v>
                </c:pt>
                <c:pt idx="14">
                  <c:v>0</c:v>
                </c:pt>
                <c:pt idx="15">
                  <c:v>0.34</c:v>
                </c:pt>
                <c:pt idx="16">
                  <c:v>0.9</c:v>
                </c:pt>
                <c:pt idx="17">
                  <c:v>0</c:v>
                </c:pt>
                <c:pt idx="18">
                  <c:v>0</c:v>
                </c:pt>
                <c:pt idx="19">
                  <c:v>0.02</c:v>
                </c:pt>
                <c:pt idx="20">
                  <c:v>1.5</c:v>
                </c:pt>
                <c:pt idx="21">
                  <c:v>1.34</c:v>
                </c:pt>
              </c:numCache>
            </c:numRef>
          </c:val>
          <c:extLst>
            <c:ext xmlns:c16="http://schemas.microsoft.com/office/drawing/2014/chart" uri="{C3380CC4-5D6E-409C-BE32-E72D297353CC}">
              <c16:uniqueId val="{00000003-0471-466B-A771-04FF41B120D8}"/>
            </c:ext>
          </c:extLst>
        </c:ser>
        <c:dLbls>
          <c:showLegendKey val="0"/>
          <c:showVal val="0"/>
          <c:showCatName val="0"/>
          <c:showSerName val="0"/>
          <c:showPercent val="0"/>
          <c:showBubbleSize val="0"/>
        </c:dLbls>
        <c:gapWidth val="219"/>
        <c:overlap val="-27"/>
        <c:axId val="146875008"/>
        <c:axId val="146883712"/>
      </c:barChart>
      <c:catAx>
        <c:axId val="146875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83712"/>
        <c:crosses val="autoZero"/>
        <c:auto val="1"/>
        <c:lblAlgn val="ctr"/>
        <c:lblOffset val="100"/>
        <c:noMultiLvlLbl val="0"/>
      </c:catAx>
      <c:valAx>
        <c:axId val="14688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875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NOGAL: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rgbClr val="CB966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'NOG-EDAD'!$C$78:$X$78</c:f>
              <c:numCache>
                <c:formatCode>#,##0</c:formatCode>
                <c:ptCount val="22"/>
                <c:pt idx="0">
                  <c:v>386.80000000000007</c:v>
                </c:pt>
                <c:pt idx="1">
                  <c:v>101.49</c:v>
                </c:pt>
                <c:pt idx="2">
                  <c:v>80.219999999999985</c:v>
                </c:pt>
                <c:pt idx="3">
                  <c:v>51.379999999999995</c:v>
                </c:pt>
                <c:pt idx="4">
                  <c:v>174.07</c:v>
                </c:pt>
                <c:pt idx="5">
                  <c:v>394.98</c:v>
                </c:pt>
                <c:pt idx="6">
                  <c:v>238.70999999999998</c:v>
                </c:pt>
                <c:pt idx="7">
                  <c:v>179.85</c:v>
                </c:pt>
                <c:pt idx="8">
                  <c:v>144.9</c:v>
                </c:pt>
                <c:pt idx="9">
                  <c:v>408.44999999999993</c:v>
                </c:pt>
                <c:pt idx="10">
                  <c:v>233.64000000000001</c:v>
                </c:pt>
                <c:pt idx="11">
                  <c:v>133.80000000000001</c:v>
                </c:pt>
                <c:pt idx="12">
                  <c:v>161.21</c:v>
                </c:pt>
                <c:pt idx="13">
                  <c:v>148.79</c:v>
                </c:pt>
                <c:pt idx="14">
                  <c:v>286.14</c:v>
                </c:pt>
                <c:pt idx="15">
                  <c:v>634.65</c:v>
                </c:pt>
                <c:pt idx="16">
                  <c:v>776.78000000000009</c:v>
                </c:pt>
                <c:pt idx="17">
                  <c:v>666.33999999999992</c:v>
                </c:pt>
                <c:pt idx="18">
                  <c:v>646.75999999999988</c:v>
                </c:pt>
                <c:pt idx="19">
                  <c:v>879.31</c:v>
                </c:pt>
                <c:pt idx="20">
                  <c:v>472.86</c:v>
                </c:pt>
                <c:pt idx="21">
                  <c:v>595.53</c:v>
                </c:pt>
              </c:numCache>
            </c:numRef>
          </c:val>
          <c:extLst>
            <c:ext xmlns:c16="http://schemas.microsoft.com/office/drawing/2014/chart" uri="{C3380CC4-5D6E-409C-BE32-E72D297353CC}">
              <c16:uniqueId val="{00000000-5BE0-4EAB-9FEF-597A703E14E4}"/>
            </c:ext>
          </c:extLst>
        </c:ser>
        <c:dLbls>
          <c:showLegendKey val="0"/>
          <c:showVal val="0"/>
          <c:showCatName val="0"/>
          <c:showSerName val="0"/>
          <c:showPercent val="0"/>
          <c:showBubbleSize val="0"/>
        </c:dLbls>
        <c:gapWidth val="219"/>
        <c:overlap val="-27"/>
        <c:axId val="150024208"/>
        <c:axId val="150031824"/>
      </c:barChart>
      <c:catAx>
        <c:axId val="150024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31824"/>
        <c:crosses val="autoZero"/>
        <c:auto val="1"/>
        <c:lblAlgn val="ctr"/>
        <c:lblOffset val="100"/>
        <c:noMultiLvlLbl val="0"/>
      </c:catAx>
      <c:valAx>
        <c:axId val="150031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4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NOGAL:</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'NOG-EDAD'!$AK$27</c:f>
              <c:strCache>
                <c:ptCount val="1"/>
                <c:pt idx="0">
                  <c:v>Total</c:v>
                </c:pt>
              </c:strCache>
            </c:strRef>
          </c:tx>
          <c:spPr>
            <a:solidFill>
              <a:srgbClr val="CB9661"/>
            </a:solidFill>
            <a:ln>
              <a:solidFill>
                <a:srgbClr val="996633"/>
              </a:solidFill>
            </a:ln>
            <a:effectLst/>
          </c:spPr>
          <c:invertIfNegative val="0"/>
          <c:cat>
            <c:strRef>
              <c:f>'NOG-EDAD'!$AI$28:$AI$37</c:f>
              <c:strCache>
                <c:ptCount val="10"/>
                <c:pt idx="0">
                  <c:v>CÁCERES</c:v>
                </c:pt>
                <c:pt idx="1">
                  <c:v>HUESCA</c:v>
                </c:pt>
                <c:pt idx="2">
                  <c:v>BADAJOZ</c:v>
                </c:pt>
                <c:pt idx="3">
                  <c:v>ALBACETE</c:v>
                </c:pt>
                <c:pt idx="4">
                  <c:v>ZARAGOZA</c:v>
                </c:pt>
                <c:pt idx="5">
                  <c:v>LLEIDA</c:v>
                </c:pt>
                <c:pt idx="6">
                  <c:v>SEVILLA</c:v>
                </c:pt>
                <c:pt idx="7">
                  <c:v>CIUDAD REAL</c:v>
                </c:pt>
                <c:pt idx="8">
                  <c:v>GRANADA</c:v>
                </c:pt>
                <c:pt idx="9">
                  <c:v>TOLEDO</c:v>
                </c:pt>
              </c:strCache>
            </c:strRef>
          </c:cat>
          <c:val>
            <c:numRef>
              <c:f>'NOG-EDAD'!$AK$28:$AK$37</c:f>
              <c:numCache>
                <c:formatCode>#,##0</c:formatCode>
                <c:ptCount val="10"/>
                <c:pt idx="0">
                  <c:v>1465.69</c:v>
                </c:pt>
                <c:pt idx="1">
                  <c:v>798.89</c:v>
                </c:pt>
                <c:pt idx="2">
                  <c:v>1013.9499999999999</c:v>
                </c:pt>
                <c:pt idx="3">
                  <c:v>983.81999999999994</c:v>
                </c:pt>
                <c:pt idx="4">
                  <c:v>328.97999999999996</c:v>
                </c:pt>
                <c:pt idx="5">
                  <c:v>566.77999999999986</c:v>
                </c:pt>
                <c:pt idx="6">
                  <c:v>163.01</c:v>
                </c:pt>
                <c:pt idx="7">
                  <c:v>262.94</c:v>
                </c:pt>
                <c:pt idx="8">
                  <c:v>396.09000000000003</c:v>
                </c:pt>
                <c:pt idx="9">
                  <c:v>347.12</c:v>
                </c:pt>
              </c:numCache>
            </c:numRef>
          </c:val>
          <c:extLst>
            <c:ext xmlns:c16="http://schemas.microsoft.com/office/drawing/2014/chart" uri="{C3380CC4-5D6E-409C-BE32-E72D297353CC}">
              <c16:uniqueId val="{00000000-64A9-4D01-90E3-1E11B7E2142D}"/>
            </c:ext>
          </c:extLst>
        </c:ser>
        <c:ser>
          <c:idx val="0"/>
          <c:order val="1"/>
          <c:tx>
            <c:strRef>
              <c:f>'NOG-EDAD'!$AJ$27</c:f>
              <c:strCache>
                <c:ptCount val="1"/>
                <c:pt idx="0">
                  <c:v>Plantaciones jóvenes</c:v>
                </c:pt>
              </c:strCache>
            </c:strRef>
          </c:tx>
          <c:spPr>
            <a:solidFill>
              <a:srgbClr val="996633"/>
            </a:solidFill>
            <a:ln>
              <a:solidFill>
                <a:srgbClr val="663300"/>
              </a:solidFill>
            </a:ln>
            <a:effectLst/>
          </c:spPr>
          <c:invertIfNegative val="0"/>
          <c:dLbls>
            <c:dLbl>
              <c:idx val="0"/>
              <c:tx>
                <c:rich>
                  <a:bodyPr/>
                  <a:lstStyle/>
                  <a:p>
                    <a:fld id="{E06F89D4-74DB-4AFD-A909-D5E1D743069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A9-4D01-90E3-1E11B7E2142D}"/>
                </c:ext>
              </c:extLst>
            </c:dLbl>
            <c:dLbl>
              <c:idx val="1"/>
              <c:tx>
                <c:rich>
                  <a:bodyPr/>
                  <a:lstStyle/>
                  <a:p>
                    <a:fld id="{1ED16670-EB1D-4A03-8FFA-82E2BC5E49A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A9-4D01-90E3-1E11B7E2142D}"/>
                </c:ext>
              </c:extLst>
            </c:dLbl>
            <c:dLbl>
              <c:idx val="2"/>
              <c:tx>
                <c:rich>
                  <a:bodyPr/>
                  <a:lstStyle/>
                  <a:p>
                    <a:fld id="{8A9E997B-3281-4B46-8678-F54F77205A3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A9-4D01-90E3-1E11B7E2142D}"/>
                </c:ext>
              </c:extLst>
            </c:dLbl>
            <c:dLbl>
              <c:idx val="3"/>
              <c:tx>
                <c:rich>
                  <a:bodyPr/>
                  <a:lstStyle/>
                  <a:p>
                    <a:fld id="{6DFB5F29-9BD3-4F9D-B336-99AEF5FD43A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A9-4D01-90E3-1E11B7E2142D}"/>
                </c:ext>
              </c:extLst>
            </c:dLbl>
            <c:dLbl>
              <c:idx val="4"/>
              <c:tx>
                <c:rich>
                  <a:bodyPr/>
                  <a:lstStyle/>
                  <a:p>
                    <a:fld id="{ED03B77A-D466-4E8E-B7E2-9D67BCC0DEC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A9-4D01-90E3-1E11B7E2142D}"/>
                </c:ext>
              </c:extLst>
            </c:dLbl>
            <c:dLbl>
              <c:idx val="5"/>
              <c:tx>
                <c:rich>
                  <a:bodyPr/>
                  <a:lstStyle/>
                  <a:p>
                    <a:fld id="{D5AFC73D-F25A-40E1-B3AC-BB7CEBB1B20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A9-4D01-90E3-1E11B7E2142D}"/>
                </c:ext>
              </c:extLst>
            </c:dLbl>
            <c:dLbl>
              <c:idx val="6"/>
              <c:tx>
                <c:rich>
                  <a:bodyPr/>
                  <a:lstStyle/>
                  <a:p>
                    <a:fld id="{51C74017-E1CA-494B-B83E-4C004D36855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A9-4D01-90E3-1E11B7E2142D}"/>
                </c:ext>
              </c:extLst>
            </c:dLbl>
            <c:dLbl>
              <c:idx val="7"/>
              <c:tx>
                <c:rich>
                  <a:bodyPr/>
                  <a:lstStyle/>
                  <a:p>
                    <a:fld id="{45691B6A-6F76-4409-91D7-27778C24B93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A9-4D01-90E3-1E11B7E2142D}"/>
                </c:ext>
              </c:extLst>
            </c:dLbl>
            <c:dLbl>
              <c:idx val="8"/>
              <c:tx>
                <c:rich>
                  <a:bodyPr/>
                  <a:lstStyle/>
                  <a:p>
                    <a:fld id="{BA04330D-3159-4821-A0CB-517CFEF7EEA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A9-4D01-90E3-1E11B7E2142D}"/>
                </c:ext>
              </c:extLst>
            </c:dLbl>
            <c:dLbl>
              <c:idx val="9"/>
              <c:tx>
                <c:rich>
                  <a:bodyPr/>
                  <a:lstStyle/>
                  <a:p>
                    <a:fld id="{554B80CB-784D-4B6B-BE73-C6FBBB1BAFD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A9-4D01-90E3-1E11B7E214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'NOG-EDAD'!$AI$28:$AI$37</c:f>
              <c:strCache>
                <c:ptCount val="10"/>
                <c:pt idx="0">
                  <c:v>CÁCERES</c:v>
                </c:pt>
                <c:pt idx="1">
                  <c:v>HUESCA</c:v>
                </c:pt>
                <c:pt idx="2">
                  <c:v>BADAJOZ</c:v>
                </c:pt>
                <c:pt idx="3">
                  <c:v>ALBACETE</c:v>
                </c:pt>
                <c:pt idx="4">
                  <c:v>ZARAGOZA</c:v>
                </c:pt>
                <c:pt idx="5">
                  <c:v>LLEIDA</c:v>
                </c:pt>
                <c:pt idx="6">
                  <c:v>SEVILLA</c:v>
                </c:pt>
                <c:pt idx="7">
                  <c:v>CIUDAD REAL</c:v>
                </c:pt>
                <c:pt idx="8">
                  <c:v>GRANADA</c:v>
                </c:pt>
                <c:pt idx="9">
                  <c:v>TOLEDO</c:v>
                </c:pt>
              </c:strCache>
            </c:strRef>
          </c:cat>
          <c:val>
            <c:numRef>
              <c:f>'NOG-EDAD'!$AJ$28:$AJ$37</c:f>
              <c:numCache>
                <c:formatCode>#,##0</c:formatCode>
                <c:ptCount val="10"/>
                <c:pt idx="0">
                  <c:v>569.88</c:v>
                </c:pt>
                <c:pt idx="1">
                  <c:v>498.45</c:v>
                </c:pt>
                <c:pt idx="2">
                  <c:v>431.26</c:v>
                </c:pt>
                <c:pt idx="3">
                  <c:v>254.94</c:v>
                </c:pt>
                <c:pt idx="4">
                  <c:v>234.16</c:v>
                </c:pt>
                <c:pt idx="5">
                  <c:v>146.01999999999998</c:v>
                </c:pt>
                <c:pt idx="6">
                  <c:v>144.57</c:v>
                </c:pt>
                <c:pt idx="7">
                  <c:v>104.58</c:v>
                </c:pt>
                <c:pt idx="8">
                  <c:v>93.09</c:v>
                </c:pt>
                <c:pt idx="9">
                  <c:v>89.710000000000008</c:v>
                </c:pt>
              </c:numCache>
            </c:numRef>
          </c:val>
          <c:extLst>
            <c:ext xmlns:c15="http://schemas.microsoft.com/office/drawing/2012/chart" uri="{02D57815-91ED-43cb-92C2-25804820EDAC}">
              <c15:datalabelsRange>
                <c15:f>'NOG-EDAD'!$AL$28:$AL$37</c15:f>
                <c15:dlblRangeCache>
                  <c:ptCount val="10"/>
                  <c:pt idx="0">
                    <c:v>39%</c:v>
                  </c:pt>
                  <c:pt idx="1">
                    <c:v>62%</c:v>
                  </c:pt>
                  <c:pt idx="2">
                    <c:v>43%</c:v>
                  </c:pt>
                  <c:pt idx="3">
                    <c:v>26%</c:v>
                  </c:pt>
                  <c:pt idx="4">
                    <c:v>71%</c:v>
                  </c:pt>
                  <c:pt idx="5">
                    <c:v>26%</c:v>
                  </c:pt>
                  <c:pt idx="6">
                    <c:v>89%</c:v>
                  </c:pt>
                  <c:pt idx="7">
                    <c:v>40%</c:v>
                  </c:pt>
                  <c:pt idx="8">
                    <c:v>24%</c:v>
                  </c:pt>
                  <c:pt idx="9">
                    <c:v>26%</c:v>
                  </c:pt>
                </c15:dlblRangeCache>
              </c15:datalabelsRange>
            </c:ext>
            <c:ext xmlns:c16="http://schemas.microsoft.com/office/drawing/2014/chart" uri="{C3380CC4-5D6E-409C-BE32-E72D297353CC}">
              <c16:uniqueId val="{0000000B-64A9-4D01-90E3-1E11B7E2142D}"/>
            </c:ext>
          </c:extLst>
        </c:ser>
        <c:dLbls>
          <c:showLegendKey val="0"/>
          <c:showVal val="0"/>
          <c:showCatName val="0"/>
          <c:showSerName val="0"/>
          <c:showPercent val="0"/>
          <c:showBubbleSize val="0"/>
        </c:dLbls>
        <c:gapWidth val="150"/>
        <c:overlap val="-40"/>
        <c:axId val="150019856"/>
        <c:axId val="150026928"/>
      </c:barChart>
      <c:catAx>
        <c:axId val="150019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50026928"/>
        <c:crosses val="autoZero"/>
        <c:auto val="1"/>
        <c:lblAlgn val="ctr"/>
        <c:lblOffset val="100"/>
        <c:noMultiLvlLbl val="0"/>
      </c:catAx>
      <c:valAx>
        <c:axId val="1500269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0019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NOGAL: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'NOG-EDAD'!$AP$25</c:f>
              <c:strCache>
                <c:ptCount val="1"/>
                <c:pt idx="0">
                  <c:v>Plantaciones jóvenes</c:v>
                </c:pt>
              </c:strCache>
            </c:strRef>
          </c:tx>
          <c:spPr>
            <a:solidFill>
              <a:srgbClr val="996633"/>
            </a:solidFill>
            <a:ln>
              <a:solidFill>
                <a:srgbClr val="663300"/>
              </a:solidFill>
            </a:ln>
            <a:effectLst/>
          </c:spPr>
          <c:invertIfNegative val="0"/>
          <c:dLbls>
            <c:dLbl>
              <c:idx val="0"/>
              <c:tx>
                <c:rich>
                  <a:bodyPr/>
                  <a:lstStyle/>
                  <a:p>
                    <a:fld id="{84744D80-44BA-4DA4-974D-C33F5D1B2953}"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84C-4BC5-B0E9-54AE51A73197}"/>
                </c:ext>
              </c:extLst>
            </c:dLbl>
            <c:dLbl>
              <c:idx val="1"/>
              <c:tx>
                <c:rich>
                  <a:bodyPr/>
                  <a:lstStyle/>
                  <a:p>
                    <a:fld id="{9A9948C1-8F93-4464-8989-3E50D2BBDE2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84C-4BC5-B0E9-54AE51A73197}"/>
                </c:ext>
              </c:extLst>
            </c:dLbl>
            <c:dLbl>
              <c:idx val="2"/>
              <c:tx>
                <c:rich>
                  <a:bodyPr/>
                  <a:lstStyle/>
                  <a:p>
                    <a:fld id="{66639A2E-704F-4512-9D1A-69A2DBBA2BF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84C-4BC5-B0E9-54AE51A73197}"/>
                </c:ext>
              </c:extLst>
            </c:dLbl>
            <c:dLbl>
              <c:idx val="3"/>
              <c:tx>
                <c:rich>
                  <a:bodyPr/>
                  <a:lstStyle/>
                  <a:p>
                    <a:fld id="{8AB83BED-0917-4D83-AA00-7077D23D973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84C-4BC5-B0E9-54AE51A73197}"/>
                </c:ext>
              </c:extLst>
            </c:dLbl>
            <c:dLbl>
              <c:idx val="4"/>
              <c:tx>
                <c:rich>
                  <a:bodyPr/>
                  <a:lstStyle/>
                  <a:p>
                    <a:fld id="{AE196F8D-5B07-4E53-BF12-5B128A3CFB3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4C-4BC5-B0E9-54AE51A73197}"/>
                </c:ext>
              </c:extLst>
            </c:dLbl>
            <c:dLbl>
              <c:idx val="5"/>
              <c:tx>
                <c:rich>
                  <a:bodyPr/>
                  <a:lstStyle/>
                  <a:p>
                    <a:fld id="{064CE3E2-7FAE-4BE5-B2A4-5FD4831EA8A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4C-4BC5-B0E9-54AE51A7319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'NOG-EDAD'!$AO$26:$AO$31</c:f>
              <c:strCache>
                <c:ptCount val="6"/>
                <c:pt idx="0">
                  <c:v>EXTREMADURA</c:v>
                </c:pt>
                <c:pt idx="1">
                  <c:v>ARAGÓN</c:v>
                </c:pt>
                <c:pt idx="2">
                  <c:v>C.-LA MANCHA</c:v>
                </c:pt>
                <c:pt idx="3">
                  <c:v>ANDALUCÍA</c:v>
                </c:pt>
                <c:pt idx="4">
                  <c:v>C. y LEÓN</c:v>
                </c:pt>
                <c:pt idx="5">
                  <c:v>CATALUÑA</c:v>
                </c:pt>
              </c:strCache>
            </c:strRef>
          </c:cat>
          <c:val>
            <c:numRef>
              <c:f>'NOG-EDAD'!$AP$26:$AP$31</c:f>
              <c:numCache>
                <c:formatCode>#,##0</c:formatCode>
                <c:ptCount val="6"/>
                <c:pt idx="0">
                  <c:v>1001.1400000000001</c:v>
                </c:pt>
                <c:pt idx="1">
                  <c:v>764.39999999999986</c:v>
                </c:pt>
                <c:pt idx="2">
                  <c:v>528.56999999999994</c:v>
                </c:pt>
                <c:pt idx="3">
                  <c:v>346.57</c:v>
                </c:pt>
                <c:pt idx="4">
                  <c:v>210.1</c:v>
                </c:pt>
                <c:pt idx="5">
                  <c:v>192.95999999999998</c:v>
                </c:pt>
              </c:numCache>
            </c:numRef>
          </c:val>
          <c:extLst>
            <c:ext xmlns:c15="http://schemas.microsoft.com/office/drawing/2012/chart" uri="{02D57815-91ED-43cb-92C2-25804820EDAC}">
              <c15:datalabelsRange>
                <c15:f>'NOG-EDAD'!$AR$26:$AR$31</c15:f>
                <c15:dlblRangeCache>
                  <c:ptCount val="6"/>
                  <c:pt idx="0">
                    <c:v>40%</c:v>
                  </c:pt>
                  <c:pt idx="1">
                    <c:v>60%</c:v>
                  </c:pt>
                  <c:pt idx="2">
                    <c:v>28%</c:v>
                  </c:pt>
                  <c:pt idx="3">
                    <c:v>33%</c:v>
                  </c:pt>
                  <c:pt idx="4">
                    <c:v>37%</c:v>
                  </c:pt>
                  <c:pt idx="5">
                    <c:v>17%</c:v>
                  </c:pt>
                </c15:dlblRangeCache>
              </c15:datalabelsRange>
            </c:ext>
            <c:ext xmlns:c16="http://schemas.microsoft.com/office/drawing/2014/chart" uri="{C3380CC4-5D6E-409C-BE32-E72D297353CC}">
              <c16:uniqueId val="{00000006-984C-4BC5-B0E9-54AE51A73197}"/>
            </c:ext>
          </c:extLst>
        </c:ser>
        <c:ser>
          <c:idx val="1"/>
          <c:order val="1"/>
          <c:tx>
            <c:strRef>
              <c:f>'NOG-EDAD'!$AQ$25</c:f>
              <c:strCache>
                <c:ptCount val="1"/>
                <c:pt idx="0">
                  <c:v>Total</c:v>
                </c:pt>
              </c:strCache>
            </c:strRef>
          </c:tx>
          <c:spPr>
            <a:solidFill>
              <a:srgbClr val="CB9661"/>
            </a:solidFill>
            <a:ln>
              <a:solidFill>
                <a:srgbClr val="996633"/>
              </a:solidFill>
            </a:ln>
            <a:effectLst/>
          </c:spPr>
          <c:invertIfNegative val="0"/>
          <c:cat>
            <c:strRef>
              <c:f>'NOG-EDAD'!$AO$26:$AO$31</c:f>
              <c:strCache>
                <c:ptCount val="6"/>
                <c:pt idx="0">
                  <c:v>EXTREMADURA</c:v>
                </c:pt>
                <c:pt idx="1">
                  <c:v>ARAGÓN</c:v>
                </c:pt>
                <c:pt idx="2">
                  <c:v>C.-LA MANCHA</c:v>
                </c:pt>
                <c:pt idx="3">
                  <c:v>ANDALUCÍA</c:v>
                </c:pt>
                <c:pt idx="4">
                  <c:v>C. y LEÓN</c:v>
                </c:pt>
                <c:pt idx="5">
                  <c:v>CATALUÑA</c:v>
                </c:pt>
              </c:strCache>
            </c:strRef>
          </c:cat>
          <c:val>
            <c:numRef>
              <c:f>'NOG-EDAD'!$AQ$26:$AQ$31</c:f>
              <c:numCache>
                <c:formatCode>#,##0</c:formatCode>
                <c:ptCount val="6"/>
                <c:pt idx="0">
                  <c:v>2479.6400000000003</c:v>
                </c:pt>
                <c:pt idx="1">
                  <c:v>1280.2299999999998</c:v>
                </c:pt>
                <c:pt idx="2">
                  <c:v>1914.6299999999999</c:v>
                </c:pt>
                <c:pt idx="3">
                  <c:v>1055.6199999999999</c:v>
                </c:pt>
                <c:pt idx="4">
                  <c:v>574.71000000000015</c:v>
                </c:pt>
                <c:pt idx="5">
                  <c:v>1137.2299999999998</c:v>
                </c:pt>
              </c:numCache>
            </c:numRef>
          </c:val>
          <c:extLst>
            <c:ext xmlns:c16="http://schemas.microsoft.com/office/drawing/2014/chart" uri="{C3380CC4-5D6E-409C-BE32-E72D297353CC}">
              <c16:uniqueId val="{00000007-984C-4BC5-B0E9-54AE51A73197}"/>
            </c:ext>
          </c:extLst>
        </c:ser>
        <c:dLbls>
          <c:showLegendKey val="0"/>
          <c:showVal val="0"/>
          <c:showCatName val="0"/>
          <c:showSerName val="0"/>
          <c:showPercent val="0"/>
          <c:showBubbleSize val="0"/>
        </c:dLbls>
        <c:gapWidth val="100"/>
        <c:axId val="150020400"/>
        <c:axId val="150020944"/>
      </c:barChart>
      <c:catAx>
        <c:axId val="150020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0944"/>
        <c:crosses val="autoZero"/>
        <c:auto val="1"/>
        <c:lblAlgn val="ctr"/>
        <c:lblOffset val="100"/>
        <c:noMultiLvlLbl val="0"/>
      </c:catAx>
      <c:valAx>
        <c:axId val="15002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0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aseline="0"/>
              <a:t>NOGAL: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3"/>
            <c:invertIfNegative val="0"/>
            <c:bubble3D val="0"/>
            <c:spPr>
              <a:solidFill>
                <a:srgbClr val="C0504D"/>
              </a:solidFill>
              <a:ln>
                <a:noFill/>
              </a:ln>
              <a:effectLst/>
            </c:spPr>
            <c:extLst>
              <c:ext xmlns:c16="http://schemas.microsoft.com/office/drawing/2014/chart" uri="{C3380CC4-5D6E-409C-BE32-E72D297353CC}">
                <c16:uniqueId val="{00000001-C024-4841-9E61-9A0CCF1091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'NOG-EDAD'!$A$84:$A$101</c15:sqref>
                  </c15:fullRef>
                </c:ext>
              </c:extLst>
              <c:f>('NOG-EDAD'!$A$84:$A$85,'NOG-EDAD'!$A$87:$A$89,'NOG-EDAD'!$A$92:$A$94,'NOG-EDAD'!$A$96:$A$101)</c:f>
              <c:strCache>
                <c:ptCount val="14"/>
                <c:pt idx="0">
                  <c:v>ANDALUCÍA</c:v>
                </c:pt>
                <c:pt idx="1">
                  <c:v>ARAGÓN</c:v>
                </c:pt>
                <c:pt idx="2">
                  <c:v>C. VALENCIANA</c:v>
                </c:pt>
                <c:pt idx="3">
                  <c:v>C. y LEÓN</c:v>
                </c:pt>
                <c:pt idx="4">
                  <c:v>C.-LA MANCHA</c:v>
                </c:pt>
                <c:pt idx="5">
                  <c:v>EXTREMADURA</c:v>
                </c:pt>
                <c:pt idx="6">
                  <c:v>GALICIA</c:v>
                </c:pt>
                <c:pt idx="7">
                  <c:v>I. BALEARES</c:v>
                </c:pt>
                <c:pt idx="8">
                  <c:v>LA RIOJA</c:v>
                </c:pt>
                <c:pt idx="9">
                  <c:v>MADRID</c:v>
                </c:pt>
                <c:pt idx="10">
                  <c:v>MURCIA</c:v>
                </c:pt>
                <c:pt idx="11">
                  <c:v>NAVARRA</c:v>
                </c:pt>
                <c:pt idx="12">
                  <c:v>PAÍS VASCO</c:v>
                </c:pt>
                <c:pt idx="13">
                  <c:v>ESPAÑA</c:v>
                </c:pt>
              </c:strCache>
            </c:strRef>
          </c:cat>
          <c:val>
            <c:numRef>
              <c:extLst>
                <c:ext xmlns:c15="http://schemas.microsoft.com/office/drawing/2012/chart" uri="{02D57815-91ED-43cb-92C2-25804820EDAC}">
                  <c15:fullRef>
                    <c15:sqref>'NOG-EDAD'!$Y$84:$Y$101</c15:sqref>
                  </c15:fullRef>
                </c:ext>
              </c:extLst>
              <c:f>('NOG-EDAD'!$Y$84:$Y$85,'NOG-EDAD'!$Y$87:$Y$89,'NOG-EDAD'!$Y$92:$Y$94,'NOG-EDAD'!$Y$96:$Y$101)</c:f>
              <c:numCache>
                <c:formatCode>0.00%</c:formatCode>
                <c:ptCount val="14"/>
                <c:pt idx="0">
                  <c:v>1.3167617134953863E-3</c:v>
                </c:pt>
                <c:pt idx="1">
                  <c:v>2.3198956437515137E-3</c:v>
                </c:pt>
                <c:pt idx="2">
                  <c:v>3.2699087655085196E-3</c:v>
                </c:pt>
                <c:pt idx="3">
                  <c:v>5.794226653442606E-3</c:v>
                </c:pt>
                <c:pt idx="4">
                  <c:v>2.2667565012561173E-3</c:v>
                </c:pt>
                <c:pt idx="5">
                  <c:v>2.0567501734122698E-4</c:v>
                </c:pt>
                <c:pt idx="6">
                  <c:v>3.2024399542508582E-2</c:v>
                </c:pt>
                <c:pt idx="7">
                  <c:v>1.5630956919557758E-2</c:v>
                </c:pt>
                <c:pt idx="8">
                  <c:v>9.1097534366135699E-3</c:v>
                </c:pt>
                <c:pt idx="9">
                  <c:v>1.5060240963855423E-2</c:v>
                </c:pt>
                <c:pt idx="10">
                  <c:v>2.0894010383690001E-3</c:v>
                </c:pt>
                <c:pt idx="11">
                  <c:v>9.1025046382189247E-3</c:v>
                </c:pt>
                <c:pt idx="12">
                  <c:v>1.7032688265564977E-2</c:v>
                </c:pt>
                <c:pt idx="13">
                  <c:v>3.0691817803677364E-3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50028016"/>
        <c:axId val="150008432"/>
      </c:barChart>
      <c:catAx>
        <c:axId val="150028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8432"/>
        <c:crosses val="autoZero"/>
        <c:auto val="1"/>
        <c:lblAlgn val="ctr"/>
        <c:lblOffset val="100"/>
        <c:noMultiLvlLbl val="0"/>
      </c:catAx>
      <c:valAx>
        <c:axId val="15000843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CASTAÑO: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rgbClr val="CB966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'CAS-EDAD'!$C$50:$X$50</c:f>
              <c:numCache>
                <c:formatCode>#,##0</c:formatCode>
                <c:ptCount val="22"/>
                <c:pt idx="0">
                  <c:v>372.84000000000003</c:v>
                </c:pt>
                <c:pt idx="1">
                  <c:v>21.22</c:v>
                </c:pt>
                <c:pt idx="2">
                  <c:v>24.639999999999997</c:v>
                </c:pt>
                <c:pt idx="3">
                  <c:v>50.230000000000004</c:v>
                </c:pt>
                <c:pt idx="4">
                  <c:v>34.369999999999997</c:v>
                </c:pt>
                <c:pt idx="5">
                  <c:v>94.66</c:v>
                </c:pt>
                <c:pt idx="6">
                  <c:v>39.539999999999992</c:v>
                </c:pt>
                <c:pt idx="7">
                  <c:v>38.400000000000006</c:v>
                </c:pt>
                <c:pt idx="8">
                  <c:v>38.54</c:v>
                </c:pt>
                <c:pt idx="9">
                  <c:v>46.26</c:v>
                </c:pt>
                <c:pt idx="10">
                  <c:v>148.60000000000002</c:v>
                </c:pt>
                <c:pt idx="11">
                  <c:v>24.419999999999998</c:v>
                </c:pt>
                <c:pt idx="12">
                  <c:v>97.12</c:v>
                </c:pt>
                <c:pt idx="13">
                  <c:v>71.009999999999991</c:v>
                </c:pt>
                <c:pt idx="14">
                  <c:v>148.45999999999998</c:v>
                </c:pt>
                <c:pt idx="15">
                  <c:v>182.95999999999998</c:v>
                </c:pt>
                <c:pt idx="16">
                  <c:v>125.16999999999999</c:v>
                </c:pt>
                <c:pt idx="17">
                  <c:v>221.47</c:v>
                </c:pt>
                <c:pt idx="18">
                  <c:v>159.39999999999998</c:v>
                </c:pt>
                <c:pt idx="19">
                  <c:v>98.55</c:v>
                </c:pt>
                <c:pt idx="20">
                  <c:v>111.87999999999998</c:v>
                </c:pt>
                <c:pt idx="21">
                  <c:v>19.91</c:v>
                </c:pt>
              </c:numCache>
            </c:numRef>
          </c:val>
          <c:extLst>
            <c:ext xmlns:c16="http://schemas.microsoft.com/office/drawing/2014/chart" uri="{C3380CC4-5D6E-409C-BE32-E72D297353CC}">
              <c16:uniqueId val="{00000000-ECF3-49BD-8F5F-E80B00FD8665}"/>
            </c:ext>
          </c:extLst>
        </c:ser>
        <c:dLbls>
          <c:showLegendKey val="0"/>
          <c:showVal val="0"/>
          <c:showCatName val="0"/>
          <c:showSerName val="0"/>
          <c:showPercent val="0"/>
          <c:showBubbleSize val="0"/>
        </c:dLbls>
        <c:gapWidth val="219"/>
        <c:overlap val="-27"/>
        <c:axId val="150029648"/>
        <c:axId val="150000272"/>
      </c:barChart>
      <c:catAx>
        <c:axId val="1500296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0272"/>
        <c:crosses val="autoZero"/>
        <c:auto val="1"/>
        <c:lblAlgn val="ctr"/>
        <c:lblOffset val="100"/>
        <c:noMultiLvlLbl val="0"/>
      </c:catAx>
      <c:valAx>
        <c:axId val="150000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9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CASTAÑO: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'CAS-EDAD'!$AO$24</c:f>
              <c:strCache>
                <c:ptCount val="1"/>
                <c:pt idx="0">
                  <c:v>Plantaciones jóvenes</c:v>
                </c:pt>
              </c:strCache>
            </c:strRef>
          </c:tx>
          <c:spPr>
            <a:solidFill>
              <a:srgbClr val="996633"/>
            </a:solidFill>
            <a:ln>
              <a:solidFill>
                <a:srgbClr val="663300"/>
              </a:solidFill>
            </a:ln>
            <a:effectLst/>
          </c:spPr>
          <c:invertIfNegative val="0"/>
          <c:dLbls>
            <c:dLbl>
              <c:idx val="0"/>
              <c:tx>
                <c:rich>
                  <a:bodyPr/>
                  <a:lstStyle/>
                  <a:p>
                    <a:fld id="{AE546BD1-BE9B-4548-8FB7-9B259E6EC82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98A-4211-94DC-2539C8A05DC3}"/>
                </c:ext>
              </c:extLst>
            </c:dLbl>
            <c:dLbl>
              <c:idx val="1"/>
              <c:tx>
                <c:rich>
                  <a:bodyPr/>
                  <a:lstStyle/>
                  <a:p>
                    <a:fld id="{27B5CECC-6B57-438B-8F2A-B0C6C305162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98A-4211-94DC-2539C8A05DC3}"/>
                </c:ext>
              </c:extLst>
            </c:dLbl>
            <c:dLbl>
              <c:idx val="2"/>
              <c:tx>
                <c:rich>
                  <a:bodyPr/>
                  <a:lstStyle/>
                  <a:p>
                    <a:fld id="{3AA08EE6-3156-4796-8FE7-F5DCD64009C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98A-4211-94DC-2539C8A05DC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'NOG-EDAD'!$AO$26:$AO$31</c:f>
              <c:strCache>
                <c:ptCount val="6"/>
                <c:pt idx="0">
                  <c:v>EXTREMADURA</c:v>
                </c:pt>
                <c:pt idx="1">
                  <c:v>ARAGÓN</c:v>
                </c:pt>
                <c:pt idx="2">
                  <c:v>C.-LA MANCHA</c:v>
                </c:pt>
                <c:pt idx="3">
                  <c:v>ANDALUCÍA</c:v>
                </c:pt>
                <c:pt idx="4">
                  <c:v>C. y LEÓN</c:v>
                </c:pt>
                <c:pt idx="5">
                  <c:v>CATALUÑA</c:v>
                </c:pt>
              </c:strCache>
            </c:strRef>
          </c:cat>
          <c:val>
            <c:numRef>
              <c:f>'CAS-EDAD'!$AO$25:$AO$27</c:f>
              <c:numCache>
                <c:formatCode>#,##0</c:formatCode>
                <c:ptCount val="3"/>
                <c:pt idx="0">
                  <c:v>240.64999999999998</c:v>
                </c:pt>
                <c:pt idx="1">
                  <c:v>102.86</c:v>
                </c:pt>
                <c:pt idx="2">
                  <c:v>36.459999999999994</c:v>
                </c:pt>
              </c:numCache>
            </c:numRef>
          </c:val>
          <c:extLst>
            <c:ext xmlns:c15="http://schemas.microsoft.com/office/drawing/2012/chart" uri="{02D57815-91ED-43cb-92C2-25804820EDAC}">
              <c15:datalabelsRange>
                <c15:f>'CAS-EDAD'!$AQ$25:$AQ$27</c15:f>
                <c15:dlblRangeCache>
                  <c:ptCount val="3"/>
                  <c:pt idx="0">
                    <c:v>8%</c:v>
                  </c:pt>
                  <c:pt idx="1">
                    <c:v>3%</c:v>
                  </c:pt>
                  <c:pt idx="2">
                    <c:v>12%</c:v>
                  </c:pt>
                </c15:dlblRangeCache>
              </c15:datalabelsRange>
            </c:ext>
            <c:ext xmlns:c16="http://schemas.microsoft.com/office/drawing/2014/chart" uri="{C3380CC4-5D6E-409C-BE32-E72D297353CC}">
              <c16:uniqueId val="{00000003-E98A-4211-94DC-2539C8A05DC3}"/>
            </c:ext>
          </c:extLst>
        </c:ser>
        <c:ser>
          <c:idx val="1"/>
          <c:order val="1"/>
          <c:tx>
            <c:strRef>
              <c:f>'CAS-EDAD'!$AP$24</c:f>
              <c:strCache>
                <c:ptCount val="1"/>
                <c:pt idx="0">
                  <c:v>Total</c:v>
                </c:pt>
              </c:strCache>
            </c:strRef>
          </c:tx>
          <c:spPr>
            <a:solidFill>
              <a:srgbClr val="D7AE85"/>
            </a:solidFill>
            <a:ln>
              <a:solidFill>
                <a:srgbClr val="996633"/>
              </a:solidFill>
            </a:ln>
            <a:effectLst/>
          </c:spPr>
          <c:invertIfNegative val="0"/>
          <c:cat>
            <c:strRef>
              <c:f>'NOG-EDAD'!$AO$26:$AO$31</c:f>
              <c:strCache>
                <c:ptCount val="6"/>
                <c:pt idx="0">
                  <c:v>EXTREMADURA</c:v>
                </c:pt>
                <c:pt idx="1">
                  <c:v>ARAGÓN</c:v>
                </c:pt>
                <c:pt idx="2">
                  <c:v>C.-LA MANCHA</c:v>
                </c:pt>
                <c:pt idx="3">
                  <c:v>ANDALUCÍA</c:v>
                </c:pt>
                <c:pt idx="4">
                  <c:v>C. y LEÓN</c:v>
                </c:pt>
                <c:pt idx="5">
                  <c:v>CATALUÑA</c:v>
                </c:pt>
              </c:strCache>
            </c:strRef>
          </c:cat>
          <c:val>
            <c:numRef>
              <c:f>'CAS-EDAD'!$AP$25:$AP$27</c:f>
              <c:numCache>
                <c:formatCode>#,##0</c:formatCode>
                <c:ptCount val="3"/>
                <c:pt idx="0">
                  <c:v>2943.2000000000003</c:v>
                </c:pt>
                <c:pt idx="1">
                  <c:v>3108.4799999999996</c:v>
                </c:pt>
                <c:pt idx="2">
                  <c:v>307.94</c:v>
                </c:pt>
              </c:numCache>
            </c:numRef>
          </c:val>
          <c:extLst>
            <c:ext xmlns:c16="http://schemas.microsoft.com/office/drawing/2014/chart" uri="{C3380CC4-5D6E-409C-BE32-E72D297353CC}">
              <c16:uniqueId val="{00000004-E98A-4211-94DC-2539C8A05DC3}"/>
            </c:ext>
          </c:extLst>
        </c:ser>
        <c:dLbls>
          <c:showLegendKey val="0"/>
          <c:showVal val="0"/>
          <c:showCatName val="0"/>
          <c:showSerName val="0"/>
          <c:showPercent val="0"/>
          <c:showBubbleSize val="0"/>
        </c:dLbls>
        <c:gapWidth val="100"/>
        <c:axId val="150002448"/>
        <c:axId val="150007344"/>
      </c:barChart>
      <c:catAx>
        <c:axId val="150002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7344"/>
        <c:crosses val="autoZero"/>
        <c:auto val="1"/>
        <c:lblAlgn val="ctr"/>
        <c:lblOffset val="100"/>
        <c:noMultiLvlLbl val="0"/>
      </c:catAx>
      <c:valAx>
        <c:axId val="150007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2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CASTAÑO:</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'NOG-EDAD'!$AK$27</c:f>
              <c:strCache>
                <c:ptCount val="1"/>
                <c:pt idx="0">
                  <c:v>Total</c:v>
                </c:pt>
              </c:strCache>
            </c:strRef>
          </c:tx>
          <c:spPr>
            <a:solidFill>
              <a:srgbClr val="CB9661"/>
            </a:solidFill>
            <a:ln>
              <a:solidFill>
                <a:srgbClr val="996633"/>
              </a:solidFill>
            </a:ln>
            <a:effectLst/>
          </c:spPr>
          <c:invertIfNegative val="0"/>
          <c:cat>
            <c:strRef>
              <c:f>'CAS-EDAD'!$AI$27:$AI$36</c:f>
              <c:strCache>
                <c:ptCount val="10"/>
                <c:pt idx="0">
                  <c:v>CÁCERES</c:v>
                </c:pt>
                <c:pt idx="1">
                  <c:v>LUGO</c:v>
                </c:pt>
                <c:pt idx="2">
                  <c:v>OURENSE</c:v>
                </c:pt>
                <c:pt idx="3">
                  <c:v>A CORUÑA</c:v>
                </c:pt>
                <c:pt idx="4">
                  <c:v>PONTEVEDRA</c:v>
                </c:pt>
                <c:pt idx="5">
                  <c:v>LEÓN</c:v>
                </c:pt>
                <c:pt idx="6">
                  <c:v>GRANADA</c:v>
                </c:pt>
                <c:pt idx="7">
                  <c:v>ZAMORA</c:v>
                </c:pt>
                <c:pt idx="8">
                  <c:v>ÁVILA</c:v>
                </c:pt>
                <c:pt idx="9">
                  <c:v>SALAMANCA</c:v>
                </c:pt>
              </c:strCache>
            </c:strRef>
          </c:cat>
          <c:val>
            <c:numRef>
              <c:f>'CAS-EDAD'!$AK$27:$AK$36</c:f>
              <c:numCache>
                <c:formatCode>#,##0</c:formatCode>
                <c:ptCount val="10"/>
                <c:pt idx="0">
                  <c:v>3063.6</c:v>
                </c:pt>
                <c:pt idx="1">
                  <c:v>1211.0499999999997</c:v>
                </c:pt>
                <c:pt idx="2">
                  <c:v>1410.6799999999998</c:v>
                </c:pt>
                <c:pt idx="3">
                  <c:v>94.05</c:v>
                </c:pt>
                <c:pt idx="4">
                  <c:v>227.42</c:v>
                </c:pt>
                <c:pt idx="5">
                  <c:v>120.56000000000004</c:v>
                </c:pt>
                <c:pt idx="6">
                  <c:v>109.93</c:v>
                </c:pt>
                <c:pt idx="7">
                  <c:v>132.69</c:v>
                </c:pt>
                <c:pt idx="8">
                  <c:v>14.330000000000002</c:v>
                </c:pt>
                <c:pt idx="9">
                  <c:v>39.440000000000005</c:v>
                </c:pt>
              </c:numCache>
            </c:numRef>
          </c:val>
          <c:extLst>
            <c:ext xmlns:c16="http://schemas.microsoft.com/office/drawing/2014/chart" uri="{C3380CC4-5D6E-409C-BE32-E72D297353CC}">
              <c16:uniqueId val="{00000000-825D-4167-83F3-30A98A3C272A}"/>
            </c:ext>
          </c:extLst>
        </c:ser>
        <c:ser>
          <c:idx val="0"/>
          <c:order val="1"/>
          <c:tx>
            <c:strRef>
              <c:f>'NOG-EDAD'!$AJ$27</c:f>
              <c:strCache>
                <c:ptCount val="1"/>
                <c:pt idx="0">
                  <c:v>Plantaciones jóvenes</c:v>
                </c:pt>
              </c:strCache>
            </c:strRef>
          </c:tx>
          <c:spPr>
            <a:solidFill>
              <a:srgbClr val="996633"/>
            </a:solidFill>
            <a:ln>
              <a:solidFill>
                <a:srgbClr val="663300"/>
              </a:solidFill>
            </a:ln>
            <a:effectLst/>
          </c:spPr>
          <c:invertIfNegative val="0"/>
          <c:dLbls>
            <c:dLbl>
              <c:idx val="0"/>
              <c:tx>
                <c:rich>
                  <a:bodyPr/>
                  <a:lstStyle/>
                  <a:p>
                    <a:fld id="{DBDACD82-53C9-45F5-841A-C485FD0D3EE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25D-4167-83F3-30A98A3C272A}"/>
                </c:ext>
              </c:extLst>
            </c:dLbl>
            <c:dLbl>
              <c:idx val="1"/>
              <c:tx>
                <c:rich>
                  <a:bodyPr/>
                  <a:lstStyle/>
                  <a:p>
                    <a:fld id="{60C71267-7E11-4FA5-89CE-9D1FF4C6FD3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25D-4167-83F3-30A98A3C272A}"/>
                </c:ext>
              </c:extLst>
            </c:dLbl>
            <c:dLbl>
              <c:idx val="2"/>
              <c:tx>
                <c:rich>
                  <a:bodyPr/>
                  <a:lstStyle/>
                  <a:p>
                    <a:fld id="{0E51F067-4140-496A-AEE5-39D0EAEE8C1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25D-4167-83F3-30A98A3C272A}"/>
                </c:ext>
              </c:extLst>
            </c:dLbl>
            <c:dLbl>
              <c:idx val="3"/>
              <c:tx>
                <c:rich>
                  <a:bodyPr/>
                  <a:lstStyle/>
                  <a:p>
                    <a:fld id="{14658386-13A5-421F-BB55-C7F1CF5DF60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25D-4167-83F3-30A98A3C272A}"/>
                </c:ext>
              </c:extLst>
            </c:dLbl>
            <c:dLbl>
              <c:idx val="4"/>
              <c:tx>
                <c:rich>
                  <a:bodyPr/>
                  <a:lstStyle/>
                  <a:p>
                    <a:fld id="{0DA083D3-33C2-473A-BA01-6803EFB9E7F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25D-4167-83F3-30A98A3C272A}"/>
                </c:ext>
              </c:extLst>
            </c:dLbl>
            <c:dLbl>
              <c:idx val="5"/>
              <c:tx>
                <c:rich>
                  <a:bodyPr/>
                  <a:lstStyle/>
                  <a:p>
                    <a:fld id="{3A9D5B24-9D3A-48B7-A853-2CB22E237C3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25D-4167-83F3-30A98A3C272A}"/>
                </c:ext>
              </c:extLst>
            </c:dLbl>
            <c:dLbl>
              <c:idx val="6"/>
              <c:tx>
                <c:rich>
                  <a:bodyPr/>
                  <a:lstStyle/>
                  <a:p>
                    <a:fld id="{592DA4EA-49C5-40EA-AC89-6A74BE95C1D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25D-4167-83F3-30A98A3C272A}"/>
                </c:ext>
              </c:extLst>
            </c:dLbl>
            <c:dLbl>
              <c:idx val="7"/>
              <c:tx>
                <c:rich>
                  <a:bodyPr/>
                  <a:lstStyle/>
                  <a:p>
                    <a:fld id="{099FD27C-8B51-4DEA-AADC-228DB2C4ABA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25D-4167-83F3-30A98A3C272A}"/>
                </c:ext>
              </c:extLst>
            </c:dLbl>
            <c:dLbl>
              <c:idx val="8"/>
              <c:tx>
                <c:rich>
                  <a:bodyPr/>
                  <a:lstStyle/>
                  <a:p>
                    <a:fld id="{90394080-0C06-4D56-B45A-302EB9BD684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25D-4167-83F3-30A98A3C272A}"/>
                </c:ext>
              </c:extLst>
            </c:dLbl>
            <c:dLbl>
              <c:idx val="9"/>
              <c:tx>
                <c:rich>
                  <a:bodyPr/>
                  <a:lstStyle/>
                  <a:p>
                    <a:fld id="{7E442448-C190-43CC-8B20-803F8F71F8A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25D-4167-83F3-30A98A3C27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'CAS-EDAD'!$AI$27:$AI$36</c:f>
              <c:strCache>
                <c:ptCount val="10"/>
                <c:pt idx="0">
                  <c:v>CÁCERES</c:v>
                </c:pt>
                <c:pt idx="1">
                  <c:v>LUGO</c:v>
                </c:pt>
                <c:pt idx="2">
                  <c:v>OURENSE</c:v>
                </c:pt>
                <c:pt idx="3">
                  <c:v>A CORUÑA</c:v>
                </c:pt>
                <c:pt idx="4">
                  <c:v>PONTEVEDRA</c:v>
                </c:pt>
                <c:pt idx="5">
                  <c:v>LEÓN</c:v>
                </c:pt>
                <c:pt idx="6">
                  <c:v>GRANADA</c:v>
                </c:pt>
                <c:pt idx="7">
                  <c:v>ZAMORA</c:v>
                </c:pt>
                <c:pt idx="8">
                  <c:v>ÁVILA</c:v>
                </c:pt>
                <c:pt idx="9">
                  <c:v>SALAMANCA</c:v>
                </c:pt>
              </c:strCache>
            </c:strRef>
          </c:cat>
          <c:val>
            <c:numRef>
              <c:f>'CAS-EDAD'!$AJ$27:$AJ$36</c:f>
              <c:numCache>
                <c:formatCode>#,##0</c:formatCode>
                <c:ptCount val="10"/>
                <c:pt idx="0">
                  <c:v>102.28000000000002</c:v>
                </c:pt>
                <c:pt idx="1">
                  <c:v>90.86999999999999</c:v>
                </c:pt>
                <c:pt idx="2">
                  <c:v>68.930000000000007</c:v>
                </c:pt>
                <c:pt idx="3">
                  <c:v>55.24</c:v>
                </c:pt>
                <c:pt idx="4">
                  <c:v>25.61</c:v>
                </c:pt>
                <c:pt idx="5">
                  <c:v>24.32</c:v>
                </c:pt>
                <c:pt idx="6">
                  <c:v>6.3000000000000007</c:v>
                </c:pt>
                <c:pt idx="7">
                  <c:v>4.7</c:v>
                </c:pt>
                <c:pt idx="8">
                  <c:v>3.82</c:v>
                </c:pt>
                <c:pt idx="9" formatCode="#,##0.00">
                  <c:v>2.7</c:v>
                </c:pt>
              </c:numCache>
            </c:numRef>
          </c:val>
          <c:extLst>
            <c:ext xmlns:c15="http://schemas.microsoft.com/office/drawing/2012/chart" uri="{02D57815-91ED-43cb-92C2-25804820EDAC}">
              <c15:datalabelsRange>
                <c15:f>'CAS-EDAD'!$AL$27:$AL$36</c15:f>
                <c15:dlblRangeCache>
                  <c:ptCount val="10"/>
                  <c:pt idx="0">
                    <c:v>3%</c:v>
                  </c:pt>
                  <c:pt idx="1">
                    <c:v>8%</c:v>
                  </c:pt>
                  <c:pt idx="2">
                    <c:v>5%</c:v>
                  </c:pt>
                  <c:pt idx="3">
                    <c:v>59%</c:v>
                  </c:pt>
                  <c:pt idx="4">
                    <c:v>11%</c:v>
                  </c:pt>
                  <c:pt idx="5">
                    <c:v>20%</c:v>
                  </c:pt>
                  <c:pt idx="6">
                    <c:v>6%</c:v>
                  </c:pt>
                  <c:pt idx="7">
                    <c:v>4%</c:v>
                  </c:pt>
                  <c:pt idx="8">
                    <c:v>27%</c:v>
                  </c:pt>
                  <c:pt idx="9">
                    <c:v>7%</c:v>
                  </c:pt>
                </c15:dlblRangeCache>
              </c15:datalabelsRange>
            </c:ext>
            <c:ext xmlns:c16="http://schemas.microsoft.com/office/drawing/2014/chart" uri="{C3380CC4-5D6E-409C-BE32-E72D297353CC}">
              <c16:uniqueId val="{0000000B-825D-4167-83F3-30A98A3C272A}"/>
            </c:ext>
          </c:extLst>
        </c:ser>
        <c:dLbls>
          <c:showLegendKey val="0"/>
          <c:showVal val="0"/>
          <c:showCatName val="0"/>
          <c:showSerName val="0"/>
          <c:showPercent val="0"/>
          <c:showBubbleSize val="0"/>
        </c:dLbls>
        <c:gapWidth val="150"/>
        <c:overlap val="-40"/>
        <c:axId val="150000816"/>
        <c:axId val="150014960"/>
      </c:barChart>
      <c:catAx>
        <c:axId val="150000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50014960"/>
        <c:crosses val="autoZero"/>
        <c:auto val="1"/>
        <c:lblAlgn val="ctr"/>
        <c:lblOffset val="100"/>
        <c:noMultiLvlLbl val="0"/>
      </c:catAx>
      <c:valAx>
        <c:axId val="1500149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000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aseline="0"/>
              <a:t>CASTAÑO: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5"/>
            <c:invertIfNegative val="0"/>
            <c:bubble3D val="0"/>
            <c:spPr>
              <a:solidFill>
                <a:srgbClr val="C0504D"/>
              </a:solidFill>
              <a:ln>
                <a:noFill/>
              </a:ln>
              <a:effectLst/>
            </c:spPr>
            <c:extLst>
              <c:ext xmlns:c16="http://schemas.microsoft.com/office/drawing/2014/chart" uri="{C3380CC4-5D6E-409C-BE32-E72D297353CC}">
                <c16:uniqueId val="{00000001-6C7C-42B0-8674-93EA1AC6F2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'CAS-EDAD'!$A$54:$A$65</c15:sqref>
                  </c15:fullRef>
                </c:ext>
              </c:extLst>
              <c:f>('CAS-EDAD'!$A$54:$A$55,'CAS-EDAD'!$A$57,'CAS-EDAD'!$A$61:$A$62,'CAS-EDAD'!$A$65)</c:f>
              <c:strCache>
                <c:ptCount val="6"/>
                <c:pt idx="0">
                  <c:v>ANDALUCÍA</c:v>
                </c:pt>
                <c:pt idx="1">
                  <c:v>ASTURIAS</c:v>
                </c:pt>
                <c:pt idx="2">
                  <c:v>C. y LEÓN</c:v>
                </c:pt>
                <c:pt idx="3">
                  <c:v>EXTREMADURA</c:v>
                </c:pt>
                <c:pt idx="4">
                  <c:v>GALICIA</c:v>
                </c:pt>
                <c:pt idx="5">
                  <c:v>ESPAÑA</c:v>
                </c:pt>
              </c:strCache>
            </c:strRef>
          </c:cat>
          <c:val>
            <c:numRef>
              <c:extLst>
                <c:ext xmlns:c15="http://schemas.microsoft.com/office/drawing/2012/chart" uri="{02D57815-91ED-43cb-92C2-25804820EDAC}">
                  <c15:fullRef>
                    <c15:sqref>'CAS-EDAD'!$Y$54:$Y$65</c15:sqref>
                  </c15:fullRef>
                </c:ext>
              </c:extLst>
              <c:f>('CAS-EDAD'!$Y$54:$Y$55,'CAS-EDAD'!$Y$57,'CAS-EDAD'!$Y$61:$Y$62,'CAS-EDAD'!$Y$65)</c:f>
              <c:numCache>
                <c:formatCode>0.00%</c:formatCode>
                <c:ptCount val="6"/>
                <c:pt idx="0">
                  <c:v>2.4175309989861961E-4</c:v>
                </c:pt>
                <c:pt idx="1">
                  <c:v>2.3995200959808036E-3</c:v>
                </c:pt>
                <c:pt idx="2">
                  <c:v>2.2764174839254393E-2</c:v>
                </c:pt>
                <c:pt idx="3">
                  <c:v>3.6899063207741405E-3</c:v>
                </c:pt>
                <c:pt idx="4">
                  <c:v>5.6581272084805664E-2</c:v>
                </c:pt>
                <c:pt idx="5">
                  <c:v>1.9394786718768282E-2</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50001360"/>
        <c:axId val="150021488"/>
      </c:barChart>
      <c:catAx>
        <c:axId val="15000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21488"/>
        <c:crosses val="autoZero"/>
        <c:auto val="1"/>
        <c:lblAlgn val="ctr"/>
        <c:lblOffset val="100"/>
        <c:noMultiLvlLbl val="0"/>
      </c:catAx>
      <c:valAx>
        <c:axId val="15002148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0001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ALMENDRO Secano</a:t>
            </a:r>
            <a:r>
              <a:rPr lang="es-ES" b="1" baseline="0">
                <a:solidFill>
                  <a:schemeClr val="tx1"/>
                </a:solidFill>
              </a:rPr>
              <a:t> 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'ALM S-VAR'!$P$13:$R$13</c:f>
              <c:strCache>
                <c:ptCount val="1"/>
                <c:pt idx="0">
                  <c:v>ALMENDRO SECANO TOTAL</c:v>
                </c:pt>
              </c:strCache>
            </c:strRef>
          </c:tx>
          <c:spPr>
            <a:solidFill>
              <a:srgbClr val="CB9661"/>
            </a:solidFill>
            <a:ln>
              <a:solidFill>
                <a:srgbClr val="996633"/>
              </a:solidFill>
            </a:ln>
            <a:effectLst/>
          </c:spPr>
          <c:invertIfNegative val="0"/>
          <c:dLbls>
            <c:dLbl>
              <c:idx val="0"/>
              <c:tx>
                <c:rich>
                  <a:bodyPr/>
                  <a:lstStyle/>
                  <a:p>
                    <a:fld id="{6CFCDB9F-3975-49F2-9734-9971BF38481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0A8-4960-9848-D9E3EC1C4465}"/>
                </c:ext>
              </c:extLst>
            </c:dLbl>
            <c:dLbl>
              <c:idx val="1"/>
              <c:tx>
                <c:rich>
                  <a:bodyPr/>
                  <a:lstStyle/>
                  <a:p>
                    <a:fld id="{B53DE679-C366-4C75-BE84-CE2594FFE99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0A8-4960-9848-D9E3EC1C4465}"/>
                </c:ext>
              </c:extLst>
            </c:dLbl>
            <c:dLbl>
              <c:idx val="2"/>
              <c:tx>
                <c:rich>
                  <a:bodyPr/>
                  <a:lstStyle/>
                  <a:p>
                    <a:fld id="{7ED283DE-8A4A-416B-B401-88D78F38B1C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0A8-4960-9848-D9E3EC1C4465}"/>
                </c:ext>
              </c:extLst>
            </c:dLbl>
            <c:dLbl>
              <c:idx val="3"/>
              <c:tx>
                <c:rich>
                  <a:bodyPr/>
                  <a:lstStyle/>
                  <a:p>
                    <a:fld id="{F9E92AF2-EE2F-4379-A222-F39D9B0ABFA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0A8-4960-9848-D9E3EC1C4465}"/>
                </c:ext>
              </c:extLst>
            </c:dLbl>
            <c:dLbl>
              <c:idx val="4"/>
              <c:tx>
                <c:rich>
                  <a:bodyPr/>
                  <a:lstStyle/>
                  <a:p>
                    <a:fld id="{FC41B926-CF47-4501-B185-6DE479DBE15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0A8-4960-9848-D9E3EC1C4465}"/>
                </c:ext>
              </c:extLst>
            </c:dLbl>
            <c:dLbl>
              <c:idx val="5"/>
              <c:tx>
                <c:rich>
                  <a:bodyPr/>
                  <a:lstStyle/>
                  <a:p>
                    <a:fld id="{39957F34-6432-4750-BE52-9B56D653A85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A8-4960-9848-D9E3EC1C4465}"/>
                </c:ext>
              </c:extLst>
            </c:dLbl>
            <c:dLbl>
              <c:idx val="6"/>
              <c:tx>
                <c:rich>
                  <a:bodyPr/>
                  <a:lstStyle/>
                  <a:p>
                    <a:fld id="{898E459E-3B44-4D81-B8DC-76DBECE748B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0A8-4960-9848-D9E3EC1C4465}"/>
                </c:ext>
              </c:extLst>
            </c:dLbl>
            <c:dLbl>
              <c:idx val="7"/>
              <c:tx>
                <c:rich>
                  <a:bodyPr/>
                  <a:lstStyle/>
                  <a:p>
                    <a:fld id="{009CFE7E-FFEF-4CE4-BD84-3BCF5BCBE87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0A8-4960-9848-D9E3EC1C4465}"/>
                </c:ext>
              </c:extLst>
            </c:dLbl>
            <c:dLbl>
              <c:idx val="8"/>
              <c:tx>
                <c:rich>
                  <a:bodyPr/>
                  <a:lstStyle/>
                  <a:p>
                    <a:fld id="{DC0636F6-A41D-4A3B-B1E0-3DECB564085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0A8-4960-9848-D9E3EC1C446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 S-VAR'!$P$14:$P$22</c:f>
              <c:strCache>
                <c:ptCount val="9"/>
                <c:pt idx="0">
                  <c:v>GUARA</c:v>
                </c:pt>
                <c:pt idx="1">
                  <c:v>COMUNA</c:v>
                </c:pt>
                <c:pt idx="2">
                  <c:v>LARGUETA</c:v>
                </c:pt>
                <c:pt idx="3">
                  <c:v>LAURANNE/AVIJOR</c:v>
                </c:pt>
                <c:pt idx="4">
                  <c:v>MARCONA</c:v>
                </c:pt>
                <c:pt idx="5">
                  <c:v>FERRAGNES</c:v>
                </c:pt>
                <c:pt idx="6">
                  <c:v>VAIRO</c:v>
                </c:pt>
                <c:pt idx="7">
                  <c:v>FERRADUEL</c:v>
                </c:pt>
                <c:pt idx="8">
                  <c:v>DESMAYO ROJO</c:v>
                </c:pt>
              </c:strCache>
            </c:strRef>
          </c:cat>
          <c:val>
            <c:numRef>
              <c:f>'ALM S-VAR'!$Q$14:$Q$22</c:f>
              <c:numCache>
                <c:formatCode>#,##0</c:formatCode>
                <c:ptCount val="9"/>
                <c:pt idx="0">
                  <c:v>149350.46000000008</c:v>
                </c:pt>
                <c:pt idx="1">
                  <c:v>87026.340000000084</c:v>
                </c:pt>
                <c:pt idx="2">
                  <c:v>56768.260000000009</c:v>
                </c:pt>
                <c:pt idx="3">
                  <c:v>48530.249999999985</c:v>
                </c:pt>
                <c:pt idx="4">
                  <c:v>43941.249999999993</c:v>
                </c:pt>
                <c:pt idx="5">
                  <c:v>18497.130000000005</c:v>
                </c:pt>
                <c:pt idx="6">
                  <c:v>14076.579999999998</c:v>
                </c:pt>
                <c:pt idx="7">
                  <c:v>9722.41</c:v>
                </c:pt>
                <c:pt idx="8">
                  <c:v>8678.6499999999942</c:v>
                </c:pt>
              </c:numCache>
            </c:numRef>
          </c:val>
          <c:extLst>
            <c:ext xmlns:c15="http://schemas.microsoft.com/office/drawing/2012/chart" uri="{02D57815-91ED-43cb-92C2-25804820EDAC}">
              <c15:datalabelsRange>
                <c15:f>'ALM S-VAR'!$R$14:$R$22</c15:f>
                <c15:dlblRangeCache>
                  <c:ptCount val="9"/>
                  <c:pt idx="0">
                    <c:v>30%</c:v>
                  </c:pt>
                  <c:pt idx="1">
                    <c:v>17%</c:v>
                  </c:pt>
                  <c:pt idx="2">
                    <c:v>11%</c:v>
                  </c:pt>
                  <c:pt idx="3">
                    <c:v>10%</c:v>
                  </c:pt>
                  <c:pt idx="4">
                    <c:v>9%</c:v>
                  </c:pt>
                  <c:pt idx="5">
                    <c:v>4%</c:v>
                  </c:pt>
                  <c:pt idx="6">
                    <c:v>3%</c:v>
                  </c:pt>
                  <c:pt idx="7">
                    <c:v>2%</c:v>
                  </c:pt>
                  <c:pt idx="8">
                    <c:v>2%</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0022032"/>
        <c:axId val="150022576"/>
      </c:barChart>
      <c:catAx>
        <c:axId val="150022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22576"/>
        <c:crosses val="autoZero"/>
        <c:auto val="1"/>
        <c:lblAlgn val="ctr"/>
        <c:lblOffset val="100"/>
        <c:noMultiLvlLbl val="0"/>
      </c:catAx>
      <c:valAx>
        <c:axId val="1500225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2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sz="1400" b="1" i="0" u="sng" baseline="0">
                <a:solidFill>
                  <a:sysClr val="windowText" lastClr="000000"/>
                </a:solidFill>
                <a:effectLst/>
              </a:rPr>
              <a:t>PISTACHO SECANO</a:t>
            </a:r>
          </a:p>
          <a:p>
            <a:pPr>
              <a:defRPr sz="1400" b="0" i="0" u="none" strike="noStrike" kern="1200" spc="0" baseline="0">
                <a:solidFill>
                  <a:sysClr val="windowText" lastClr="000000"/>
                </a:solidFill>
                <a:latin typeface="+mn-lt"/>
                <a:ea typeface="+mn-ea"/>
                <a:cs typeface="+mn-cs"/>
              </a:defRPr>
            </a:pPr>
            <a:r>
              <a:rPr lang="es-ES" sz="1400" b="0" i="0" baseline="0">
                <a:solidFill>
                  <a:sysClr val="windowText" lastClr="000000"/>
                </a:solidFill>
                <a:effectLst/>
              </a:rPr>
              <a:t>RSU REGEPA 2021 vs SUPERFICIES ANUALES 2021 (ha) </a:t>
            </a:r>
            <a:endParaRPr lang="es-E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'PIS-REPR'!$M$11</c:f>
              <c:strCache>
                <c:ptCount val="1"/>
                <c:pt idx="0">
                  <c:v>SUP.ANUALES 2021</c:v>
                </c:pt>
              </c:strCache>
            </c:strRef>
          </c:tx>
          <c:spPr>
            <a:solidFill>
              <a:schemeClr val="accent2">
                <a:shade val="76000"/>
              </a:schemeClr>
            </a:solidFill>
            <a:ln>
              <a:noFill/>
            </a:ln>
            <a:effectLst/>
          </c:spPr>
          <c:invertIfNegative val="0"/>
          <c:cat>
            <c:strRef>
              <c:f>'PIS-REPR'!$K$12:$K$16</c:f>
              <c:strCache>
                <c:ptCount val="5"/>
                <c:pt idx="0">
                  <c:v>C.-LA MANCHA</c:v>
                </c:pt>
                <c:pt idx="1">
                  <c:v>ANDALUCÍA</c:v>
                </c:pt>
                <c:pt idx="2">
                  <c:v>C. Y LEÓN</c:v>
                </c:pt>
                <c:pt idx="3">
                  <c:v>EXTREMADURA</c:v>
                </c:pt>
                <c:pt idx="4">
                  <c:v>ARAGÓN</c:v>
                </c:pt>
              </c:strCache>
            </c:strRef>
          </c:cat>
          <c:val>
            <c:numRef>
              <c:f>'PIS-REPR'!$M$12:$M$16</c:f>
              <c:numCache>
                <c:formatCode>#,##0</c:formatCode>
                <c:ptCount val="5"/>
                <c:pt idx="0">
                  <c:v>33546</c:v>
                </c:pt>
                <c:pt idx="1">
                  <c:v>4097</c:v>
                </c:pt>
                <c:pt idx="2">
                  <c:v>464</c:v>
                </c:pt>
                <c:pt idx="3">
                  <c:v>1218</c:v>
                </c:pt>
                <c:pt idx="4">
                  <c:v>460</c:v>
                </c:pt>
              </c:numCache>
            </c:numRef>
          </c:val>
          <c:extLst>
            <c:ext xmlns:c16="http://schemas.microsoft.com/office/drawing/2014/chart" uri="{C3380CC4-5D6E-409C-BE32-E72D297353CC}">
              <c16:uniqueId val="{00000000-7ECC-4537-9573-7B8B50606106}"/>
            </c:ext>
          </c:extLst>
        </c:ser>
        <c:ser>
          <c:idx val="0"/>
          <c:order val="1"/>
          <c:tx>
            <c:strRef>
              <c:f>'PIS-REPR'!$L$11</c:f>
              <c:strCache>
                <c:ptCount val="1"/>
                <c:pt idx="0">
                  <c:v>RSU REGEPA 2021</c:v>
                </c:pt>
              </c:strCache>
            </c:strRef>
          </c:tx>
          <c:spPr>
            <a:solidFill>
              <a:schemeClr val="accent2">
                <a:tint val="77000"/>
              </a:schemeClr>
            </a:solidFill>
            <a:ln>
              <a:noFill/>
            </a:ln>
            <a:effectLst/>
          </c:spPr>
          <c:invertIfNegative val="0"/>
          <c:dLbls>
            <c:dLbl>
              <c:idx val="0"/>
              <c:tx>
                <c:rich>
                  <a:bodyPr/>
                  <a:lstStyle/>
                  <a:p>
                    <a:fld id="{D9B970F0-2C74-4011-9E3C-94C7CDD71BB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DA9-43F3-A292-019997634DC4}"/>
                </c:ext>
              </c:extLst>
            </c:dLbl>
            <c:dLbl>
              <c:idx val="1"/>
              <c:tx>
                <c:rich>
                  <a:bodyPr/>
                  <a:lstStyle/>
                  <a:p>
                    <a:fld id="{118DAB3F-9C8E-48C6-AC3D-8793E595F31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DA9-43F3-A292-019997634DC4}"/>
                </c:ext>
              </c:extLst>
            </c:dLbl>
            <c:dLbl>
              <c:idx val="2"/>
              <c:tx>
                <c:rich>
                  <a:bodyPr/>
                  <a:lstStyle/>
                  <a:p>
                    <a:fld id="{B3B200A9-BF60-43C0-941B-EA44A57C0A4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A9-43F3-A292-019997634DC4}"/>
                </c:ext>
              </c:extLst>
            </c:dLbl>
            <c:dLbl>
              <c:idx val="3"/>
              <c:tx>
                <c:rich>
                  <a:bodyPr/>
                  <a:lstStyle/>
                  <a:p>
                    <a:fld id="{34B21B65-DD5B-4224-A6D0-2DABDBE7E97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A9-43F3-A292-019997634DC4}"/>
                </c:ext>
              </c:extLst>
            </c:dLbl>
            <c:dLbl>
              <c:idx val="4"/>
              <c:tx>
                <c:rich>
                  <a:bodyPr/>
                  <a:lstStyle/>
                  <a:p>
                    <a:fld id="{71D118BA-E0EA-4D7B-9790-395181C0E89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A9-43F3-A292-019997634DC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'PIS-REPR'!$K$12:$K$16</c:f>
              <c:strCache>
                <c:ptCount val="5"/>
                <c:pt idx="0">
                  <c:v>C.-LA MANCHA</c:v>
                </c:pt>
                <c:pt idx="1">
                  <c:v>ANDALUCÍA</c:v>
                </c:pt>
                <c:pt idx="2">
                  <c:v>C. Y LEÓN</c:v>
                </c:pt>
                <c:pt idx="3">
                  <c:v>EXTREMADURA</c:v>
                </c:pt>
                <c:pt idx="4">
                  <c:v>ARAGÓN</c:v>
                </c:pt>
              </c:strCache>
            </c:strRef>
          </c:cat>
          <c:val>
            <c:numRef>
              <c:f>'PIS-REPR'!$L$12:$L$16</c:f>
              <c:numCache>
                <c:formatCode>#,##0</c:formatCode>
                <c:ptCount val="5"/>
                <c:pt idx="0">
                  <c:v>34604.449999999997</c:v>
                </c:pt>
                <c:pt idx="1">
                  <c:v>4141.8799999999974</c:v>
                </c:pt>
                <c:pt idx="2">
                  <c:v>1955.57</c:v>
                </c:pt>
                <c:pt idx="3">
                  <c:v>1435.12</c:v>
                </c:pt>
                <c:pt idx="4">
                  <c:v>440.16</c:v>
                </c:pt>
              </c:numCache>
            </c:numRef>
          </c:val>
          <c:extLst>
            <c:ext xmlns:c15="http://schemas.microsoft.com/office/drawing/2012/chart" uri="{02D57815-91ED-43cb-92C2-25804820EDAC}">
              <c15:datalabelsRange>
                <c15:f>'PIS-REPR'!$N$12:$N$16</c15:f>
                <c15:dlblRangeCache>
                  <c:ptCount val="5"/>
                  <c:pt idx="0">
                    <c:v>103%</c:v>
                  </c:pt>
                  <c:pt idx="1">
                    <c:v>101%</c:v>
                  </c:pt>
                  <c:pt idx="2">
                    <c:v>421%</c:v>
                  </c:pt>
                  <c:pt idx="3">
                    <c:v>118%</c:v>
                  </c:pt>
                  <c:pt idx="4">
                    <c:v>96%</c:v>
                  </c:pt>
                </c15:dlblRangeCache>
              </c15:datalabelsRange>
            </c:ext>
            <c:ext xmlns:c16="http://schemas.microsoft.com/office/drawing/2014/chart" uri="{C3380CC4-5D6E-409C-BE32-E72D297353CC}">
              <c16:uniqueId val="{00000001-7ECC-4537-9573-7B8B50606106}"/>
            </c:ext>
          </c:extLst>
        </c:ser>
        <c:dLbls>
          <c:showLegendKey val="0"/>
          <c:showVal val="0"/>
          <c:showCatName val="0"/>
          <c:showSerName val="0"/>
          <c:showPercent val="0"/>
          <c:showBubbleSize val="0"/>
        </c:dLbls>
        <c:gapWidth val="150"/>
        <c:axId val="97586432"/>
        <c:axId val="97583712"/>
      </c:barChart>
      <c:catAx>
        <c:axId val="97586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3712"/>
        <c:crosses val="autoZero"/>
        <c:auto val="1"/>
        <c:lblAlgn val="ctr"/>
        <c:lblOffset val="100"/>
        <c:noMultiLvlLbl val="0"/>
      </c:catAx>
      <c:valAx>
        <c:axId val="97583712"/>
        <c:scaling>
          <c:orientation val="minMax"/>
          <c:max val="4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a:t>
                </a:r>
                <a:r>
                  <a:rPr lang="es-ES" b="1" baseline="0">
                    <a:solidFill>
                      <a:schemeClr val="tx1"/>
                    </a:solidFill>
                  </a:rPr>
                  <a:t> (ha)</a:t>
                </a:r>
                <a:endParaRPr lang="es-ES" b="1">
                  <a:solidFill>
                    <a:schemeClr val="tx1"/>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6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Almendro Secano</a:t>
            </a:r>
            <a:r>
              <a:rPr lang="en-US"/>
              <a:t>: Convencional y Ecológico (ha)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6850530767837779"/>
          <c:y val="0.13913719772544741"/>
          <c:w val="0.78062061563141505"/>
          <c:h val="0.68802587065793486"/>
        </c:manualLayout>
      </c:layout>
      <c:barChart>
        <c:barDir val="bar"/>
        <c:grouping val="stacked"/>
        <c:varyColors val="0"/>
        <c:ser>
          <c:idx val="0"/>
          <c:order val="0"/>
          <c:tx>
            <c:v>Convencional</c:v>
          </c:tx>
          <c:spPr>
            <a:solidFill>
              <a:srgbClr val="996633"/>
            </a:solidFill>
            <a:ln>
              <a:noFill/>
            </a:ln>
            <a:effectLst/>
          </c:spPr>
          <c:invertIfNegative val="0"/>
          <c:cat>
            <c:strRef>
              <c:f>'ALM S-VAR'!$P$14:$P$22</c:f>
              <c:strCache>
                <c:ptCount val="9"/>
                <c:pt idx="0">
                  <c:v>GUARA</c:v>
                </c:pt>
                <c:pt idx="1">
                  <c:v>COMUNA</c:v>
                </c:pt>
                <c:pt idx="2">
                  <c:v>LARGUETA</c:v>
                </c:pt>
                <c:pt idx="3">
                  <c:v>LAURANNE/AVIJOR</c:v>
                </c:pt>
                <c:pt idx="4">
                  <c:v>MARCONA</c:v>
                </c:pt>
                <c:pt idx="5">
                  <c:v>FERRAGNES</c:v>
                </c:pt>
                <c:pt idx="6">
                  <c:v>VAIRO</c:v>
                </c:pt>
                <c:pt idx="7">
                  <c:v>FERRADUEL</c:v>
                </c:pt>
                <c:pt idx="8">
                  <c:v>DESMAYO ROJO</c:v>
                </c:pt>
              </c:strCache>
            </c:strRef>
          </c:cat>
          <c:val>
            <c:numRef>
              <c:f>'ALM S-VAR'!$S$14:$S$22</c:f>
              <c:numCache>
                <c:formatCode>#,##0</c:formatCode>
                <c:ptCount val="9"/>
                <c:pt idx="0">
                  <c:v>110147.82000000007</c:v>
                </c:pt>
                <c:pt idx="1">
                  <c:v>69004.530000000086</c:v>
                </c:pt>
                <c:pt idx="2">
                  <c:v>48091.400000000009</c:v>
                </c:pt>
                <c:pt idx="3">
                  <c:v>36518.609999999993</c:v>
                </c:pt>
                <c:pt idx="4">
                  <c:v>37859.709999999992</c:v>
                </c:pt>
                <c:pt idx="5">
                  <c:v>13925.650000000005</c:v>
                </c:pt>
                <c:pt idx="6">
                  <c:v>10992.209999999997</c:v>
                </c:pt>
                <c:pt idx="7">
                  <c:v>7853.03</c:v>
                </c:pt>
                <c:pt idx="8">
                  <c:v>6833.2199999999939</c:v>
                </c:pt>
              </c:numCache>
            </c:numRef>
          </c:val>
          <c:extLst>
            <c:ext xmlns:c16="http://schemas.microsoft.com/office/drawing/2014/chart" uri="{C3380CC4-5D6E-409C-BE32-E72D297353CC}">
              <c16:uniqueId val="{00000000-1700-4788-B0D5-E9EA2C5A9401}"/>
            </c:ext>
          </c:extLst>
        </c:ser>
        <c:ser>
          <c:idx val="1"/>
          <c:order val="1"/>
          <c:tx>
            <c:v>Ecológico</c:v>
          </c:tx>
          <c:spPr>
            <a:solidFill>
              <a:schemeClr val="accent6"/>
            </a:solidFill>
            <a:ln>
              <a:noFill/>
            </a:ln>
            <a:effectLst/>
          </c:spPr>
          <c:invertIfNegative val="0"/>
          <c:dLbls>
            <c:dLbl>
              <c:idx val="0"/>
              <c:layout>
                <c:manualLayout>
                  <c:x val="0.12464978974582809"/>
                  <c:y val="-3.7513399224979082E-3"/>
                </c:manualLayout>
              </c:layout>
              <c:tx>
                <c:rich>
                  <a:bodyPr/>
                  <a:lstStyle/>
                  <a:p>
                    <a:fld id="{8664BD38-EB80-4C90-A0C3-AE6AA8FE64C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700-4788-B0D5-E9EA2C5A9401}"/>
                </c:ext>
              </c:extLst>
            </c:dLbl>
            <c:dLbl>
              <c:idx val="1"/>
              <c:layout>
                <c:manualLayout>
                  <c:x val="6.5958779661479838E-2"/>
                  <c:y val="-7.5026798449958163E-3"/>
                </c:manualLayout>
              </c:layout>
              <c:tx>
                <c:rich>
                  <a:bodyPr/>
                  <a:lstStyle/>
                  <a:p>
                    <a:fld id="{D4A4E93B-C2F4-4C4A-A364-7DBD7628E811}"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700-4788-B0D5-E9EA2C5A9401}"/>
                </c:ext>
              </c:extLst>
            </c:dLbl>
            <c:dLbl>
              <c:idx val="2"/>
              <c:layout>
                <c:manualLayout>
                  <c:x val="4.5399352579463884E-2"/>
                  <c:y val="3.7513399224979082E-3"/>
                </c:manualLayout>
              </c:layout>
              <c:tx>
                <c:rich>
                  <a:bodyPr/>
                  <a:lstStyle/>
                  <a:p>
                    <a:fld id="{EB61C90E-6473-480F-B619-D3F1158975E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700-4788-B0D5-E9EA2C5A9401}"/>
                </c:ext>
              </c:extLst>
            </c:dLbl>
            <c:dLbl>
              <c:idx val="3"/>
              <c:layout>
                <c:manualLayout>
                  <c:x val="5.3030076145853741E-2"/>
                  <c:y val="-3.7513399224979082E-3"/>
                </c:manualLayout>
              </c:layout>
              <c:tx>
                <c:rich>
                  <a:bodyPr/>
                  <a:lstStyle/>
                  <a:p>
                    <a:fld id="{A2545E75-80AF-46B4-9023-5DEB321E9989}"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700-4788-B0D5-E9EA2C5A9401}"/>
                </c:ext>
              </c:extLst>
            </c:dLbl>
            <c:dLbl>
              <c:idx val="4"/>
              <c:layout>
                <c:manualLayout>
                  <c:x val="4.9207964256402864E-2"/>
                  <c:y val="-6.8773770765326404E-17"/>
                </c:manualLayout>
              </c:layout>
              <c:tx>
                <c:rich>
                  <a:bodyPr/>
                  <a:lstStyle/>
                  <a:p>
                    <a:fld id="{20AF231B-7D41-49F8-8269-F6BDE502CBC5}"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700-4788-B0D5-E9EA2C5A9401}"/>
                </c:ext>
              </c:extLst>
            </c:dLbl>
            <c:dLbl>
              <c:idx val="5"/>
              <c:layout>
                <c:manualLayout>
                  <c:x val="3.3184453403550987E-2"/>
                  <c:y val="-3.7513399224979767E-3"/>
                </c:manualLayout>
              </c:layout>
              <c:tx>
                <c:rich>
                  <a:bodyPr/>
                  <a:lstStyle/>
                  <a:p>
                    <a:fld id="{D299F946-2653-4837-AA60-E0D19351E6B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700-4788-B0D5-E9EA2C5A9401}"/>
                </c:ext>
              </c:extLst>
            </c:dLbl>
            <c:dLbl>
              <c:idx val="6"/>
              <c:layout>
                <c:manualLayout>
                  <c:x val="3.4841410520824234E-2"/>
                  <c:y val="-3.4386885382663202E-17"/>
                </c:manualLayout>
              </c:layout>
              <c:tx>
                <c:rich>
                  <a:bodyPr/>
                  <a:lstStyle/>
                  <a:p>
                    <a:fld id="{917146E4-9653-44ED-A0E7-A60886C8804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700-4788-B0D5-E9EA2C5A9401}"/>
                </c:ext>
              </c:extLst>
            </c:dLbl>
            <c:dLbl>
              <c:idx val="7"/>
              <c:tx>
                <c:rich>
                  <a:bodyPr/>
                  <a:lstStyle/>
                  <a:p>
                    <a:fld id="{C19A3621-2696-4CF2-AA98-DFAEE6731918}"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700-4788-B0D5-E9EA2C5A9401}"/>
                </c:ext>
              </c:extLst>
            </c:dLbl>
            <c:dLbl>
              <c:idx val="8"/>
              <c:tx>
                <c:rich>
                  <a:bodyPr/>
                  <a:lstStyle/>
                  <a:p>
                    <a:fld id="{012DBBE7-E9E7-4D10-B31C-B86C0486753E}" type="CELLRANGE">
                      <a:rPr lang="es-ES"/>
                      <a:pPr/>
                      <a:t>[CELLRANGE]</a:t>
                    </a:fld>
                    <a:endParaRPr lang="es-E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700-4788-B0D5-E9EA2C5A940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 S-VAR'!$P$14:$P$22</c:f>
              <c:strCache>
                <c:ptCount val="9"/>
                <c:pt idx="0">
                  <c:v>GUARA</c:v>
                </c:pt>
                <c:pt idx="1">
                  <c:v>COMUNA</c:v>
                </c:pt>
                <c:pt idx="2">
                  <c:v>LARGUETA</c:v>
                </c:pt>
                <c:pt idx="3">
                  <c:v>LAURANNE/AVIJOR</c:v>
                </c:pt>
                <c:pt idx="4">
                  <c:v>MARCONA</c:v>
                </c:pt>
                <c:pt idx="5">
                  <c:v>FERRAGNES</c:v>
                </c:pt>
                <c:pt idx="6">
                  <c:v>VAIRO</c:v>
                </c:pt>
                <c:pt idx="7">
                  <c:v>FERRADUEL</c:v>
                </c:pt>
                <c:pt idx="8">
                  <c:v>DESMAYO ROJO</c:v>
                </c:pt>
              </c:strCache>
            </c:strRef>
          </c:cat>
          <c:val>
            <c:numRef>
              <c:f>'ALM S-VAR'!$U$14:$U$22</c:f>
              <c:numCache>
                <c:formatCode>#,##0</c:formatCode>
                <c:ptCount val="9"/>
                <c:pt idx="0">
                  <c:v>39202.640000000007</c:v>
                </c:pt>
                <c:pt idx="1">
                  <c:v>18021.810000000001</c:v>
                </c:pt>
                <c:pt idx="2">
                  <c:v>8676.8599999999969</c:v>
                </c:pt>
                <c:pt idx="3">
                  <c:v>12011.639999999998</c:v>
                </c:pt>
                <c:pt idx="4">
                  <c:v>6081.5399999999991</c:v>
                </c:pt>
                <c:pt idx="5">
                  <c:v>4571.4799999999996</c:v>
                </c:pt>
                <c:pt idx="6">
                  <c:v>3084.3700000000003</c:v>
                </c:pt>
                <c:pt idx="7">
                  <c:v>1869.38</c:v>
                </c:pt>
                <c:pt idx="8">
                  <c:v>1845.43</c:v>
                </c:pt>
              </c:numCache>
            </c:numRef>
          </c:val>
          <c:extLst>
            <c:ext xmlns:c15="http://schemas.microsoft.com/office/drawing/2012/chart" uri="{02D57815-91ED-43cb-92C2-25804820EDAC}">
              <c15:datalabelsRange>
                <c15:f>'ALM S-VAR'!$R$14:$R$22</c15:f>
                <c15:dlblRangeCache>
                  <c:ptCount val="9"/>
                  <c:pt idx="0">
                    <c:v>30%</c:v>
                  </c:pt>
                  <c:pt idx="1">
                    <c:v>17%</c:v>
                  </c:pt>
                  <c:pt idx="2">
                    <c:v>11%</c:v>
                  </c:pt>
                  <c:pt idx="3">
                    <c:v>10%</c:v>
                  </c:pt>
                  <c:pt idx="4">
                    <c:v>9%</c:v>
                  </c:pt>
                  <c:pt idx="5">
                    <c:v>4%</c:v>
                  </c:pt>
                  <c:pt idx="6">
                    <c:v>3%</c:v>
                  </c:pt>
                  <c:pt idx="7">
                    <c:v>2%</c:v>
                  </c:pt>
                  <c:pt idx="8">
                    <c:v>2%</c:v>
                  </c:pt>
                </c15:dlblRangeCache>
              </c15:datalabelsRange>
            </c:ext>
            <c:ext xmlns:c16="http://schemas.microsoft.com/office/drawing/2014/chart" uri="{C3380CC4-5D6E-409C-BE32-E72D297353CC}">
              <c16:uniqueId val="{00000001-1700-4788-B0D5-E9EA2C5A9401}"/>
            </c:ext>
          </c:extLst>
        </c:ser>
        <c:dLbls>
          <c:showLegendKey val="0"/>
          <c:showVal val="0"/>
          <c:showCatName val="0"/>
          <c:showSerName val="0"/>
          <c:showPercent val="0"/>
          <c:showBubbleSize val="0"/>
        </c:dLbls>
        <c:gapWidth val="150"/>
        <c:overlap val="100"/>
        <c:axId val="109777967"/>
        <c:axId val="109784207"/>
      </c:barChart>
      <c:catAx>
        <c:axId val="1097779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9784207"/>
        <c:crosses val="autoZero"/>
        <c:auto val="1"/>
        <c:lblAlgn val="ctr"/>
        <c:lblOffset val="100"/>
        <c:noMultiLvlLbl val="0"/>
      </c:catAx>
      <c:valAx>
        <c:axId val="1097842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977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ALMENDRO Regadío </a:t>
            </a:r>
            <a:r>
              <a:rPr lang="es-ES" b="1" baseline="0">
                <a:solidFill>
                  <a:schemeClr val="tx1"/>
                </a:solidFill>
              </a:rPr>
              <a:t>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'ALM R-VAR'!$P$13:$R$13</c:f>
              <c:strCache>
                <c:ptCount val="1"/>
                <c:pt idx="0">
                  <c:v>ALMENDRO REGADÍO TOTAL</c:v>
                </c:pt>
              </c:strCache>
            </c:strRef>
          </c:tx>
          <c:spPr>
            <a:solidFill>
              <a:schemeClr val="accent1">
                <a:lumMod val="75000"/>
              </a:schemeClr>
            </a:solidFill>
            <a:ln>
              <a:solidFill>
                <a:schemeClr val="accent1">
                  <a:lumMod val="50000"/>
                </a:schemeClr>
              </a:solidFill>
            </a:ln>
            <a:effectLst/>
          </c:spPr>
          <c:invertIfNegative val="0"/>
          <c:dLbls>
            <c:dLbl>
              <c:idx val="0"/>
              <c:tx>
                <c:rich>
                  <a:bodyPr/>
                  <a:lstStyle/>
                  <a:p>
                    <a:fld id="{8FF224FB-A6D1-4913-A87B-2A41D4085D8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43-4A92-B168-D76402BB85E9}"/>
                </c:ext>
              </c:extLst>
            </c:dLbl>
            <c:dLbl>
              <c:idx val="1"/>
              <c:tx>
                <c:rich>
                  <a:bodyPr/>
                  <a:lstStyle/>
                  <a:p>
                    <a:fld id="{C82C7D11-C4DA-4FDE-A713-0AE4E91CDF8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243-4A92-B168-D76402BB85E9}"/>
                </c:ext>
              </c:extLst>
            </c:dLbl>
            <c:dLbl>
              <c:idx val="2"/>
              <c:tx>
                <c:rich>
                  <a:bodyPr/>
                  <a:lstStyle/>
                  <a:p>
                    <a:fld id="{BB44242E-CA64-4BF9-B435-7F18130D14B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243-4A92-B168-D76402BB85E9}"/>
                </c:ext>
              </c:extLst>
            </c:dLbl>
            <c:dLbl>
              <c:idx val="3"/>
              <c:tx>
                <c:rich>
                  <a:bodyPr/>
                  <a:lstStyle/>
                  <a:p>
                    <a:fld id="{2A80A031-365E-460C-AC5E-66445072D0E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243-4A92-B168-D76402BB85E9}"/>
                </c:ext>
              </c:extLst>
            </c:dLbl>
            <c:dLbl>
              <c:idx val="4"/>
              <c:tx>
                <c:rich>
                  <a:bodyPr/>
                  <a:lstStyle/>
                  <a:p>
                    <a:fld id="{DE5EF5D1-8E1F-4D33-B664-109C4348E1C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43-4A92-B168-D76402BB85E9}"/>
                </c:ext>
              </c:extLst>
            </c:dLbl>
            <c:dLbl>
              <c:idx val="5"/>
              <c:tx>
                <c:rich>
                  <a:bodyPr/>
                  <a:lstStyle/>
                  <a:p>
                    <a:fld id="{DC228A3D-237E-4593-9490-F4BDFFE567A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243-4A92-B168-D76402BB85E9}"/>
                </c:ext>
              </c:extLst>
            </c:dLbl>
            <c:dLbl>
              <c:idx val="6"/>
              <c:tx>
                <c:rich>
                  <a:bodyPr/>
                  <a:lstStyle/>
                  <a:p>
                    <a:fld id="{8C3C8219-8099-4322-8C3D-C920F112FDB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243-4A92-B168-D76402BB85E9}"/>
                </c:ext>
              </c:extLst>
            </c:dLbl>
            <c:dLbl>
              <c:idx val="7"/>
              <c:tx>
                <c:rich>
                  <a:bodyPr/>
                  <a:lstStyle/>
                  <a:p>
                    <a:fld id="{B105BA3D-7DEA-4401-ADB2-E8D861EA1E9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43-4A92-B168-D76402BB85E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 R-VAR'!$P$15:$P$22</c:f>
              <c:strCache>
                <c:ptCount val="8"/>
                <c:pt idx="0">
                  <c:v>GUARA</c:v>
                </c:pt>
                <c:pt idx="1">
                  <c:v>VAIRO</c:v>
                </c:pt>
                <c:pt idx="2">
                  <c:v>MARINADA</c:v>
                </c:pt>
                <c:pt idx="3">
                  <c:v>SOLETA</c:v>
                </c:pt>
                <c:pt idx="4">
                  <c:v>PENTACEBAS CSIC</c:v>
                </c:pt>
                <c:pt idx="5">
                  <c:v>COMUNA</c:v>
                </c:pt>
                <c:pt idx="6">
                  <c:v>MARCONA</c:v>
                </c:pt>
                <c:pt idx="7">
                  <c:v>LARGUETA</c:v>
                </c:pt>
              </c:strCache>
            </c:strRef>
          </c:cat>
          <c:val>
            <c:numRef>
              <c:f>'ALM R-VAR'!$Q$15:$Q$22</c:f>
              <c:numCache>
                <c:formatCode>#,##0</c:formatCode>
                <c:ptCount val="8"/>
                <c:pt idx="0">
                  <c:v>25541.93</c:v>
                </c:pt>
                <c:pt idx="1">
                  <c:v>9087.7599999999984</c:v>
                </c:pt>
                <c:pt idx="2">
                  <c:v>7452.1299999999983</c:v>
                </c:pt>
                <c:pt idx="3">
                  <c:v>6588.7400000000007</c:v>
                </c:pt>
                <c:pt idx="4">
                  <c:v>6209.72</c:v>
                </c:pt>
                <c:pt idx="5">
                  <c:v>6063.0399999999972</c:v>
                </c:pt>
                <c:pt idx="6">
                  <c:v>2659.6499999999996</c:v>
                </c:pt>
                <c:pt idx="7">
                  <c:v>2694.67</c:v>
                </c:pt>
              </c:numCache>
            </c:numRef>
          </c:val>
          <c:extLst>
            <c:ext xmlns:c15="http://schemas.microsoft.com/office/drawing/2012/chart" uri="{02D57815-91ED-43cb-92C2-25804820EDAC}">
              <c15:datalabelsRange>
                <c15:f>'ALM R-VAR'!$R$15:$R$22</c15:f>
                <c15:dlblRangeCache>
                  <c:ptCount val="8"/>
                  <c:pt idx="0">
                    <c:v>22%</c:v>
                  </c:pt>
                  <c:pt idx="1">
                    <c:v>8%</c:v>
                  </c:pt>
                  <c:pt idx="2">
                    <c:v>7%</c:v>
                  </c:pt>
                  <c:pt idx="3">
                    <c:v>6%</c:v>
                  </c:pt>
                  <c:pt idx="4">
                    <c:v>5%</c:v>
                  </c:pt>
                  <c:pt idx="5">
                    <c:v>5%</c:v>
                  </c:pt>
                  <c:pt idx="6">
                    <c:v>2%</c:v>
                  </c:pt>
                  <c:pt idx="7">
                    <c:v>2%</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0009520"/>
        <c:axId val="150007888"/>
      </c:barChart>
      <c:catAx>
        <c:axId val="15000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07888"/>
        <c:crosses val="autoZero"/>
        <c:auto val="1"/>
        <c:lblAlgn val="ctr"/>
        <c:lblOffset val="100"/>
        <c:noMultiLvlLbl val="0"/>
      </c:catAx>
      <c:valAx>
        <c:axId val="1500078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0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t>Almendro Regadío: </a:t>
            </a:r>
            <a:r>
              <a:rPr lang="en-US" sz="1400"/>
              <a:t>Convencional y Ecológico</a:t>
            </a:r>
            <a:r>
              <a:rPr lang="en-US" sz="1400" baseline="0"/>
              <a:t> (ha)</a:t>
            </a:r>
            <a:r>
              <a:rPr lang="en-US" sz="1400"/>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stacked"/>
        <c:varyColors val="0"/>
        <c:ser>
          <c:idx val="0"/>
          <c:order val="0"/>
          <c:tx>
            <c:v>Convencional</c:v>
          </c:tx>
          <c:spPr>
            <a:solidFill>
              <a:srgbClr val="0070C0"/>
            </a:solidFill>
            <a:ln>
              <a:solidFill>
                <a:schemeClr val="tx1">
                  <a:lumMod val="50000"/>
                  <a:lumOff val="50000"/>
                </a:schemeClr>
              </a:solidFill>
            </a:ln>
            <a:effectLst/>
          </c:spPr>
          <c:invertIfNegative val="0"/>
          <c:cat>
            <c:strRef>
              <c:f>'ALM R-VAR'!$P$14:$P$22</c:f>
              <c:strCache>
                <c:ptCount val="9"/>
                <c:pt idx="0">
                  <c:v>LAURANNE/AVIJOR</c:v>
                </c:pt>
                <c:pt idx="1">
                  <c:v>GUARA</c:v>
                </c:pt>
                <c:pt idx="2">
                  <c:v>VAIRO</c:v>
                </c:pt>
                <c:pt idx="3">
                  <c:v>MARINADA</c:v>
                </c:pt>
                <c:pt idx="4">
                  <c:v>SOLETA</c:v>
                </c:pt>
                <c:pt idx="5">
                  <c:v>PENTACEBAS CSIC</c:v>
                </c:pt>
                <c:pt idx="6">
                  <c:v>COMUNA</c:v>
                </c:pt>
                <c:pt idx="7">
                  <c:v>MARCONA</c:v>
                </c:pt>
                <c:pt idx="8">
                  <c:v>LARGUETA</c:v>
                </c:pt>
              </c:strCache>
            </c:strRef>
          </c:cat>
          <c:val>
            <c:numRef>
              <c:f>'ALM R-VAR'!$S$14:$S$22</c:f>
              <c:numCache>
                <c:formatCode>#,##0</c:formatCode>
                <c:ptCount val="9"/>
                <c:pt idx="0">
                  <c:v>28296.800000000007</c:v>
                </c:pt>
                <c:pt idx="1">
                  <c:v>20446.330000000002</c:v>
                </c:pt>
                <c:pt idx="2">
                  <c:v>8308.7299999999977</c:v>
                </c:pt>
                <c:pt idx="3">
                  <c:v>6487.9399999999987</c:v>
                </c:pt>
                <c:pt idx="4">
                  <c:v>6077.5400000000009</c:v>
                </c:pt>
                <c:pt idx="5">
                  <c:v>5552.52</c:v>
                </c:pt>
                <c:pt idx="6">
                  <c:v>4956.279999999997</c:v>
                </c:pt>
                <c:pt idx="7">
                  <c:v>2313.3299999999995</c:v>
                </c:pt>
                <c:pt idx="8">
                  <c:v>2168.1400000000003</c:v>
                </c:pt>
              </c:numCache>
            </c:numRef>
          </c:val>
          <c:extLst>
            <c:ext xmlns:c16="http://schemas.microsoft.com/office/drawing/2014/chart" uri="{C3380CC4-5D6E-409C-BE32-E72D297353CC}">
              <c16:uniqueId val="{00000000-8658-4A54-8A30-085C27A70BEE}"/>
            </c:ext>
          </c:extLst>
        </c:ser>
        <c:ser>
          <c:idx val="1"/>
          <c:order val="1"/>
          <c:tx>
            <c:v>Ecológico</c:v>
          </c:tx>
          <c:spPr>
            <a:solidFill>
              <a:srgbClr val="00FFCC"/>
            </a:solidFill>
            <a:ln>
              <a:solidFill>
                <a:sysClr val="windowText" lastClr="000000"/>
              </a:solidFill>
            </a:ln>
            <a:effectLst/>
          </c:spPr>
          <c:invertIfNegative val="0"/>
          <c:dLbls>
            <c:dLbl>
              <c:idx val="0"/>
              <c:layout>
                <c:manualLayout>
                  <c:x val="5.9648716089840348E-2"/>
                  <c:y val="-1.3623343853984326E-16"/>
                </c:manualLayout>
              </c:layout>
              <c:tx>
                <c:rich>
                  <a:bodyPr/>
                  <a:lstStyle/>
                  <a:p>
                    <a:fld id="{67725824-6FE6-4CCE-90A3-1765E029D651}"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658-4A54-8A30-085C27A70BEE}"/>
                </c:ext>
              </c:extLst>
            </c:dLbl>
            <c:dLbl>
              <c:idx val="1"/>
              <c:layout>
                <c:manualLayout>
                  <c:x val="0.10100809357347806"/>
                  <c:y val="-1.3623343853984326E-16"/>
                </c:manualLayout>
              </c:layout>
              <c:tx>
                <c:rich>
                  <a:bodyPr/>
                  <a:lstStyle/>
                  <a:p>
                    <a:fld id="{6557F23B-AD77-452F-BF55-E316D6130EB9}"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658-4A54-8A30-085C27A70BEE}"/>
                </c:ext>
              </c:extLst>
            </c:dLbl>
            <c:dLbl>
              <c:idx val="2"/>
              <c:layout>
                <c:manualLayout>
                  <c:x val="3.7055354820112976E-2"/>
                  <c:y val="-7.4310006720082105E-3"/>
                </c:manualLayout>
              </c:layout>
              <c:tx>
                <c:rich>
                  <a:bodyPr/>
                  <a:lstStyle/>
                  <a:p>
                    <a:fld id="{2BE0B6BC-7E8B-4FF5-A82E-6726DC83861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658-4A54-8A30-085C27A70BEE}"/>
                </c:ext>
              </c:extLst>
            </c:dLbl>
            <c:dLbl>
              <c:idx val="3"/>
              <c:layout>
                <c:manualLayout>
                  <c:x val="2.9851663932159836E-2"/>
                  <c:y val="0"/>
                </c:manualLayout>
              </c:layout>
              <c:tx>
                <c:rich>
                  <a:bodyPr/>
                  <a:lstStyle/>
                  <a:p>
                    <a:fld id="{D03069E7-191E-47AB-9DF1-B096561A0BD7}"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658-4A54-8A30-085C27A70BEE}"/>
                </c:ext>
              </c:extLst>
            </c:dLbl>
            <c:dLbl>
              <c:idx val="4"/>
              <c:layout>
                <c:manualLayout>
                  <c:x val="2.7297568889950542E-2"/>
                  <c:y val="0"/>
                </c:manualLayout>
              </c:layout>
              <c:tx>
                <c:rich>
                  <a:bodyPr/>
                  <a:lstStyle/>
                  <a:p>
                    <a:fld id="{04793433-751A-4867-84FD-E23F2D445261}"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658-4A54-8A30-085C27A70BEE}"/>
                </c:ext>
              </c:extLst>
            </c:dLbl>
            <c:dLbl>
              <c:idx val="5"/>
              <c:layout>
                <c:manualLayout>
                  <c:x val="4.7233579080290744E-2"/>
                  <c:y val="3.7155003360041052E-3"/>
                </c:manualLayout>
              </c:layout>
              <c:tx>
                <c:rich>
                  <a:bodyPr/>
                  <a:lstStyle/>
                  <a:p>
                    <a:fld id="{C8A78C90-B2C1-42C8-B29B-9FE6DE05675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658-4A54-8A30-085C27A70BEE}"/>
                </c:ext>
              </c:extLst>
            </c:dLbl>
            <c:dLbl>
              <c:idx val="6"/>
              <c:layout>
                <c:manualLayout>
                  <c:x val="3.5971618513970176E-2"/>
                  <c:y val="0"/>
                </c:manualLayout>
              </c:layout>
              <c:tx>
                <c:rich>
                  <a:bodyPr/>
                  <a:lstStyle/>
                  <a:p>
                    <a:fld id="{9B2904A8-EC7A-4557-A450-17E0A6547F2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658-4A54-8A30-085C27A70BEE}"/>
                </c:ext>
              </c:extLst>
            </c:dLbl>
            <c:dLbl>
              <c:idx val="7"/>
              <c:layout>
                <c:manualLayout>
                  <c:x val="2.7828496604757048E-2"/>
                  <c:y val="3.7155003360041052E-3"/>
                </c:manualLayout>
              </c:layout>
              <c:tx>
                <c:rich>
                  <a:bodyPr/>
                  <a:lstStyle/>
                  <a:p>
                    <a:fld id="{C31B2A9C-C47E-42CB-9046-7CD11BD7F25A}"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658-4A54-8A30-085C27A70BEE}"/>
                </c:ext>
              </c:extLst>
            </c:dLbl>
            <c:dLbl>
              <c:idx val="8"/>
              <c:layout>
                <c:manualLayout>
                  <c:x val="3.4351348648620793E-2"/>
                  <c:y val="-1.7029179817480407E-17"/>
                </c:manualLayout>
              </c:layout>
              <c:tx>
                <c:rich>
                  <a:bodyPr/>
                  <a:lstStyle/>
                  <a:p>
                    <a:fld id="{DCE13828-8EEF-496D-A00B-937F81C27E8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658-4A54-8A30-085C27A70BE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 R-VAR'!$P$14:$P$22</c:f>
              <c:strCache>
                <c:ptCount val="9"/>
                <c:pt idx="0">
                  <c:v>LAURANNE/AVIJOR</c:v>
                </c:pt>
                <c:pt idx="1">
                  <c:v>GUARA</c:v>
                </c:pt>
                <c:pt idx="2">
                  <c:v>VAIRO</c:v>
                </c:pt>
                <c:pt idx="3">
                  <c:v>MARINADA</c:v>
                </c:pt>
                <c:pt idx="4">
                  <c:v>SOLETA</c:v>
                </c:pt>
                <c:pt idx="5">
                  <c:v>PENTACEBAS CSIC</c:v>
                </c:pt>
                <c:pt idx="6">
                  <c:v>COMUNA</c:v>
                </c:pt>
                <c:pt idx="7">
                  <c:v>MARCONA</c:v>
                </c:pt>
                <c:pt idx="8">
                  <c:v>LARGUETA</c:v>
                </c:pt>
              </c:strCache>
            </c:strRef>
          </c:cat>
          <c:val>
            <c:numRef>
              <c:f>'ALM R-VAR'!$U$14:$U$22</c:f>
              <c:numCache>
                <c:formatCode>#,##0</c:formatCode>
                <c:ptCount val="9"/>
                <c:pt idx="0">
                  <c:v>2520.04</c:v>
                </c:pt>
                <c:pt idx="1">
                  <c:v>5095.5999999999995</c:v>
                </c:pt>
                <c:pt idx="2">
                  <c:v>779.03</c:v>
                </c:pt>
                <c:pt idx="3">
                  <c:v>964.18999999999983</c:v>
                </c:pt>
                <c:pt idx="4">
                  <c:v>511.20000000000005</c:v>
                </c:pt>
                <c:pt idx="5">
                  <c:v>657.2</c:v>
                </c:pt>
                <c:pt idx="6">
                  <c:v>1106.76</c:v>
                </c:pt>
                <c:pt idx="7">
                  <c:v>346.32</c:v>
                </c:pt>
                <c:pt idx="8">
                  <c:v>526.53</c:v>
                </c:pt>
              </c:numCache>
            </c:numRef>
          </c:val>
          <c:extLst>
            <c:ext xmlns:c15="http://schemas.microsoft.com/office/drawing/2012/chart" uri="{02D57815-91ED-43cb-92C2-25804820EDAC}">
              <c15:datalabelsRange>
                <c15:f>'ALM R-VAR'!$R$14:$R$22</c15:f>
                <c15:dlblRangeCache>
                  <c:ptCount val="9"/>
                  <c:pt idx="0">
                    <c:v>27%</c:v>
                  </c:pt>
                  <c:pt idx="1">
                    <c:v>22%</c:v>
                  </c:pt>
                  <c:pt idx="2">
                    <c:v>8%</c:v>
                  </c:pt>
                  <c:pt idx="3">
                    <c:v>7%</c:v>
                  </c:pt>
                  <c:pt idx="4">
                    <c:v>6%</c:v>
                  </c:pt>
                  <c:pt idx="5">
                    <c:v>5%</c:v>
                  </c:pt>
                  <c:pt idx="6">
                    <c:v>5%</c:v>
                  </c:pt>
                  <c:pt idx="7">
                    <c:v>2%</c:v>
                  </c:pt>
                  <c:pt idx="8">
                    <c:v>2%</c:v>
                  </c:pt>
                </c15:dlblRangeCache>
              </c15:datalabelsRange>
            </c:ext>
            <c:ext xmlns:c16="http://schemas.microsoft.com/office/drawing/2014/chart" uri="{C3380CC4-5D6E-409C-BE32-E72D297353CC}">
              <c16:uniqueId val="{00000001-8658-4A54-8A30-085C27A70BEE}"/>
            </c:ext>
          </c:extLst>
        </c:ser>
        <c:dLbls>
          <c:showLegendKey val="0"/>
          <c:showVal val="0"/>
          <c:showCatName val="0"/>
          <c:showSerName val="0"/>
          <c:showPercent val="0"/>
          <c:showBubbleSize val="0"/>
        </c:dLbls>
        <c:gapWidth val="150"/>
        <c:overlap val="100"/>
        <c:axId val="1962811935"/>
        <c:axId val="1962815263"/>
      </c:barChart>
      <c:catAx>
        <c:axId val="19628119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962815263"/>
        <c:crosses val="autoZero"/>
        <c:auto val="1"/>
        <c:lblAlgn val="ctr"/>
        <c:lblOffset val="100"/>
        <c:noMultiLvlLbl val="0"/>
      </c:catAx>
      <c:valAx>
        <c:axId val="196281526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62811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PISTACHO</a:t>
            </a:r>
            <a:r>
              <a:rPr lang="es-ES" b="1" baseline="0">
                <a:solidFill>
                  <a:schemeClr val="tx1"/>
                </a:solidFill>
              </a:rPr>
              <a:t> </a:t>
            </a:r>
            <a:r>
              <a:rPr lang="es-ES" b="1">
                <a:solidFill>
                  <a:schemeClr val="tx1"/>
                </a:solidFill>
              </a:rPr>
              <a:t>Secano</a:t>
            </a:r>
            <a:r>
              <a:rPr lang="es-ES" b="1" baseline="0">
                <a:solidFill>
                  <a:schemeClr val="tx1"/>
                </a:solidFill>
              </a:rPr>
              <a:t> 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'PIS S-VAR'!$Q$13:$S$13</c:f>
              <c:strCache>
                <c:ptCount val="1"/>
                <c:pt idx="0">
                  <c:v>PISTACHO SECANO TOTAL</c:v>
                </c:pt>
              </c:strCache>
            </c:strRef>
          </c:tx>
          <c:spPr>
            <a:solidFill>
              <a:srgbClr val="CB9661"/>
            </a:solidFill>
            <a:ln>
              <a:solidFill>
                <a:srgbClr val="996633"/>
              </a:solidFill>
            </a:ln>
            <a:effectLst/>
          </c:spPr>
          <c:invertIfNegative val="0"/>
          <c:dLbls>
            <c:dLbl>
              <c:idx val="0"/>
              <c:tx>
                <c:rich>
                  <a:bodyPr/>
                  <a:lstStyle/>
                  <a:p>
                    <a:fld id="{44FF8B5A-3791-4F7E-BBAE-60B4D0C1727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EA6-47A4-AB24-992E89C4B00B}"/>
                </c:ext>
              </c:extLst>
            </c:dLbl>
            <c:dLbl>
              <c:idx val="1"/>
              <c:tx>
                <c:rich>
                  <a:bodyPr/>
                  <a:lstStyle/>
                  <a:p>
                    <a:fld id="{D7FCD535-7DDF-4194-815F-728BCF20F10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A6-47A4-AB24-992E89C4B00B}"/>
                </c:ext>
              </c:extLst>
            </c:dLbl>
            <c:dLbl>
              <c:idx val="2"/>
              <c:tx>
                <c:rich>
                  <a:bodyPr/>
                  <a:lstStyle/>
                  <a:p>
                    <a:fld id="{B7A18FAC-8E5C-408F-A14F-E87F11F6248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A6-47A4-AB24-992E89C4B00B}"/>
                </c:ext>
              </c:extLst>
            </c:dLbl>
            <c:dLbl>
              <c:idx val="3"/>
              <c:tx>
                <c:rich>
                  <a:bodyPr/>
                  <a:lstStyle/>
                  <a:p>
                    <a:fld id="{ED9A878F-8075-4BF0-9FED-2204AB94B04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A6-47A4-AB24-992E89C4B00B}"/>
                </c:ext>
              </c:extLst>
            </c:dLbl>
            <c:dLbl>
              <c:idx val="4"/>
              <c:tx>
                <c:rich>
                  <a:bodyPr/>
                  <a:lstStyle/>
                  <a:p>
                    <a:fld id="{ACA9A698-6954-4263-B116-D563C3E3727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A6-47A4-AB24-992E89C4B00B}"/>
                </c:ext>
              </c:extLst>
            </c:dLbl>
            <c:dLbl>
              <c:idx val="5"/>
              <c:tx>
                <c:rich>
                  <a:bodyPr/>
                  <a:lstStyle/>
                  <a:p>
                    <a:fld id="{379720A0-DF03-471A-BCA9-342E96B450A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A6-47A4-AB24-992E89C4B00B}"/>
                </c:ext>
              </c:extLst>
            </c:dLbl>
            <c:dLbl>
              <c:idx val="6"/>
              <c:tx>
                <c:rich>
                  <a:bodyPr/>
                  <a:lstStyle/>
                  <a:p>
                    <a:fld id="{6BF6EE1A-C38D-4FC1-92E5-2D7F8997392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A6-47A4-AB24-992E89C4B00B}"/>
                </c:ext>
              </c:extLst>
            </c:dLbl>
            <c:dLbl>
              <c:idx val="7"/>
              <c:tx>
                <c:rich>
                  <a:bodyPr/>
                  <a:lstStyle/>
                  <a:p>
                    <a:fld id="{023AC76B-E545-4A87-BC43-B7C47731BAC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A6-47A4-AB24-992E89C4B00B}"/>
                </c:ext>
              </c:extLst>
            </c:dLbl>
            <c:dLbl>
              <c:idx val="8"/>
              <c:tx>
                <c:rich>
                  <a:bodyPr/>
                  <a:lstStyle/>
                  <a:p>
                    <a:fld id="{09E5896B-B512-4DCB-9C95-C572F0E0FE1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A6-47A4-AB24-992E89C4B00B}"/>
                </c:ext>
              </c:extLst>
            </c:dLbl>
            <c:dLbl>
              <c:idx val="9"/>
              <c:tx>
                <c:rich>
                  <a:bodyPr/>
                  <a:lstStyle/>
                  <a:p>
                    <a:fld id="{40893181-A8A5-4700-80EF-BDE2E354839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A6-47A4-AB24-992E89C4B00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 S-VAR'!$Q$14:$Q$23</c:f>
              <c:strCache>
                <c:ptCount val="10"/>
                <c:pt idx="0">
                  <c:v>KERMAN</c:v>
                </c:pt>
                <c:pt idx="1">
                  <c:v>SIRORA</c:v>
                </c:pt>
                <c:pt idx="2">
                  <c:v>LARNAKA</c:v>
                </c:pt>
                <c:pt idx="3">
                  <c:v>LOST HILLS</c:v>
                </c:pt>
                <c:pt idx="4">
                  <c:v>AEGINA</c:v>
                </c:pt>
                <c:pt idx="5">
                  <c:v>AVDAT</c:v>
                </c:pt>
                <c:pt idx="6">
                  <c:v>PETER</c:v>
                </c:pt>
                <c:pt idx="7">
                  <c:v>MATEUR</c:v>
                </c:pt>
                <c:pt idx="8">
                  <c:v>KASTEL</c:v>
                </c:pt>
                <c:pt idx="9">
                  <c:v>GOLDENS HILLS</c:v>
                </c:pt>
              </c:strCache>
            </c:strRef>
          </c:cat>
          <c:val>
            <c:numRef>
              <c:f>'PIS S-VAR'!$R$14:$R$23</c:f>
              <c:numCache>
                <c:formatCode>#,##0</c:formatCode>
                <c:ptCount val="10"/>
                <c:pt idx="0">
                  <c:v>29395.310000000005</c:v>
                </c:pt>
                <c:pt idx="1">
                  <c:v>4414.13</c:v>
                </c:pt>
                <c:pt idx="2">
                  <c:v>1824.96</c:v>
                </c:pt>
                <c:pt idx="3">
                  <c:v>504.71</c:v>
                </c:pt>
                <c:pt idx="4">
                  <c:v>379.89000000000004</c:v>
                </c:pt>
                <c:pt idx="5">
                  <c:v>334.83000000000004</c:v>
                </c:pt>
                <c:pt idx="6">
                  <c:v>257.37</c:v>
                </c:pt>
                <c:pt idx="7">
                  <c:v>232.34999999999997</c:v>
                </c:pt>
                <c:pt idx="8">
                  <c:v>177.83</c:v>
                </c:pt>
                <c:pt idx="9">
                  <c:v>93.759999999999991</c:v>
                </c:pt>
              </c:numCache>
            </c:numRef>
          </c:val>
          <c:extLst>
            <c:ext xmlns:c15="http://schemas.microsoft.com/office/drawing/2012/chart" uri="{02D57815-91ED-43cb-92C2-25804820EDAC}">
              <c15:datalabelsRange>
                <c15:f>'PIS S-VAR'!$S$14:$S$23</c15:f>
                <c15:dlblRangeCache>
                  <c:ptCount val="10"/>
                  <c:pt idx="0">
                    <c:v>67%</c:v>
                  </c:pt>
                  <c:pt idx="1">
                    <c:v>10%</c:v>
                  </c:pt>
                  <c:pt idx="2">
                    <c:v>4%</c:v>
                  </c:pt>
                  <c:pt idx="3">
                    <c:v>1,15%</c:v>
                  </c:pt>
                  <c:pt idx="4">
                    <c:v>0,86%</c:v>
                  </c:pt>
                  <c:pt idx="5">
                    <c:v>0,76%</c:v>
                  </c:pt>
                  <c:pt idx="6">
                    <c:v>0,58%</c:v>
                  </c:pt>
                  <c:pt idx="7">
                    <c:v>0,53%</c:v>
                  </c:pt>
                  <c:pt idx="8">
                    <c:v>0,40%</c:v>
                  </c:pt>
                  <c:pt idx="9">
                    <c:v>0,21%</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0010064"/>
        <c:axId val="150010608"/>
      </c:barChart>
      <c:catAx>
        <c:axId val="150010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10608"/>
        <c:crosses val="autoZero"/>
        <c:auto val="1"/>
        <c:lblAlgn val="ctr"/>
        <c:lblOffset val="100"/>
        <c:noMultiLvlLbl val="0"/>
      </c:catAx>
      <c:valAx>
        <c:axId val="1500106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10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PISTACHO</a:t>
            </a:r>
            <a:r>
              <a:rPr lang="es-ES" b="1" baseline="0">
                <a:solidFill>
                  <a:schemeClr val="tx1"/>
                </a:solidFill>
              </a:rPr>
              <a:t> </a:t>
            </a:r>
            <a:r>
              <a:rPr lang="es-ES" b="1">
                <a:solidFill>
                  <a:schemeClr val="tx1"/>
                </a:solidFill>
              </a:rPr>
              <a:t>Secano</a:t>
            </a:r>
            <a:r>
              <a:rPr lang="es-ES" b="1" baseline="0">
                <a:solidFill>
                  <a:schemeClr val="tx1"/>
                </a:solidFill>
              </a:rPr>
              <a:t> Ecológico</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'PIS S-VAR'!$Q$74:$S$74</c:f>
              <c:strCache>
                <c:ptCount val="1"/>
                <c:pt idx="0">
                  <c:v>PISTACHO SECANO ECOLÓGICO</c:v>
                </c:pt>
              </c:strCache>
            </c:strRef>
          </c:tx>
          <c:spPr>
            <a:solidFill>
              <a:schemeClr val="accent6"/>
            </a:solidFill>
            <a:ln>
              <a:solidFill>
                <a:schemeClr val="accent6">
                  <a:lumMod val="75000"/>
                </a:schemeClr>
              </a:solidFill>
            </a:ln>
            <a:effectLst/>
          </c:spPr>
          <c:invertIfNegative val="0"/>
          <c:dLbls>
            <c:dLbl>
              <c:idx val="0"/>
              <c:tx>
                <c:rich>
                  <a:bodyPr/>
                  <a:lstStyle/>
                  <a:p>
                    <a:fld id="{A43316AA-DC9A-455D-9A58-7BD18DFDCF4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67B-49B0-A7F0-6B6A46077272}"/>
                </c:ext>
              </c:extLst>
            </c:dLbl>
            <c:dLbl>
              <c:idx val="1"/>
              <c:tx>
                <c:rich>
                  <a:bodyPr/>
                  <a:lstStyle/>
                  <a:p>
                    <a:fld id="{2A602009-4780-4E87-A380-B26A1612440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7B-49B0-A7F0-6B6A46077272}"/>
                </c:ext>
              </c:extLst>
            </c:dLbl>
            <c:dLbl>
              <c:idx val="2"/>
              <c:tx>
                <c:rich>
                  <a:bodyPr/>
                  <a:lstStyle/>
                  <a:p>
                    <a:fld id="{4356BAA2-BC6B-4431-9E48-3EE5B517CB3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7B-49B0-A7F0-6B6A46077272}"/>
                </c:ext>
              </c:extLst>
            </c:dLbl>
            <c:dLbl>
              <c:idx val="3"/>
              <c:tx>
                <c:rich>
                  <a:bodyPr/>
                  <a:lstStyle/>
                  <a:p>
                    <a:fld id="{CEEAC290-1B8B-45FA-9B59-92C23AD46D1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7B-49B0-A7F0-6B6A46077272}"/>
                </c:ext>
              </c:extLst>
            </c:dLbl>
            <c:dLbl>
              <c:idx val="4"/>
              <c:tx>
                <c:rich>
                  <a:bodyPr/>
                  <a:lstStyle/>
                  <a:p>
                    <a:fld id="{A3C15009-4EE7-4453-813B-CC0EA7FA442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7B-49B0-A7F0-6B6A46077272}"/>
                </c:ext>
              </c:extLst>
            </c:dLbl>
            <c:dLbl>
              <c:idx val="5"/>
              <c:tx>
                <c:rich>
                  <a:bodyPr/>
                  <a:lstStyle/>
                  <a:p>
                    <a:fld id="{55D60D79-6740-4DDE-8B58-A3A9612231D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7B-49B0-A7F0-6B6A46077272}"/>
                </c:ext>
              </c:extLst>
            </c:dLbl>
            <c:dLbl>
              <c:idx val="6"/>
              <c:tx>
                <c:rich>
                  <a:bodyPr/>
                  <a:lstStyle/>
                  <a:p>
                    <a:fld id="{F0F1F8C6-1D35-44B4-A349-9D6CDC99E33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7B-49B0-A7F0-6B6A46077272}"/>
                </c:ext>
              </c:extLst>
            </c:dLbl>
            <c:dLbl>
              <c:idx val="7"/>
              <c:tx>
                <c:rich>
                  <a:bodyPr/>
                  <a:lstStyle/>
                  <a:p>
                    <a:fld id="{9251535E-1D58-4C09-97BA-9B91E9CB2DA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67B-49B0-A7F0-6B6A46077272}"/>
                </c:ext>
              </c:extLst>
            </c:dLbl>
            <c:dLbl>
              <c:idx val="8"/>
              <c:tx>
                <c:rich>
                  <a:bodyPr/>
                  <a:lstStyle/>
                  <a:p>
                    <a:fld id="{195F37CE-190B-4845-BF8D-5B1065A4CFC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67B-49B0-A7F0-6B6A46077272}"/>
                </c:ext>
              </c:extLst>
            </c:dLbl>
            <c:dLbl>
              <c:idx val="9"/>
              <c:tx>
                <c:rich>
                  <a:bodyPr/>
                  <a:lstStyle/>
                  <a:p>
                    <a:fld id="{D437646D-226D-4257-AC99-9A89DAF42F8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7B-49B0-A7F0-6B6A4607727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 S-VAR'!$Q$75:$Q$84</c:f>
              <c:strCache>
                <c:ptCount val="10"/>
                <c:pt idx="0">
                  <c:v>KERMAN</c:v>
                </c:pt>
                <c:pt idx="1">
                  <c:v>SIRORA</c:v>
                </c:pt>
                <c:pt idx="2">
                  <c:v>LARNAKA</c:v>
                </c:pt>
                <c:pt idx="3">
                  <c:v>AVDAT</c:v>
                </c:pt>
                <c:pt idx="4">
                  <c:v>LOST HILLS</c:v>
                </c:pt>
                <c:pt idx="5">
                  <c:v>KASTEL</c:v>
                </c:pt>
                <c:pt idx="6">
                  <c:v>MATEUR</c:v>
                </c:pt>
                <c:pt idx="7">
                  <c:v>PETER</c:v>
                </c:pt>
                <c:pt idx="8">
                  <c:v>GOLDENS HILLS</c:v>
                </c:pt>
                <c:pt idx="9">
                  <c:v>AEGINA</c:v>
                </c:pt>
              </c:strCache>
            </c:strRef>
          </c:cat>
          <c:val>
            <c:numRef>
              <c:f>'PIS S-VAR'!$R$75:$R$84</c:f>
              <c:numCache>
                <c:formatCode>#,##0</c:formatCode>
                <c:ptCount val="10"/>
                <c:pt idx="0">
                  <c:v>6933.5199999999995</c:v>
                </c:pt>
                <c:pt idx="1">
                  <c:v>1051.8899999999999</c:v>
                </c:pt>
                <c:pt idx="2">
                  <c:v>455.47999999999996</c:v>
                </c:pt>
                <c:pt idx="3">
                  <c:v>201.88</c:v>
                </c:pt>
                <c:pt idx="4">
                  <c:v>162.26000000000002</c:v>
                </c:pt>
                <c:pt idx="5">
                  <c:v>101.67</c:v>
                </c:pt>
                <c:pt idx="6">
                  <c:v>83.09</c:v>
                </c:pt>
                <c:pt idx="7">
                  <c:v>58.66</c:v>
                </c:pt>
                <c:pt idx="8">
                  <c:v>24.08</c:v>
                </c:pt>
                <c:pt idx="9">
                  <c:v>14.77</c:v>
                </c:pt>
              </c:numCache>
            </c:numRef>
          </c:val>
          <c:extLst>
            <c:ext xmlns:c15="http://schemas.microsoft.com/office/drawing/2012/chart" uri="{02D57815-91ED-43cb-92C2-25804820EDAC}">
              <c15:datalabelsRange>
                <c15:f>'PIS S-VAR'!$S$75:$S$84</c15:f>
                <c15:dlblRangeCache>
                  <c:ptCount val="10"/>
                  <c:pt idx="0">
                    <c:v>66%</c:v>
                  </c:pt>
                  <c:pt idx="1">
                    <c:v>10%</c:v>
                  </c:pt>
                  <c:pt idx="2">
                    <c:v>4%</c:v>
                  </c:pt>
                  <c:pt idx="3">
                    <c:v>2%</c:v>
                  </c:pt>
                  <c:pt idx="4">
                    <c:v>1,55%</c:v>
                  </c:pt>
                  <c:pt idx="5">
                    <c:v>0,97%</c:v>
                  </c:pt>
                  <c:pt idx="6">
                    <c:v>0,80%</c:v>
                  </c:pt>
                  <c:pt idx="7">
                    <c:v>0,56%</c:v>
                  </c:pt>
                  <c:pt idx="8">
                    <c:v>0,23%</c:v>
                  </c:pt>
                  <c:pt idx="9">
                    <c:v>0,14%</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0011152"/>
        <c:axId val="150011696"/>
      </c:barChart>
      <c:catAx>
        <c:axId val="150011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11696"/>
        <c:crosses val="autoZero"/>
        <c:auto val="1"/>
        <c:lblAlgn val="ctr"/>
        <c:lblOffset val="100"/>
        <c:noMultiLvlLbl val="0"/>
      </c:catAx>
      <c:valAx>
        <c:axId val="150011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0011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PISTACHO</a:t>
            </a:r>
            <a:r>
              <a:rPr lang="es-ES" b="1" baseline="0">
                <a:solidFill>
                  <a:schemeClr val="tx1"/>
                </a:solidFill>
              </a:rPr>
              <a:t> </a:t>
            </a:r>
            <a:r>
              <a:rPr lang="es-ES" b="1">
                <a:solidFill>
                  <a:schemeClr val="tx1"/>
                </a:solidFill>
              </a:rPr>
              <a:t>Secano</a:t>
            </a:r>
            <a:r>
              <a:rPr lang="es-ES" b="1" baseline="0">
                <a:solidFill>
                  <a:schemeClr val="tx1"/>
                </a:solidFill>
              </a:rPr>
              <a:t> Convencional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'PIS S-VAR'!$Q$135:$S$135</c:f>
              <c:strCache>
                <c:ptCount val="1"/>
                <c:pt idx="0">
                  <c:v>PISTACHO SECANO CONVENCIONAL</c:v>
                </c:pt>
              </c:strCache>
            </c:strRef>
          </c:tx>
          <c:spPr>
            <a:solidFill>
              <a:schemeClr val="accent2"/>
            </a:solidFill>
            <a:ln>
              <a:solidFill>
                <a:schemeClr val="accent2">
                  <a:lumMod val="75000"/>
                </a:schemeClr>
              </a:solidFill>
            </a:ln>
            <a:effectLst/>
          </c:spPr>
          <c:invertIfNegative val="0"/>
          <c:dLbls>
            <c:dLbl>
              <c:idx val="0"/>
              <c:tx>
                <c:rich>
                  <a:bodyPr/>
                  <a:lstStyle/>
                  <a:p>
                    <a:fld id="{CD5B25FF-D383-4C61-AC3B-3458F92744F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317-4F07-9312-58B84A5274F0}"/>
                </c:ext>
              </c:extLst>
            </c:dLbl>
            <c:dLbl>
              <c:idx val="1"/>
              <c:tx>
                <c:rich>
                  <a:bodyPr/>
                  <a:lstStyle/>
                  <a:p>
                    <a:fld id="{E290A3F0-BF2B-4EF3-AF39-CCA09E72F67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17-4F07-9312-58B84A5274F0}"/>
                </c:ext>
              </c:extLst>
            </c:dLbl>
            <c:dLbl>
              <c:idx val="2"/>
              <c:tx>
                <c:rich>
                  <a:bodyPr/>
                  <a:lstStyle/>
                  <a:p>
                    <a:fld id="{BBB400DE-3764-4C2A-AF53-1A78D5F8DA4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17-4F07-9312-58B84A5274F0}"/>
                </c:ext>
              </c:extLst>
            </c:dLbl>
            <c:dLbl>
              <c:idx val="3"/>
              <c:tx>
                <c:rich>
                  <a:bodyPr/>
                  <a:lstStyle/>
                  <a:p>
                    <a:fld id="{E2AB6C42-5356-4855-B81C-66C8D7892D9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17-4F07-9312-58B84A5274F0}"/>
                </c:ext>
              </c:extLst>
            </c:dLbl>
            <c:dLbl>
              <c:idx val="4"/>
              <c:tx>
                <c:rich>
                  <a:bodyPr/>
                  <a:lstStyle/>
                  <a:p>
                    <a:fld id="{0AF2D66D-2EAC-4D8C-BACF-3663EBD030B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17-4F07-9312-58B84A5274F0}"/>
                </c:ext>
              </c:extLst>
            </c:dLbl>
            <c:dLbl>
              <c:idx val="5"/>
              <c:tx>
                <c:rich>
                  <a:bodyPr/>
                  <a:lstStyle/>
                  <a:p>
                    <a:fld id="{881C99F9-3F7E-465F-90AA-13FAF042D1B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17-4F07-9312-58B84A5274F0}"/>
                </c:ext>
              </c:extLst>
            </c:dLbl>
            <c:dLbl>
              <c:idx val="6"/>
              <c:tx>
                <c:rich>
                  <a:bodyPr/>
                  <a:lstStyle/>
                  <a:p>
                    <a:fld id="{0595EA58-BC01-4B6D-A9EE-48C4EA67542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17-4F07-9312-58B84A5274F0}"/>
                </c:ext>
              </c:extLst>
            </c:dLbl>
            <c:dLbl>
              <c:idx val="7"/>
              <c:tx>
                <c:rich>
                  <a:bodyPr/>
                  <a:lstStyle/>
                  <a:p>
                    <a:fld id="{19891209-9549-47A3-B313-9E46CF9EA06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17-4F07-9312-58B84A5274F0}"/>
                </c:ext>
              </c:extLst>
            </c:dLbl>
            <c:dLbl>
              <c:idx val="8"/>
              <c:tx>
                <c:rich>
                  <a:bodyPr/>
                  <a:lstStyle/>
                  <a:p>
                    <a:fld id="{29BECF52-4C0F-4108-BFC3-A87B791CCD1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17-4F07-9312-58B84A5274F0}"/>
                </c:ext>
              </c:extLst>
            </c:dLbl>
            <c:dLbl>
              <c:idx val="9"/>
              <c:tx>
                <c:rich>
                  <a:bodyPr/>
                  <a:lstStyle/>
                  <a:p>
                    <a:fld id="{23C824BA-B53D-4279-9DDB-263FA106F74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17-4F07-9312-58B84A5274F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 S-VAR'!$Q$136:$Q$145</c:f>
              <c:strCache>
                <c:ptCount val="10"/>
                <c:pt idx="0">
                  <c:v>KERMAN</c:v>
                </c:pt>
                <c:pt idx="1">
                  <c:v>SIRORA</c:v>
                </c:pt>
                <c:pt idx="2">
                  <c:v>LARNAKA</c:v>
                </c:pt>
                <c:pt idx="3">
                  <c:v>AEGINA</c:v>
                </c:pt>
                <c:pt idx="4">
                  <c:v>LOST HILLS</c:v>
                </c:pt>
                <c:pt idx="5">
                  <c:v>PETER</c:v>
                </c:pt>
                <c:pt idx="6">
                  <c:v>MATEUR</c:v>
                </c:pt>
                <c:pt idx="7">
                  <c:v>AVDAT</c:v>
                </c:pt>
                <c:pt idx="8">
                  <c:v>KASTEL</c:v>
                </c:pt>
                <c:pt idx="9">
                  <c:v>GOLDENS HILLS</c:v>
                </c:pt>
              </c:strCache>
            </c:strRef>
          </c:cat>
          <c:val>
            <c:numRef>
              <c:f>'PIS S-VAR'!$R$136:$R$145</c:f>
              <c:numCache>
                <c:formatCode>#,##0</c:formatCode>
                <c:ptCount val="10"/>
                <c:pt idx="0">
                  <c:v>22461.79</c:v>
                </c:pt>
                <c:pt idx="1">
                  <c:v>3362.24</c:v>
                </c:pt>
                <c:pt idx="2">
                  <c:v>1369.4799999999998</c:v>
                </c:pt>
                <c:pt idx="3">
                  <c:v>365.11999999999995</c:v>
                </c:pt>
                <c:pt idx="4">
                  <c:v>342.45</c:v>
                </c:pt>
                <c:pt idx="5">
                  <c:v>198.71000000000004</c:v>
                </c:pt>
                <c:pt idx="6">
                  <c:v>149.25999999999996</c:v>
                </c:pt>
                <c:pt idx="7">
                  <c:v>132.94999999999999</c:v>
                </c:pt>
                <c:pt idx="8">
                  <c:v>76.160000000000011</c:v>
                </c:pt>
                <c:pt idx="9">
                  <c:v>69.679999999999978</c:v>
                </c:pt>
              </c:numCache>
            </c:numRef>
          </c:val>
          <c:extLst>
            <c:ext xmlns:c15="http://schemas.microsoft.com/office/drawing/2012/chart" uri="{02D57815-91ED-43cb-92C2-25804820EDAC}">
              <c15:datalabelsRange>
                <c15:f>'PIS S-VAR'!$S$136:$S$145</c15:f>
                <c15:dlblRangeCache>
                  <c:ptCount val="10"/>
                  <c:pt idx="0">
                    <c:v>67%</c:v>
                  </c:pt>
                  <c:pt idx="1">
                    <c:v>10%</c:v>
                  </c:pt>
                  <c:pt idx="2">
                    <c:v>4%</c:v>
                  </c:pt>
                  <c:pt idx="3">
                    <c:v>1,09%</c:v>
                  </c:pt>
                  <c:pt idx="4">
                    <c:v>1,02%</c:v>
                  </c:pt>
                  <c:pt idx="5">
                    <c:v>0,59%</c:v>
                  </c:pt>
                  <c:pt idx="6">
                    <c:v>0,44%</c:v>
                  </c:pt>
                  <c:pt idx="7">
                    <c:v>0,40%</c:v>
                  </c:pt>
                  <c:pt idx="8">
                    <c:v>0,23%</c:v>
                  </c:pt>
                  <c:pt idx="9">
                    <c:v>0,21%</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97552"/>
        <c:axId val="154687760"/>
      </c:barChart>
      <c:catAx>
        <c:axId val="154697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7760"/>
        <c:crosses val="autoZero"/>
        <c:auto val="1"/>
        <c:lblAlgn val="ctr"/>
        <c:lblOffset val="100"/>
        <c:noMultiLvlLbl val="0"/>
      </c:catAx>
      <c:valAx>
        <c:axId val="1546877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1"/>
              <a:t>Pistacho</a:t>
            </a:r>
            <a:r>
              <a:rPr lang="es-ES" sz="1400" b="1" baseline="0"/>
              <a:t> Secano</a:t>
            </a:r>
            <a:r>
              <a:rPr lang="es-ES" sz="1400" baseline="0"/>
              <a:t>: Convencional y Ecológico (ha)</a:t>
            </a:r>
            <a:endParaRPr lang="es-E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stacked"/>
        <c:varyColors val="0"/>
        <c:ser>
          <c:idx val="0"/>
          <c:order val="0"/>
          <c:tx>
            <c:v>Convencional</c:v>
          </c:tx>
          <c:spPr>
            <a:solidFill>
              <a:srgbClr val="996633"/>
            </a:solidFill>
            <a:ln>
              <a:noFill/>
            </a:ln>
            <a:effectLst/>
          </c:spPr>
          <c:invertIfNegative val="0"/>
          <c:cat>
            <c:strRef>
              <c:f>'PIS S-VAR'!$Q$14:$Q$23</c:f>
              <c:strCache>
                <c:ptCount val="10"/>
                <c:pt idx="0">
                  <c:v>KERMAN</c:v>
                </c:pt>
                <c:pt idx="1">
                  <c:v>SIRORA</c:v>
                </c:pt>
                <c:pt idx="2">
                  <c:v>LARNAKA</c:v>
                </c:pt>
                <c:pt idx="3">
                  <c:v>LOST HILLS</c:v>
                </c:pt>
                <c:pt idx="4">
                  <c:v>AEGINA</c:v>
                </c:pt>
                <c:pt idx="5">
                  <c:v>AVDAT</c:v>
                </c:pt>
                <c:pt idx="6">
                  <c:v>PETER</c:v>
                </c:pt>
                <c:pt idx="7">
                  <c:v>MATEUR</c:v>
                </c:pt>
                <c:pt idx="8">
                  <c:v>KASTEL</c:v>
                </c:pt>
                <c:pt idx="9">
                  <c:v>GOLDENS HILLS</c:v>
                </c:pt>
              </c:strCache>
            </c:strRef>
          </c:cat>
          <c:val>
            <c:numRef>
              <c:f>'PIS S-VAR'!$T$14:$T$23</c:f>
              <c:numCache>
                <c:formatCode>#,##0</c:formatCode>
                <c:ptCount val="10"/>
                <c:pt idx="0">
                  <c:v>22461.79</c:v>
                </c:pt>
                <c:pt idx="1">
                  <c:v>3362.24</c:v>
                </c:pt>
                <c:pt idx="2">
                  <c:v>1369.4799999999998</c:v>
                </c:pt>
                <c:pt idx="3">
                  <c:v>342.45</c:v>
                </c:pt>
                <c:pt idx="4">
                  <c:v>365.11999999999995</c:v>
                </c:pt>
                <c:pt idx="5">
                  <c:v>132.94999999999999</c:v>
                </c:pt>
                <c:pt idx="6">
                  <c:v>198.71000000000004</c:v>
                </c:pt>
                <c:pt idx="7">
                  <c:v>149.25999999999996</c:v>
                </c:pt>
                <c:pt idx="8">
                  <c:v>76.160000000000011</c:v>
                </c:pt>
                <c:pt idx="9">
                  <c:v>69.679999999999978</c:v>
                </c:pt>
              </c:numCache>
            </c:numRef>
          </c:val>
          <c:extLst>
            <c:ext xmlns:c16="http://schemas.microsoft.com/office/drawing/2014/chart" uri="{C3380CC4-5D6E-409C-BE32-E72D297353CC}">
              <c16:uniqueId val="{00000000-A697-4340-9658-6ACB2C197934}"/>
            </c:ext>
          </c:extLst>
        </c:ser>
        <c:ser>
          <c:idx val="1"/>
          <c:order val="1"/>
          <c:tx>
            <c:v>Ecológico</c:v>
          </c:tx>
          <c:spPr>
            <a:solidFill>
              <a:schemeClr val="accent6"/>
            </a:solidFill>
            <a:ln>
              <a:noFill/>
            </a:ln>
            <a:effectLst/>
          </c:spPr>
          <c:invertIfNegative val="0"/>
          <c:dLbls>
            <c:dLbl>
              <c:idx val="0"/>
              <c:layout>
                <c:manualLayout>
                  <c:x val="0.10757369983501414"/>
                  <c:y val="0"/>
                </c:manualLayout>
              </c:layout>
              <c:tx>
                <c:rich>
                  <a:bodyPr/>
                  <a:lstStyle/>
                  <a:p>
                    <a:fld id="{BE91832B-555D-41FD-BF5B-230FF73DD315}"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697-4340-9658-6ACB2C197934}"/>
                </c:ext>
              </c:extLst>
            </c:dLbl>
            <c:dLbl>
              <c:idx val="1"/>
              <c:layout>
                <c:manualLayout>
                  <c:x val="4.8632654390204248E-2"/>
                  <c:y val="6.6425095505687282E-3"/>
                </c:manualLayout>
              </c:layout>
              <c:tx>
                <c:rich>
                  <a:bodyPr/>
                  <a:lstStyle/>
                  <a:p>
                    <a:fld id="{D9D7C2B9-800C-4312-998A-26298F1209D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697-4340-9658-6ACB2C197934}"/>
                </c:ext>
              </c:extLst>
            </c:dLbl>
            <c:dLbl>
              <c:idx val="2"/>
              <c:layout>
                <c:manualLayout>
                  <c:x val="2.525912526372465E-2"/>
                  <c:y val="-1.2177793497133241E-16"/>
                </c:manualLayout>
              </c:layout>
              <c:tx>
                <c:rich>
                  <a:bodyPr/>
                  <a:lstStyle/>
                  <a:p>
                    <a:fld id="{9B2F4E4E-C6C2-408B-A345-5EAEF74B1086}"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697-4340-9658-6ACB2C197934}"/>
                </c:ext>
              </c:extLst>
            </c:dLbl>
            <c:dLbl>
              <c:idx val="3"/>
              <c:layout>
                <c:manualLayout>
                  <c:x val="4.4375566669302875E-2"/>
                  <c:y val="-1.2177793497133241E-16"/>
                </c:manualLayout>
              </c:layout>
              <c:tx>
                <c:rich>
                  <a:bodyPr/>
                  <a:lstStyle/>
                  <a:p>
                    <a:fld id="{28BCD531-D62B-4E21-8A6C-BAE3C42D0912}"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697-4340-9658-6ACB2C197934}"/>
                </c:ext>
              </c:extLst>
            </c:dLbl>
            <c:dLbl>
              <c:idx val="4"/>
              <c:layout>
                <c:manualLayout>
                  <c:x val="3.1185653196944611E-2"/>
                  <c:y val="6.6425095505687889E-3"/>
                </c:manualLayout>
              </c:layout>
              <c:tx>
                <c:rich>
                  <a:bodyPr/>
                  <a:lstStyle/>
                  <a:p>
                    <a:fld id="{811D2F7E-EB19-4480-8DA7-02D03D6E3529}"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697-4340-9658-6ACB2C197934}"/>
                </c:ext>
              </c:extLst>
            </c:dLbl>
            <c:dLbl>
              <c:idx val="5"/>
              <c:layout>
                <c:manualLayout>
                  <c:x val="4.2883726479571366E-2"/>
                  <c:y val="6.6425095505687889E-3"/>
                </c:manualLayout>
              </c:layout>
              <c:tx>
                <c:rich>
                  <a:bodyPr/>
                  <a:lstStyle/>
                  <a:p>
                    <a:fld id="{F0A77655-DEEB-4726-A9E3-0C8B287A1DBC}"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697-4340-9658-6ACB2C197934}"/>
                </c:ext>
              </c:extLst>
            </c:dLbl>
            <c:dLbl>
              <c:idx val="6"/>
              <c:tx>
                <c:rich>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mn-lt"/>
                        <a:ea typeface="+mn-ea"/>
                        <a:cs typeface="+mn-cs"/>
                      </a:defRPr>
                    </a:pPr>
                    <a:fld id="{3DAFE0AF-1721-4168-93E1-2E7E4531A546}" type="CELLRANGE">
                      <a:rPr lang="en-US"/>
                      <a:pPr>
                        <a:defRPr sz="1200" b="0" i="0" u="none" strike="noStrike" kern="1200" baseline="0">
                          <a:solidFill>
                            <a:schemeClr val="tx1">
                              <a:lumMod val="75000"/>
                              <a:lumOff val="25000"/>
                            </a:schemeClr>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mn-lt"/>
                      <a:ea typeface="+mn-ea"/>
                      <a:cs typeface="+mn-cs"/>
                    </a:defRPr>
                  </a:pPr>
                  <a:endParaRPr lang="es-ES"/>
                </a:p>
              </c:txPr>
              <c:dLblPos val="inBase"/>
              <c:showLegendKey val="0"/>
              <c:showVal val="0"/>
              <c:showCatName val="0"/>
              <c:showSerName val="0"/>
              <c:showPercent val="0"/>
              <c:showBubbleSize val="0"/>
              <c:extLst>
                <c:ext xmlns:c15="http://schemas.microsoft.com/office/drawing/2012/chart" uri="{CE6537A1-D6FC-4f65-9D91-7224C49458BB}">
                  <c15:layout>
                    <c:manualLayout>
                      <c:w val="7.6755086684749479E-2"/>
                      <c:h val="6.5262656334338948E-2"/>
                    </c:manualLayout>
                  </c15:layout>
                  <c15:dlblFieldTable/>
                  <c15:showDataLabelsRange val="1"/>
                </c:ext>
                <c:ext xmlns:c16="http://schemas.microsoft.com/office/drawing/2014/chart" uri="{C3380CC4-5D6E-409C-BE32-E72D297353CC}">
                  <c16:uniqueId val="{00000009-A697-4340-9658-6ACB2C197934}"/>
                </c:ext>
              </c:extLst>
            </c:dLbl>
            <c:dLbl>
              <c:idx val="7"/>
              <c:layout>
                <c:manualLayout>
                  <c:x val="4.5432059111359314E-2"/>
                  <c:y val="-3.3212547752844552E-3"/>
                </c:manualLayout>
              </c:layout>
              <c:tx>
                <c:rich>
                  <a:bodyPr/>
                  <a:lstStyle/>
                  <a:p>
                    <a:fld id="{04C02B32-F72B-4C1E-8A94-BD061943A174}"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697-4340-9658-6ACB2C197934}"/>
                </c:ext>
              </c:extLst>
            </c:dLbl>
            <c:dLbl>
              <c:idx val="8"/>
              <c:layout>
                <c:manualLayout>
                  <c:x val="4.1780936595729373E-2"/>
                  <c:y val="0"/>
                </c:manualLayout>
              </c:layout>
              <c:tx>
                <c:rich>
                  <a:bodyPr/>
                  <a:lstStyle/>
                  <a:p>
                    <a:fld id="{B58F5E1F-5730-4BE1-9A7C-F853FC837DBB}"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697-4340-9658-6ACB2C197934}"/>
                </c:ext>
              </c:extLst>
            </c:dLbl>
            <c:dLbl>
              <c:idx val="9"/>
              <c:layout>
                <c:manualLayout>
                  <c:x val="3.5143704982378891E-2"/>
                  <c:y val="-3.0444483742833102E-17"/>
                </c:manualLayout>
              </c:layout>
              <c:tx>
                <c:rich>
                  <a:bodyPr/>
                  <a:lstStyle/>
                  <a:p>
                    <a:fld id="{0F2D048C-FD59-4634-81CC-FB1920B39316}"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697-4340-9658-6ACB2C19793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 S-VAR'!$Q$14:$Q$23</c:f>
              <c:strCache>
                <c:ptCount val="10"/>
                <c:pt idx="0">
                  <c:v>KERMAN</c:v>
                </c:pt>
                <c:pt idx="1">
                  <c:v>SIRORA</c:v>
                </c:pt>
                <c:pt idx="2">
                  <c:v>LARNAKA</c:v>
                </c:pt>
                <c:pt idx="3">
                  <c:v>LOST HILLS</c:v>
                </c:pt>
                <c:pt idx="4">
                  <c:v>AEGINA</c:v>
                </c:pt>
                <c:pt idx="5">
                  <c:v>AVDAT</c:v>
                </c:pt>
                <c:pt idx="6">
                  <c:v>PETER</c:v>
                </c:pt>
                <c:pt idx="7">
                  <c:v>MATEUR</c:v>
                </c:pt>
                <c:pt idx="8">
                  <c:v>KASTEL</c:v>
                </c:pt>
                <c:pt idx="9">
                  <c:v>GOLDENS HILLS</c:v>
                </c:pt>
              </c:strCache>
            </c:strRef>
          </c:cat>
          <c:val>
            <c:numRef>
              <c:f>'PIS S-VAR'!$V$14:$V$23</c:f>
              <c:numCache>
                <c:formatCode>#,##0</c:formatCode>
                <c:ptCount val="10"/>
                <c:pt idx="0">
                  <c:v>6933.5199999999995</c:v>
                </c:pt>
                <c:pt idx="1">
                  <c:v>1051.8899999999999</c:v>
                </c:pt>
                <c:pt idx="2">
                  <c:v>455.47999999999996</c:v>
                </c:pt>
                <c:pt idx="3">
                  <c:v>162.26000000000002</c:v>
                </c:pt>
                <c:pt idx="4">
                  <c:v>14.77</c:v>
                </c:pt>
                <c:pt idx="5">
                  <c:v>201.88</c:v>
                </c:pt>
                <c:pt idx="6">
                  <c:v>58.66</c:v>
                </c:pt>
                <c:pt idx="7">
                  <c:v>83.09</c:v>
                </c:pt>
                <c:pt idx="8">
                  <c:v>101.67</c:v>
                </c:pt>
                <c:pt idx="9">
                  <c:v>24.08</c:v>
                </c:pt>
              </c:numCache>
            </c:numRef>
          </c:val>
          <c:extLst>
            <c:ext xmlns:c15="http://schemas.microsoft.com/office/drawing/2012/chart" uri="{02D57815-91ED-43cb-92C2-25804820EDAC}">
              <c15:datalabelsRange>
                <c15:f>'PIS S-VAR'!$S$14:$S$23</c15:f>
                <c15:dlblRangeCache>
                  <c:ptCount val="10"/>
                  <c:pt idx="0">
                    <c:v>67%</c:v>
                  </c:pt>
                  <c:pt idx="1">
                    <c:v>10%</c:v>
                  </c:pt>
                  <c:pt idx="2">
                    <c:v>4%</c:v>
                  </c:pt>
                  <c:pt idx="3">
                    <c:v>1,15%</c:v>
                  </c:pt>
                  <c:pt idx="4">
                    <c:v>0,86%</c:v>
                  </c:pt>
                  <c:pt idx="5">
                    <c:v>0,76%</c:v>
                  </c:pt>
                  <c:pt idx="6">
                    <c:v>0,58%</c:v>
                  </c:pt>
                  <c:pt idx="7">
                    <c:v>0,53%</c:v>
                  </c:pt>
                  <c:pt idx="8">
                    <c:v>0,40%</c:v>
                  </c:pt>
                  <c:pt idx="9">
                    <c:v>0,21%</c:v>
                  </c:pt>
                </c15:dlblRangeCache>
              </c15:datalabelsRange>
            </c:ext>
            <c:ext xmlns:c16="http://schemas.microsoft.com/office/drawing/2014/chart" uri="{C3380CC4-5D6E-409C-BE32-E72D297353CC}">
              <c16:uniqueId val="{00000001-A697-4340-9658-6ACB2C197934}"/>
            </c:ext>
          </c:extLst>
        </c:ser>
        <c:dLbls>
          <c:showLegendKey val="0"/>
          <c:showVal val="0"/>
          <c:showCatName val="0"/>
          <c:showSerName val="0"/>
          <c:showPercent val="0"/>
          <c:showBubbleSize val="0"/>
        </c:dLbls>
        <c:gapWidth val="150"/>
        <c:overlap val="100"/>
        <c:axId val="256671519"/>
        <c:axId val="256676511"/>
      </c:barChart>
      <c:catAx>
        <c:axId val="2566715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256676511"/>
        <c:crosses val="autoZero"/>
        <c:auto val="1"/>
        <c:lblAlgn val="ctr"/>
        <c:lblOffset val="100"/>
        <c:noMultiLvlLbl val="0"/>
      </c:catAx>
      <c:valAx>
        <c:axId val="25667651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256671519"/>
        <c:crosses val="autoZero"/>
        <c:crossBetween val="between"/>
      </c:valAx>
      <c:spPr>
        <a:noFill/>
        <a:ln>
          <a:noFill/>
        </a:ln>
        <a:effectLst/>
      </c:spPr>
    </c:plotArea>
    <c:legend>
      <c:legendPos val="b"/>
      <c:layout>
        <c:manualLayout>
          <c:xMode val="edge"/>
          <c:yMode val="edge"/>
          <c:x val="0.41674012274438482"/>
          <c:y val="0.92734715951646707"/>
          <c:w val="0.23977596895612324"/>
          <c:h val="5.60465666071107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PISTACHO</a:t>
            </a:r>
            <a:r>
              <a:rPr lang="es-ES" b="1" baseline="0">
                <a:solidFill>
                  <a:schemeClr val="tx1"/>
                </a:solidFill>
              </a:rPr>
              <a:t> </a:t>
            </a:r>
            <a:r>
              <a:rPr lang="es-ES" b="1">
                <a:solidFill>
                  <a:schemeClr val="tx1"/>
                </a:solidFill>
              </a:rPr>
              <a:t>Regadío </a:t>
            </a:r>
            <a:r>
              <a:rPr lang="es-ES" b="1" baseline="0">
                <a:solidFill>
                  <a:schemeClr val="tx1"/>
                </a:solidFill>
              </a:rPr>
              <a:t>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'PIS R-VAR'!$Q$13:$S$13</c:f>
              <c:strCache>
                <c:ptCount val="1"/>
                <c:pt idx="0">
                  <c:v>PISTACHO REGADÍO TOTAL</c:v>
                </c:pt>
              </c:strCache>
            </c:strRef>
          </c:tx>
          <c:spPr>
            <a:solidFill>
              <a:schemeClr val="accent1">
                <a:lumMod val="75000"/>
              </a:schemeClr>
            </a:solidFill>
            <a:ln>
              <a:solidFill>
                <a:schemeClr val="accent5">
                  <a:lumMod val="75000"/>
                </a:schemeClr>
              </a:solidFill>
            </a:ln>
            <a:effectLst/>
          </c:spPr>
          <c:invertIfNegative val="0"/>
          <c:dLbls>
            <c:dLbl>
              <c:idx val="0"/>
              <c:tx>
                <c:rich>
                  <a:bodyPr/>
                  <a:lstStyle/>
                  <a:p>
                    <a:fld id="{5418F754-78E9-4194-8B57-BFC03F28FEAB}"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2BC-4B12-B0F1-3CB555B7287F}"/>
                </c:ext>
              </c:extLst>
            </c:dLbl>
            <c:dLbl>
              <c:idx val="1"/>
              <c:tx>
                <c:rich>
                  <a:bodyPr/>
                  <a:lstStyle/>
                  <a:p>
                    <a:fld id="{82B221DC-627B-424B-980D-B3157B51C78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2BC-4B12-B0F1-3CB555B7287F}"/>
                </c:ext>
              </c:extLst>
            </c:dLbl>
            <c:dLbl>
              <c:idx val="2"/>
              <c:tx>
                <c:rich>
                  <a:bodyPr/>
                  <a:lstStyle/>
                  <a:p>
                    <a:fld id="{E8C6B3E8-70CC-4F01-8B16-5F2F70F5009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2BC-4B12-B0F1-3CB555B7287F}"/>
                </c:ext>
              </c:extLst>
            </c:dLbl>
            <c:dLbl>
              <c:idx val="3"/>
              <c:tx>
                <c:rich>
                  <a:bodyPr/>
                  <a:lstStyle/>
                  <a:p>
                    <a:fld id="{5EA05A6C-3E6A-4D98-8062-E574C953026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2BC-4B12-B0F1-3CB555B7287F}"/>
                </c:ext>
              </c:extLst>
            </c:dLbl>
            <c:dLbl>
              <c:idx val="4"/>
              <c:tx>
                <c:rich>
                  <a:bodyPr/>
                  <a:lstStyle/>
                  <a:p>
                    <a:fld id="{66C8D25F-CDD6-40DC-B4E8-2062D6D7068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2BC-4B12-B0F1-3CB555B7287F}"/>
                </c:ext>
              </c:extLst>
            </c:dLbl>
            <c:dLbl>
              <c:idx val="5"/>
              <c:tx>
                <c:rich>
                  <a:bodyPr/>
                  <a:lstStyle/>
                  <a:p>
                    <a:fld id="{69CD8216-3ED0-46D4-992F-9A40AE84884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2BC-4B12-B0F1-3CB555B7287F}"/>
                </c:ext>
              </c:extLst>
            </c:dLbl>
            <c:dLbl>
              <c:idx val="6"/>
              <c:tx>
                <c:rich>
                  <a:bodyPr/>
                  <a:lstStyle/>
                  <a:p>
                    <a:fld id="{8AD55D29-C33D-45AE-B61A-E5B53B28ABE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2BC-4B12-B0F1-3CB555B7287F}"/>
                </c:ext>
              </c:extLst>
            </c:dLbl>
            <c:dLbl>
              <c:idx val="7"/>
              <c:tx>
                <c:rich>
                  <a:bodyPr/>
                  <a:lstStyle/>
                  <a:p>
                    <a:fld id="{E9E40F44-4AD4-40D3-8BEE-51DEC903159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2BC-4B12-B0F1-3CB555B7287F}"/>
                </c:ext>
              </c:extLst>
            </c:dLbl>
            <c:dLbl>
              <c:idx val="8"/>
              <c:tx>
                <c:rich>
                  <a:bodyPr/>
                  <a:lstStyle/>
                  <a:p>
                    <a:fld id="{B8001C9B-EA7F-4C65-B0DD-19E8DD10433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2BC-4B12-B0F1-3CB555B7287F}"/>
                </c:ext>
              </c:extLst>
            </c:dLbl>
            <c:dLbl>
              <c:idx val="9"/>
              <c:tx>
                <c:rich>
                  <a:bodyPr/>
                  <a:lstStyle/>
                  <a:p>
                    <a:fld id="{F31EA94F-9084-4179-9B7B-482864301F7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2BC-4B12-B0F1-3CB555B7287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 R-VAR'!$Q$14:$Q$23</c:f>
              <c:strCache>
                <c:ptCount val="10"/>
                <c:pt idx="0">
                  <c:v>KERMAN</c:v>
                </c:pt>
                <c:pt idx="1">
                  <c:v>SIRORA</c:v>
                </c:pt>
                <c:pt idx="2">
                  <c:v>LOST HILLS</c:v>
                </c:pt>
                <c:pt idx="3">
                  <c:v>LARNAKA</c:v>
                </c:pt>
                <c:pt idx="4">
                  <c:v>GOLDENS HILLS</c:v>
                </c:pt>
                <c:pt idx="5">
                  <c:v>MATEUR</c:v>
                </c:pt>
                <c:pt idx="6">
                  <c:v>AEGINA</c:v>
                </c:pt>
                <c:pt idx="7">
                  <c:v>PETER</c:v>
                </c:pt>
                <c:pt idx="8">
                  <c:v>AVDAT</c:v>
                </c:pt>
                <c:pt idx="9">
                  <c:v>ASKAR</c:v>
                </c:pt>
              </c:strCache>
            </c:strRef>
          </c:cat>
          <c:val>
            <c:numRef>
              <c:f>'PIS R-VAR'!$R$14:$R$23</c:f>
              <c:numCache>
                <c:formatCode>#,##0</c:formatCode>
                <c:ptCount val="10"/>
                <c:pt idx="0">
                  <c:v>9487.6999999999989</c:v>
                </c:pt>
                <c:pt idx="1">
                  <c:v>2125.4700000000007</c:v>
                </c:pt>
                <c:pt idx="2">
                  <c:v>967.9000000000002</c:v>
                </c:pt>
                <c:pt idx="3">
                  <c:v>475.90000000000003</c:v>
                </c:pt>
                <c:pt idx="4">
                  <c:v>268.55999999999995</c:v>
                </c:pt>
                <c:pt idx="5">
                  <c:v>216.42000000000002</c:v>
                </c:pt>
                <c:pt idx="6">
                  <c:v>148.24</c:v>
                </c:pt>
                <c:pt idx="7">
                  <c:v>125.68</c:v>
                </c:pt>
                <c:pt idx="8">
                  <c:v>54.66</c:v>
                </c:pt>
                <c:pt idx="9">
                  <c:v>13.98</c:v>
                </c:pt>
              </c:numCache>
            </c:numRef>
          </c:val>
          <c:extLst>
            <c:ext xmlns:c15="http://schemas.microsoft.com/office/drawing/2012/chart" uri="{02D57815-91ED-43cb-92C2-25804820EDAC}">
              <c15:datalabelsRange>
                <c15:f>'PIS R-VAR'!$S$14:$S$23</c15:f>
                <c15:dlblRangeCache>
                  <c:ptCount val="10"/>
                  <c:pt idx="0">
                    <c:v>61%</c:v>
                  </c:pt>
                  <c:pt idx="1">
                    <c:v>14%</c:v>
                  </c:pt>
                  <c:pt idx="2">
                    <c:v>6%</c:v>
                  </c:pt>
                  <c:pt idx="3">
                    <c:v>3%</c:v>
                  </c:pt>
                  <c:pt idx="4">
                    <c:v>2%</c:v>
                  </c:pt>
                  <c:pt idx="5">
                    <c:v>1,38%</c:v>
                  </c:pt>
                  <c:pt idx="6">
                    <c:v>0,95%</c:v>
                  </c:pt>
                  <c:pt idx="7">
                    <c:v>0,80%</c:v>
                  </c:pt>
                  <c:pt idx="8">
                    <c:v>0,35%</c:v>
                  </c:pt>
                  <c:pt idx="9">
                    <c:v>0,09%</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97008"/>
        <c:axId val="154708976"/>
      </c:barChart>
      <c:catAx>
        <c:axId val="15469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8976"/>
        <c:crosses val="autoZero"/>
        <c:auto val="1"/>
        <c:lblAlgn val="ctr"/>
        <c:lblOffset val="100"/>
        <c:noMultiLvlLbl val="0"/>
      </c:catAx>
      <c:valAx>
        <c:axId val="1547089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7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PISTACHO</a:t>
            </a:r>
            <a:r>
              <a:rPr lang="es-ES" b="1" baseline="0">
                <a:solidFill>
                  <a:schemeClr val="tx1"/>
                </a:solidFill>
              </a:rPr>
              <a:t> </a:t>
            </a:r>
            <a:r>
              <a:rPr lang="es-ES" b="1">
                <a:solidFill>
                  <a:schemeClr val="tx1"/>
                </a:solidFill>
              </a:rPr>
              <a:t>Regadío </a:t>
            </a:r>
            <a:r>
              <a:rPr lang="es-ES" b="1" baseline="0">
                <a:solidFill>
                  <a:schemeClr val="tx1"/>
                </a:solidFill>
              </a:rPr>
              <a:t>Ecológico</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'PIS R-VAR'!$Q$74:$S$74</c:f>
              <c:strCache>
                <c:ptCount val="1"/>
                <c:pt idx="0">
                  <c:v>PISTACHO REGADÍO ECOLÓGICO</c:v>
                </c:pt>
              </c:strCache>
            </c:strRef>
          </c:tx>
          <c:spPr>
            <a:solidFill>
              <a:schemeClr val="accent6"/>
            </a:solidFill>
            <a:ln>
              <a:solidFill>
                <a:schemeClr val="accent6">
                  <a:lumMod val="75000"/>
                </a:schemeClr>
              </a:solidFill>
            </a:ln>
            <a:effectLst/>
          </c:spPr>
          <c:invertIfNegative val="0"/>
          <c:dLbls>
            <c:dLbl>
              <c:idx val="0"/>
              <c:tx>
                <c:rich>
                  <a:bodyPr/>
                  <a:lstStyle/>
                  <a:p>
                    <a:fld id="{EE62B901-AE8A-41DF-802F-6BFAC6190EE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20E-4BBE-A090-D22843FB46AA}"/>
                </c:ext>
              </c:extLst>
            </c:dLbl>
            <c:dLbl>
              <c:idx val="1"/>
              <c:tx>
                <c:rich>
                  <a:bodyPr/>
                  <a:lstStyle/>
                  <a:p>
                    <a:fld id="{F6417117-C645-4B9A-A870-EFBDCA0C348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20E-4BBE-A090-D22843FB46AA}"/>
                </c:ext>
              </c:extLst>
            </c:dLbl>
            <c:dLbl>
              <c:idx val="2"/>
              <c:tx>
                <c:rich>
                  <a:bodyPr/>
                  <a:lstStyle/>
                  <a:p>
                    <a:fld id="{49F77086-AD60-441B-9298-316D4579AEF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20E-4BBE-A090-D22843FB46AA}"/>
                </c:ext>
              </c:extLst>
            </c:dLbl>
            <c:dLbl>
              <c:idx val="3"/>
              <c:tx>
                <c:rich>
                  <a:bodyPr/>
                  <a:lstStyle/>
                  <a:p>
                    <a:fld id="{6D966717-A9D8-45A2-9D2D-18F32733AB4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0E-4BBE-A090-D22843FB46AA}"/>
                </c:ext>
              </c:extLst>
            </c:dLbl>
            <c:dLbl>
              <c:idx val="4"/>
              <c:tx>
                <c:rich>
                  <a:bodyPr/>
                  <a:lstStyle/>
                  <a:p>
                    <a:fld id="{C1F3C9F4-C0A3-4CF9-8B53-E928BE1AF95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0E-4BBE-A090-D22843FB46AA}"/>
                </c:ext>
              </c:extLst>
            </c:dLbl>
            <c:dLbl>
              <c:idx val="5"/>
              <c:tx>
                <c:rich>
                  <a:bodyPr/>
                  <a:lstStyle/>
                  <a:p>
                    <a:fld id="{7065EF79-71BD-454B-B80F-9EEE3267087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20E-4BBE-A090-D22843FB46AA}"/>
                </c:ext>
              </c:extLst>
            </c:dLbl>
            <c:dLbl>
              <c:idx val="6"/>
              <c:tx>
                <c:rich>
                  <a:bodyPr/>
                  <a:lstStyle/>
                  <a:p>
                    <a:fld id="{AAE4B67B-0609-4560-A51D-AFCA663E838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20E-4BBE-A090-D22843FB46AA}"/>
                </c:ext>
              </c:extLst>
            </c:dLbl>
            <c:dLbl>
              <c:idx val="7"/>
              <c:tx>
                <c:rich>
                  <a:bodyPr/>
                  <a:lstStyle/>
                  <a:p>
                    <a:fld id="{CE43F746-EA40-4A3F-84C2-675EA6C7341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0E-4BBE-A090-D22843FB46AA}"/>
                </c:ext>
              </c:extLst>
            </c:dLbl>
            <c:dLbl>
              <c:idx val="8"/>
              <c:tx>
                <c:rich>
                  <a:bodyPr/>
                  <a:lstStyle/>
                  <a:p>
                    <a:fld id="{149F437D-926E-4B47-B06F-32217525CFB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20E-4BBE-A090-D22843FB46AA}"/>
                </c:ext>
              </c:extLst>
            </c:dLbl>
            <c:dLbl>
              <c:idx val="9"/>
              <c:tx>
                <c:rich>
                  <a:bodyPr/>
                  <a:lstStyle/>
                  <a:p>
                    <a:fld id="{6F79C3AE-FAF3-4493-A122-9F8B849090A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20E-4BBE-A090-D22843FB46A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 R-VAR'!$Q$75:$Q$84</c:f>
              <c:strCache>
                <c:ptCount val="10"/>
                <c:pt idx="0">
                  <c:v>KERMAN</c:v>
                </c:pt>
                <c:pt idx="1">
                  <c:v>SIRORA</c:v>
                </c:pt>
                <c:pt idx="2">
                  <c:v>MATEUR</c:v>
                </c:pt>
                <c:pt idx="3">
                  <c:v>LOST HILLS</c:v>
                </c:pt>
                <c:pt idx="4">
                  <c:v>LARNAKA</c:v>
                </c:pt>
                <c:pt idx="5">
                  <c:v>AVDAT</c:v>
                </c:pt>
                <c:pt idx="6">
                  <c:v>PETER</c:v>
                </c:pt>
                <c:pt idx="7">
                  <c:v>GOLDENS HILLS</c:v>
                </c:pt>
                <c:pt idx="8">
                  <c:v>AEGINA</c:v>
                </c:pt>
                <c:pt idx="9">
                  <c:v>ASKAR</c:v>
                </c:pt>
              </c:strCache>
            </c:strRef>
          </c:cat>
          <c:val>
            <c:numRef>
              <c:f>'PIS R-VAR'!$R$75:$R$84</c:f>
              <c:numCache>
                <c:formatCode>#,##0</c:formatCode>
                <c:ptCount val="10"/>
                <c:pt idx="0">
                  <c:v>2341.3000000000002</c:v>
                </c:pt>
                <c:pt idx="1">
                  <c:v>263.95</c:v>
                </c:pt>
                <c:pt idx="2">
                  <c:v>173.94</c:v>
                </c:pt>
                <c:pt idx="3">
                  <c:v>131.04999999999998</c:v>
                </c:pt>
                <c:pt idx="4">
                  <c:v>113.81000000000002</c:v>
                </c:pt>
                <c:pt idx="5">
                  <c:v>43.08</c:v>
                </c:pt>
                <c:pt idx="6">
                  <c:v>30.46</c:v>
                </c:pt>
                <c:pt idx="7">
                  <c:v>16.38</c:v>
                </c:pt>
                <c:pt idx="8">
                  <c:v>1.31</c:v>
                </c:pt>
                <c:pt idx="9">
                  <c:v>0.45</c:v>
                </c:pt>
              </c:numCache>
            </c:numRef>
          </c:val>
          <c:extLst>
            <c:ext xmlns:c15="http://schemas.microsoft.com/office/drawing/2012/chart" uri="{02D57815-91ED-43cb-92C2-25804820EDAC}">
              <c15:datalabelsRange>
                <c15:f>'PIS R-VAR'!$S$75:$S$84</c15:f>
                <c15:dlblRangeCache>
                  <c:ptCount val="10"/>
                  <c:pt idx="0">
                    <c:v>69%</c:v>
                  </c:pt>
                  <c:pt idx="1">
                    <c:v>8%</c:v>
                  </c:pt>
                  <c:pt idx="2">
                    <c:v>5%</c:v>
                  </c:pt>
                  <c:pt idx="3">
                    <c:v>4%</c:v>
                  </c:pt>
                  <c:pt idx="4">
                    <c:v>3%</c:v>
                  </c:pt>
                  <c:pt idx="5">
                    <c:v>1,27%</c:v>
                  </c:pt>
                  <c:pt idx="6">
                    <c:v>0,90%</c:v>
                  </c:pt>
                  <c:pt idx="7">
                    <c:v>0,48%</c:v>
                  </c:pt>
                  <c:pt idx="8">
                    <c:v>0,04%</c:v>
                  </c:pt>
                  <c:pt idx="9">
                    <c:v>0,01%</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702448"/>
        <c:axId val="154715504"/>
      </c:barChart>
      <c:catAx>
        <c:axId val="1547024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5504"/>
        <c:crosses val="autoZero"/>
        <c:auto val="1"/>
        <c:lblAlgn val="ctr"/>
        <c:lblOffset val="100"/>
        <c:noMultiLvlLbl val="0"/>
      </c:catAx>
      <c:valAx>
        <c:axId val="1547155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2448"/>
        <c:crosses val="autoZero"/>
        <c:crossBetween val="between"/>
      </c:valAx>
      <c:spPr>
        <a:noFill/>
        <a:ln>
          <a:solidFill>
            <a:schemeClr val="accent6">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PISTACHO</a:t>
            </a:r>
            <a:r>
              <a:rPr lang="es-ES" b="1" baseline="0">
                <a:solidFill>
                  <a:schemeClr val="tx1"/>
                </a:solidFill>
              </a:rPr>
              <a:t> </a:t>
            </a:r>
            <a:r>
              <a:rPr lang="es-ES" b="1">
                <a:solidFill>
                  <a:schemeClr val="tx1"/>
                </a:solidFill>
              </a:rPr>
              <a:t>Regadío </a:t>
            </a:r>
            <a:r>
              <a:rPr lang="es-ES" b="1" baseline="0">
                <a:solidFill>
                  <a:schemeClr val="tx1"/>
                </a:solidFill>
              </a:rPr>
              <a:t>Convencional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'PIS R-VAR'!$Q$135:$S$135</c:f>
              <c:strCache>
                <c:ptCount val="1"/>
                <c:pt idx="0">
                  <c:v>PISTACHO REGADÍO CONVENCIONAL</c:v>
                </c:pt>
              </c:strCache>
            </c:strRef>
          </c:tx>
          <c:spPr>
            <a:solidFill>
              <a:schemeClr val="accent2"/>
            </a:solidFill>
            <a:ln>
              <a:solidFill>
                <a:schemeClr val="accent2">
                  <a:lumMod val="75000"/>
                </a:schemeClr>
              </a:solidFill>
            </a:ln>
            <a:effectLst/>
          </c:spPr>
          <c:invertIfNegative val="0"/>
          <c:dLbls>
            <c:dLbl>
              <c:idx val="0"/>
              <c:tx>
                <c:rich>
                  <a:bodyPr/>
                  <a:lstStyle/>
                  <a:p>
                    <a:fld id="{755929F7-66D9-46B6-BB02-1C0E1235E23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6F-4F75-93C2-4656D7B6D9CF}"/>
                </c:ext>
              </c:extLst>
            </c:dLbl>
            <c:dLbl>
              <c:idx val="1"/>
              <c:tx>
                <c:rich>
                  <a:bodyPr/>
                  <a:lstStyle/>
                  <a:p>
                    <a:fld id="{915800E5-B8BD-43E1-B215-843A3CAE8E4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6F-4F75-93C2-4656D7B6D9CF}"/>
                </c:ext>
              </c:extLst>
            </c:dLbl>
            <c:dLbl>
              <c:idx val="2"/>
              <c:tx>
                <c:rich>
                  <a:bodyPr/>
                  <a:lstStyle/>
                  <a:p>
                    <a:fld id="{40A50B94-29D0-4895-BF53-F51EC512B77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6F-4F75-93C2-4656D7B6D9CF}"/>
                </c:ext>
              </c:extLst>
            </c:dLbl>
            <c:dLbl>
              <c:idx val="3"/>
              <c:tx>
                <c:rich>
                  <a:bodyPr/>
                  <a:lstStyle/>
                  <a:p>
                    <a:fld id="{D27ADB99-E2BB-41D7-885C-E7DA38BCF7C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6F-4F75-93C2-4656D7B6D9CF}"/>
                </c:ext>
              </c:extLst>
            </c:dLbl>
            <c:dLbl>
              <c:idx val="4"/>
              <c:tx>
                <c:rich>
                  <a:bodyPr/>
                  <a:lstStyle/>
                  <a:p>
                    <a:fld id="{4F40F1C1-8823-4EAF-B0A9-6B48491EA9A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6F-4F75-93C2-4656D7B6D9CF}"/>
                </c:ext>
              </c:extLst>
            </c:dLbl>
            <c:dLbl>
              <c:idx val="5"/>
              <c:tx>
                <c:rich>
                  <a:bodyPr/>
                  <a:lstStyle/>
                  <a:p>
                    <a:fld id="{17F15D67-7AAB-4D79-BA87-FB9749E9AF1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6F-4F75-93C2-4656D7B6D9CF}"/>
                </c:ext>
              </c:extLst>
            </c:dLbl>
            <c:dLbl>
              <c:idx val="6"/>
              <c:tx>
                <c:rich>
                  <a:bodyPr/>
                  <a:lstStyle/>
                  <a:p>
                    <a:fld id="{FE1B91D2-47FE-42A7-A760-D2EE2EC5EA4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6F-4F75-93C2-4656D7B6D9CF}"/>
                </c:ext>
              </c:extLst>
            </c:dLbl>
            <c:dLbl>
              <c:idx val="7"/>
              <c:tx>
                <c:rich>
                  <a:bodyPr/>
                  <a:lstStyle/>
                  <a:p>
                    <a:fld id="{5557D57D-A80B-48EA-AE70-C1BC18739E6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6F-4F75-93C2-4656D7B6D9CF}"/>
                </c:ext>
              </c:extLst>
            </c:dLbl>
            <c:dLbl>
              <c:idx val="8"/>
              <c:tx>
                <c:rich>
                  <a:bodyPr/>
                  <a:lstStyle/>
                  <a:p>
                    <a:fld id="{AB964F79-EEB2-40D1-81AA-F71E00C3F83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6F-4F75-93C2-4656D7B6D9CF}"/>
                </c:ext>
              </c:extLst>
            </c:dLbl>
            <c:dLbl>
              <c:idx val="9"/>
              <c:tx>
                <c:rich>
                  <a:bodyPr/>
                  <a:lstStyle/>
                  <a:p>
                    <a:fld id="{C169D4F0-A6A5-47AD-A4FC-A69A445CA52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6F-4F75-93C2-4656D7B6D9C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 R-VAR'!$Q$136:$Q$145</c:f>
              <c:strCache>
                <c:ptCount val="10"/>
                <c:pt idx="0">
                  <c:v>KERMAN</c:v>
                </c:pt>
                <c:pt idx="1">
                  <c:v>SIRORA</c:v>
                </c:pt>
                <c:pt idx="2">
                  <c:v>LOST HILLS</c:v>
                </c:pt>
                <c:pt idx="3">
                  <c:v>LARNAKA</c:v>
                </c:pt>
                <c:pt idx="4">
                  <c:v>GOLDENS HILLS</c:v>
                </c:pt>
                <c:pt idx="5">
                  <c:v>AEGINA</c:v>
                </c:pt>
                <c:pt idx="6">
                  <c:v>PETER</c:v>
                </c:pt>
                <c:pt idx="7">
                  <c:v>MATEUR</c:v>
                </c:pt>
                <c:pt idx="8">
                  <c:v>ASKAR</c:v>
                </c:pt>
                <c:pt idx="9">
                  <c:v>AVDAT</c:v>
                </c:pt>
              </c:strCache>
            </c:strRef>
          </c:cat>
          <c:val>
            <c:numRef>
              <c:f>'PIS R-VAR'!$R$136:$R$145</c:f>
              <c:numCache>
                <c:formatCode>#,##0</c:formatCode>
                <c:ptCount val="10"/>
                <c:pt idx="0">
                  <c:v>7146.4000000000005</c:v>
                </c:pt>
                <c:pt idx="1">
                  <c:v>1861.52</c:v>
                </c:pt>
                <c:pt idx="2">
                  <c:v>836.85000000000025</c:v>
                </c:pt>
                <c:pt idx="3">
                  <c:v>362.09</c:v>
                </c:pt>
                <c:pt idx="4">
                  <c:v>252.17999999999998</c:v>
                </c:pt>
                <c:pt idx="5">
                  <c:v>146.93</c:v>
                </c:pt>
                <c:pt idx="6">
                  <c:v>95.22</c:v>
                </c:pt>
                <c:pt idx="7">
                  <c:v>42.480000000000004</c:v>
                </c:pt>
                <c:pt idx="8">
                  <c:v>13.53</c:v>
                </c:pt>
                <c:pt idx="9">
                  <c:v>11.579999999999998</c:v>
                </c:pt>
              </c:numCache>
            </c:numRef>
          </c:val>
          <c:extLst>
            <c:ext xmlns:c15="http://schemas.microsoft.com/office/drawing/2012/chart" uri="{02D57815-91ED-43cb-92C2-25804820EDAC}">
              <c15:datalabelsRange>
                <c15:f>'PIS R-VAR'!$S$136:$S$145</c15:f>
                <c15:dlblRangeCache>
                  <c:ptCount val="10"/>
                  <c:pt idx="0">
                    <c:v>66%</c:v>
                  </c:pt>
                  <c:pt idx="1">
                    <c:v>17%</c:v>
                  </c:pt>
                  <c:pt idx="2">
                    <c:v>8%</c:v>
                  </c:pt>
                  <c:pt idx="3">
                    <c:v>3%</c:v>
                  </c:pt>
                  <c:pt idx="4">
                    <c:v>2%</c:v>
                  </c:pt>
                  <c:pt idx="5">
                    <c:v>1,36%</c:v>
                  </c:pt>
                  <c:pt idx="6">
                    <c:v>0,88%</c:v>
                  </c:pt>
                  <c:pt idx="7">
                    <c:v>0,39%</c:v>
                  </c:pt>
                  <c:pt idx="8">
                    <c:v>0,13%</c:v>
                  </c:pt>
                  <c:pt idx="9">
                    <c:v>0,11%</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89936"/>
        <c:axId val="154695376"/>
      </c:barChart>
      <c:catAx>
        <c:axId val="154689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5376"/>
        <c:crosses val="autoZero"/>
        <c:auto val="1"/>
        <c:lblAlgn val="ctr"/>
        <c:lblOffset val="100"/>
        <c:noMultiLvlLbl val="0"/>
      </c:catAx>
      <c:valAx>
        <c:axId val="1546953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9936"/>
        <c:crosses val="autoZero"/>
        <c:crossBetween val="between"/>
      </c:valAx>
      <c:spPr>
        <a:noFill/>
        <a:ln>
          <a:solidFill>
            <a:schemeClr val="accent6">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Pistacho Regadío: </a:t>
            </a:r>
          </a:p>
          <a:p>
            <a:pPr>
              <a:defRPr sz="1400" b="0" i="0" u="none" strike="noStrike" kern="1200" spc="0" baseline="0">
                <a:solidFill>
                  <a:sysClr val="windowText" lastClr="000000"/>
                </a:solidFill>
                <a:latin typeface="+mn-lt"/>
                <a:ea typeface="+mn-ea"/>
                <a:cs typeface="+mn-cs"/>
              </a:defRPr>
            </a:pPr>
            <a:r>
              <a:rPr lang="en-US" sz="1400" b="0" i="0" baseline="0">
                <a:effectLst/>
              </a:rPr>
              <a:t>RSU REGEPA  vs SUPERFICIES ANUALES (2021)</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691028058112453"/>
          <c:y val="0.23841584158415841"/>
          <c:w val="0.8144044582455362"/>
          <c:h val="0.57114004313817213"/>
        </c:manualLayout>
      </c:layout>
      <c:barChart>
        <c:barDir val="col"/>
        <c:grouping val="clustered"/>
        <c:varyColors val="0"/>
        <c:ser>
          <c:idx val="1"/>
          <c:order val="0"/>
          <c:tx>
            <c:strRef>
              <c:f>'PIS-REPR'!$M$74</c:f>
              <c:strCache>
                <c:ptCount val="1"/>
                <c:pt idx="0">
                  <c:v>SUP.ANUALES 2021</c:v>
                </c:pt>
              </c:strCache>
            </c:strRef>
          </c:tx>
          <c:spPr>
            <a:solidFill>
              <a:schemeClr val="accent5">
                <a:shade val="76000"/>
              </a:schemeClr>
            </a:solidFill>
            <a:ln>
              <a:noFill/>
            </a:ln>
            <a:effectLst/>
          </c:spPr>
          <c:invertIfNegative val="0"/>
          <c:cat>
            <c:strRef>
              <c:f>'PIS-REPR'!$K$75:$K$79</c:f>
              <c:strCache>
                <c:ptCount val="5"/>
                <c:pt idx="0">
                  <c:v>C.-LA MANCHA</c:v>
                </c:pt>
                <c:pt idx="1">
                  <c:v>ANDALUCIA</c:v>
                </c:pt>
                <c:pt idx="2">
                  <c:v>C. Y LEÓN</c:v>
                </c:pt>
                <c:pt idx="3">
                  <c:v>EXTREMADURA</c:v>
                </c:pt>
                <c:pt idx="4">
                  <c:v>ARAGÓN</c:v>
                </c:pt>
              </c:strCache>
            </c:strRef>
          </c:cat>
          <c:val>
            <c:numRef>
              <c:f>'PIS-REPR'!$M$75:$M$79</c:f>
              <c:numCache>
                <c:formatCode>#,##0</c:formatCode>
                <c:ptCount val="5"/>
                <c:pt idx="0">
                  <c:v>12699</c:v>
                </c:pt>
                <c:pt idx="1">
                  <c:v>1923</c:v>
                </c:pt>
                <c:pt idx="2">
                  <c:v>2085</c:v>
                </c:pt>
                <c:pt idx="3">
                  <c:v>528</c:v>
                </c:pt>
                <c:pt idx="4">
                  <c:v>484</c:v>
                </c:pt>
              </c:numCache>
            </c:numRef>
          </c:val>
          <c:extLst>
            <c:ext xmlns:c16="http://schemas.microsoft.com/office/drawing/2014/chart" uri="{C3380CC4-5D6E-409C-BE32-E72D297353CC}">
              <c16:uniqueId val="{00000000-9057-497C-952D-088DEB4B3E83}"/>
            </c:ext>
          </c:extLst>
        </c:ser>
        <c:ser>
          <c:idx val="0"/>
          <c:order val="1"/>
          <c:tx>
            <c:strRef>
              <c:f>'PIS-REPR'!$L$74</c:f>
              <c:strCache>
                <c:ptCount val="1"/>
                <c:pt idx="0">
                  <c:v>RSU REGEPA 2021</c:v>
                </c:pt>
              </c:strCache>
            </c:strRef>
          </c:tx>
          <c:spPr>
            <a:solidFill>
              <a:schemeClr val="accent5">
                <a:tint val="77000"/>
              </a:schemeClr>
            </a:solidFill>
            <a:ln>
              <a:noFill/>
            </a:ln>
            <a:effectLst/>
          </c:spPr>
          <c:invertIfNegative val="0"/>
          <c:dLbls>
            <c:dLbl>
              <c:idx val="0"/>
              <c:layout>
                <c:manualLayout>
                  <c:x val="-4.2735042735042739E-3"/>
                  <c:y val="-2.4844728597423815E-2"/>
                </c:manualLayout>
              </c:layout>
              <c:tx>
                <c:rich>
                  <a:bodyPr/>
                  <a:lstStyle/>
                  <a:p>
                    <a:fld id="{8691085A-99BD-44A7-BDE8-0203AA81240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303-4D4B-AD6F-181E87A0271A}"/>
                </c:ext>
              </c:extLst>
            </c:dLbl>
            <c:dLbl>
              <c:idx val="1"/>
              <c:layout>
                <c:manualLayout>
                  <c:x val="-6.410256410256489E-3"/>
                  <c:y val="-8.2815761991413359E-3"/>
                </c:manualLayout>
              </c:layout>
              <c:tx>
                <c:rich>
                  <a:bodyPr/>
                  <a:lstStyle/>
                  <a:p>
                    <a:fld id="{EBF0FB45-A8D9-4FFD-959E-6602E70F611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303-4D4B-AD6F-181E87A0271A}"/>
                </c:ext>
              </c:extLst>
            </c:dLbl>
            <c:dLbl>
              <c:idx val="2"/>
              <c:layout>
                <c:manualLayout>
                  <c:x val="-1.282051282051282E-2"/>
                  <c:y val="-4.1407880995706296E-2"/>
                </c:manualLayout>
              </c:layout>
              <c:tx>
                <c:rich>
                  <a:bodyPr/>
                  <a:lstStyle/>
                  <a:p>
                    <a:fld id="{6D9A4F4D-79C4-439C-B632-C1A75CDF4A6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303-4D4B-AD6F-181E87A0271A}"/>
                </c:ext>
              </c:extLst>
            </c:dLbl>
            <c:dLbl>
              <c:idx val="3"/>
              <c:layout>
                <c:manualLayout>
                  <c:x val="-1.7094017094017172E-2"/>
                  <c:y val="0"/>
                </c:manualLayout>
              </c:layout>
              <c:tx>
                <c:rich>
                  <a:bodyPr/>
                  <a:lstStyle/>
                  <a:p>
                    <a:fld id="{4B398E58-D0DC-4382-A224-ABD0E3CFACF6}"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303-4D4B-AD6F-181E87A0271A}"/>
                </c:ext>
              </c:extLst>
            </c:dLbl>
            <c:dLbl>
              <c:idx val="4"/>
              <c:layout>
                <c:manualLayout>
                  <c:x val="-1.4957264957265114E-2"/>
                  <c:y val="-4.1407880995706298E-3"/>
                </c:manualLayout>
              </c:layout>
              <c:tx>
                <c:rich>
                  <a:bodyPr/>
                  <a:lstStyle/>
                  <a:p>
                    <a:fld id="{B0937BE3-8732-4E0B-8842-CAF3E491B5A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303-4D4B-AD6F-181E87A0271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'PIS-REPR'!$K$75:$K$79</c:f>
              <c:strCache>
                <c:ptCount val="5"/>
                <c:pt idx="0">
                  <c:v>C.-LA MANCHA</c:v>
                </c:pt>
                <c:pt idx="1">
                  <c:v>ANDALUCIA</c:v>
                </c:pt>
                <c:pt idx="2">
                  <c:v>C. Y LEÓN</c:v>
                </c:pt>
                <c:pt idx="3">
                  <c:v>EXTREMADURA</c:v>
                </c:pt>
                <c:pt idx="4">
                  <c:v>ARAGÓN</c:v>
                </c:pt>
              </c:strCache>
            </c:strRef>
          </c:cat>
          <c:val>
            <c:numRef>
              <c:f>'PIS-REPR'!$L$75:$L$79</c:f>
              <c:numCache>
                <c:formatCode>#,##0</c:formatCode>
                <c:ptCount val="5"/>
                <c:pt idx="0">
                  <c:v>11399.790000000003</c:v>
                </c:pt>
                <c:pt idx="1">
                  <c:v>1385.08</c:v>
                </c:pt>
                <c:pt idx="2">
                  <c:v>589.13</c:v>
                </c:pt>
                <c:pt idx="3">
                  <c:v>565.08000000000004</c:v>
                </c:pt>
                <c:pt idx="4">
                  <c:v>488.42000000000007</c:v>
                </c:pt>
              </c:numCache>
            </c:numRef>
          </c:val>
          <c:extLst>
            <c:ext xmlns:c15="http://schemas.microsoft.com/office/drawing/2012/chart" uri="{02D57815-91ED-43cb-92C2-25804820EDAC}">
              <c15:datalabelsRange>
                <c15:f>'PIS-REPR'!$N$75:$N$79</c15:f>
                <c15:dlblRangeCache>
                  <c:ptCount val="5"/>
                  <c:pt idx="0">
                    <c:v>90%</c:v>
                  </c:pt>
                  <c:pt idx="1">
                    <c:v>72%</c:v>
                  </c:pt>
                  <c:pt idx="2">
                    <c:v>28%</c:v>
                  </c:pt>
                  <c:pt idx="3">
                    <c:v>107%</c:v>
                  </c:pt>
                  <c:pt idx="4">
                    <c:v>101%</c:v>
                  </c:pt>
                </c15:dlblRangeCache>
              </c15:datalabelsRange>
            </c:ext>
            <c:ext xmlns:c16="http://schemas.microsoft.com/office/drawing/2014/chart" uri="{C3380CC4-5D6E-409C-BE32-E72D297353CC}">
              <c16:uniqueId val="{00000001-9057-497C-952D-088DEB4B3E83}"/>
            </c:ext>
          </c:extLst>
        </c:ser>
        <c:dLbls>
          <c:showLegendKey val="0"/>
          <c:showVal val="0"/>
          <c:showCatName val="0"/>
          <c:showSerName val="0"/>
          <c:showPercent val="0"/>
          <c:showBubbleSize val="0"/>
        </c:dLbls>
        <c:gapWidth val="219"/>
        <c:axId val="97586976"/>
        <c:axId val="97580448"/>
      </c:barChart>
      <c:catAx>
        <c:axId val="97586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0448"/>
        <c:crosses val="autoZero"/>
        <c:auto val="1"/>
        <c:lblAlgn val="ctr"/>
        <c:lblOffset val="100"/>
        <c:noMultiLvlLbl val="0"/>
      </c:catAx>
      <c:valAx>
        <c:axId val="9758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6976"/>
        <c:crosses val="autoZero"/>
        <c:crossBetween val="between"/>
      </c:valAx>
      <c:spPr>
        <a:noFill/>
        <a:ln>
          <a:noFill/>
        </a:ln>
        <a:effectLst/>
      </c:spPr>
    </c:plotArea>
    <c:legend>
      <c:legendPos val="b"/>
      <c:layout>
        <c:manualLayout>
          <c:xMode val="edge"/>
          <c:yMode val="edge"/>
          <c:x val="0.22140240881104814"/>
          <c:y val="0.91694117443240375"/>
          <c:w val="0.57713268084480096"/>
          <c:h val="7.425794547958733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AVELLANO Secano</a:t>
            </a:r>
            <a:r>
              <a:rPr lang="es-ES" b="1" baseline="0">
                <a:solidFill>
                  <a:schemeClr val="tx1"/>
                </a:solidFill>
              </a:rPr>
              <a:t> Ecológico</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'AVE S-VAR'!$Q$65:$S$65</c:f>
              <c:strCache>
                <c:ptCount val="1"/>
                <c:pt idx="0">
                  <c:v>AVELLANO SECANO ECOLÓGICO</c:v>
                </c:pt>
              </c:strCache>
            </c:strRef>
          </c:tx>
          <c:spPr>
            <a:solidFill>
              <a:schemeClr val="accent6"/>
            </a:solidFill>
            <a:ln>
              <a:solidFill>
                <a:schemeClr val="accent6">
                  <a:lumMod val="50000"/>
                </a:schemeClr>
              </a:solidFill>
            </a:ln>
            <a:effectLst/>
          </c:spPr>
          <c:invertIfNegative val="0"/>
          <c:dLbls>
            <c:dLbl>
              <c:idx val="0"/>
              <c:tx>
                <c:rich>
                  <a:bodyPr/>
                  <a:lstStyle/>
                  <a:p>
                    <a:fld id="{9C30AC04-D535-44AD-BB07-B20DDF18D2AC}"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4A1-457F-813A-D8D60F9F099E}"/>
                </c:ext>
              </c:extLst>
            </c:dLbl>
            <c:dLbl>
              <c:idx val="1"/>
              <c:tx>
                <c:rich>
                  <a:bodyPr/>
                  <a:lstStyle/>
                  <a:p>
                    <a:fld id="{AC34ED56-DF22-46FB-97BD-38EAC665F3C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4A1-457F-813A-D8D60F9F099E}"/>
                </c:ext>
              </c:extLst>
            </c:dLbl>
            <c:dLbl>
              <c:idx val="2"/>
              <c:tx>
                <c:rich>
                  <a:bodyPr/>
                  <a:lstStyle/>
                  <a:p>
                    <a:fld id="{7DED8498-6BA3-4EDF-AE60-F295C1A9B5D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4A1-457F-813A-D8D60F9F099E}"/>
                </c:ext>
              </c:extLst>
            </c:dLbl>
            <c:dLbl>
              <c:idx val="3"/>
              <c:tx>
                <c:rich>
                  <a:bodyPr/>
                  <a:lstStyle/>
                  <a:p>
                    <a:fld id="{9C46FA91-2AF8-4012-9DEA-2561DFC00A3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4A1-457F-813A-D8D60F9F099E}"/>
                </c:ext>
              </c:extLst>
            </c:dLbl>
            <c:dLbl>
              <c:idx val="4"/>
              <c:tx>
                <c:rich>
                  <a:bodyPr/>
                  <a:lstStyle/>
                  <a:p>
                    <a:fld id="{E19B0F3E-61FF-497E-8DD2-B47C79951E2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A1-457F-813A-D8D60F9F099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'AVE S-VAR'!$Q$66:$Q$72</c15:sqref>
                  </c15:fullRef>
                </c:ext>
              </c:extLst>
              <c:f>'AVE S-VAR'!$Q$66:$Q$70</c:f>
              <c:strCache>
                <c:ptCount val="5"/>
                <c:pt idx="0">
                  <c:v>NEGRET</c:v>
                </c:pt>
                <c:pt idx="1">
                  <c:v>PAUETET</c:v>
                </c:pt>
                <c:pt idx="2">
                  <c:v>SAN GIOVANNI</c:v>
                </c:pt>
                <c:pt idx="3">
                  <c:v>CASTANYERA</c:v>
                </c:pt>
                <c:pt idx="4">
                  <c:v>BARCELONA</c:v>
                </c:pt>
              </c:strCache>
            </c:strRef>
          </c:cat>
          <c:val>
            <c:numRef>
              <c:extLst>
                <c:ext xmlns:c15="http://schemas.microsoft.com/office/drawing/2012/chart" uri="{02D57815-91ED-43cb-92C2-25804820EDAC}">
                  <c15:fullRef>
                    <c15:sqref>'AVE S-VAR'!$R$66:$R$72</c15:sqref>
                  </c15:fullRef>
                </c:ext>
              </c:extLst>
              <c:f>'AVE S-VAR'!$R$66:$R$70</c:f>
              <c:numCache>
                <c:formatCode>#,##0</c:formatCode>
                <c:ptCount val="5"/>
                <c:pt idx="0">
                  <c:v>92.340000000000018</c:v>
                </c:pt>
                <c:pt idx="1">
                  <c:v>2.73</c:v>
                </c:pt>
                <c:pt idx="2">
                  <c:v>1.8800000000000001</c:v>
                </c:pt>
                <c:pt idx="3">
                  <c:v>1.8</c:v>
                </c:pt>
                <c:pt idx="4">
                  <c:v>0.85000000000000009</c:v>
                </c:pt>
              </c:numCache>
            </c:numRef>
          </c:val>
          <c:extLst>
            <c:ext xmlns:c15="http://schemas.microsoft.com/office/drawing/2012/chart" uri="{02D57815-91ED-43cb-92C2-25804820EDAC}">
              <c15:datalabelsRange>
                <c15:f>'AVE S-VAR'!$S$66:$S$72</c15:f>
                <c15:dlblRangeCache>
                  <c:ptCount val="7"/>
                  <c:pt idx="0">
                    <c:v>74%</c:v>
                  </c:pt>
                  <c:pt idx="1">
                    <c:v>2%</c:v>
                  </c:pt>
                  <c:pt idx="2">
                    <c:v>2%</c:v>
                  </c:pt>
                  <c:pt idx="3">
                    <c:v>1,44%</c:v>
                  </c:pt>
                  <c:pt idx="4">
                    <c:v>0,68%</c:v>
                  </c:pt>
                  <c:pt idx="5">
                    <c:v>0,41%</c:v>
                  </c:pt>
                  <c:pt idx="6">
                    <c:v>0,03%</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714416"/>
        <c:axId val="154707888"/>
      </c:barChart>
      <c:catAx>
        <c:axId val="154714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7888"/>
        <c:crosses val="autoZero"/>
        <c:auto val="1"/>
        <c:lblAlgn val="ctr"/>
        <c:lblOffset val="100"/>
        <c:noMultiLvlLbl val="0"/>
      </c:catAx>
      <c:valAx>
        <c:axId val="1547078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AVELLANO Secano</a:t>
            </a:r>
            <a:r>
              <a:rPr lang="es-ES" b="1" baseline="0">
                <a:solidFill>
                  <a:schemeClr val="tx1"/>
                </a:solidFill>
              </a:rPr>
              <a:t> Convencional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'AVE S-VAR'!$Q$117:$S$117</c:f>
              <c:strCache>
                <c:ptCount val="1"/>
                <c:pt idx="0">
                  <c:v>AVELLANO SECANO CONVENCIONAL</c:v>
                </c:pt>
              </c:strCache>
            </c:strRef>
          </c:tx>
          <c:spPr>
            <a:solidFill>
              <a:schemeClr val="accent2"/>
            </a:solidFill>
            <a:ln>
              <a:solidFill>
                <a:schemeClr val="accent2">
                  <a:lumMod val="75000"/>
                </a:schemeClr>
              </a:solidFill>
            </a:ln>
            <a:effectLst/>
          </c:spPr>
          <c:invertIfNegative val="0"/>
          <c:dLbls>
            <c:dLbl>
              <c:idx val="0"/>
              <c:tx>
                <c:rich>
                  <a:bodyPr/>
                  <a:lstStyle/>
                  <a:p>
                    <a:fld id="{106918F2-3AE9-443C-9271-0E116D83A2AD}"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076-4EDA-81EB-BE14FF1E2CE7}"/>
                </c:ext>
              </c:extLst>
            </c:dLbl>
            <c:dLbl>
              <c:idx val="1"/>
              <c:tx>
                <c:rich>
                  <a:bodyPr/>
                  <a:lstStyle/>
                  <a:p>
                    <a:fld id="{E1480A3F-A33E-4DD8-AD1E-0D6DFAF0BFC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076-4EDA-81EB-BE14FF1E2CE7}"/>
                </c:ext>
              </c:extLst>
            </c:dLbl>
            <c:dLbl>
              <c:idx val="2"/>
              <c:tx>
                <c:rich>
                  <a:bodyPr/>
                  <a:lstStyle/>
                  <a:p>
                    <a:fld id="{3C9C2066-5B69-4288-BDDB-0BB7D894892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076-4EDA-81EB-BE14FF1E2CE7}"/>
                </c:ext>
              </c:extLst>
            </c:dLbl>
            <c:dLbl>
              <c:idx val="3"/>
              <c:tx>
                <c:rich>
                  <a:bodyPr/>
                  <a:lstStyle/>
                  <a:p>
                    <a:fld id="{F36FCF04-D0B7-481B-886E-F62D2148A90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076-4EDA-81EB-BE14FF1E2CE7}"/>
                </c:ext>
              </c:extLst>
            </c:dLbl>
            <c:dLbl>
              <c:idx val="4"/>
              <c:tx>
                <c:rich>
                  <a:bodyPr/>
                  <a:lstStyle/>
                  <a:p>
                    <a:fld id="{257B4A79-FB84-41A9-853F-C3AFB2629FF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76-4EDA-81EB-BE14FF1E2CE7}"/>
                </c:ext>
              </c:extLst>
            </c:dLbl>
            <c:dLbl>
              <c:idx val="5"/>
              <c:tx>
                <c:rich>
                  <a:bodyPr/>
                  <a:lstStyle/>
                  <a:p>
                    <a:fld id="{5485694E-A224-4462-9781-27B4C241104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76-4EDA-81EB-BE14FF1E2CE7}"/>
                </c:ext>
              </c:extLst>
            </c:dLbl>
            <c:dLbl>
              <c:idx val="6"/>
              <c:tx>
                <c:rich>
                  <a:bodyPr/>
                  <a:lstStyle/>
                  <a:p>
                    <a:fld id="{E92D4CD0-982C-448E-B769-021BED6EF6F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76-4EDA-81EB-BE14FF1E2CE7}"/>
                </c:ext>
              </c:extLst>
            </c:dLbl>
            <c:dLbl>
              <c:idx val="7"/>
              <c:tx>
                <c:rich>
                  <a:bodyPr/>
                  <a:lstStyle/>
                  <a:p>
                    <a:fld id="{2F028663-ECE4-41D5-AAB5-B4D00403638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76-4EDA-81EB-BE14FF1E2CE7}"/>
                </c:ext>
              </c:extLst>
            </c:dLbl>
            <c:dLbl>
              <c:idx val="8"/>
              <c:tx>
                <c:rich>
                  <a:bodyPr/>
                  <a:lstStyle/>
                  <a:p>
                    <a:fld id="{398DF5C8-40D2-4CE3-8D78-EBAAB12197B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76-4EDA-81EB-BE14FF1E2CE7}"/>
                </c:ext>
              </c:extLst>
            </c:dLbl>
            <c:dLbl>
              <c:idx val="9"/>
              <c:tx>
                <c:rich>
                  <a:bodyPr/>
                  <a:lstStyle/>
                  <a:p>
                    <a:fld id="{4D92CCBE-0A36-4BE7-8C7C-7598ADAC625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76-4EDA-81EB-BE14FF1E2CE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 S-VAR'!$Q$118:$Q$127</c:f>
              <c:strCache>
                <c:ptCount val="10"/>
                <c:pt idx="0">
                  <c:v>NEGRET</c:v>
                </c:pt>
                <c:pt idx="1">
                  <c:v>PAUETET</c:v>
                </c:pt>
                <c:pt idx="2">
                  <c:v>NEGKRETTA</c:v>
                </c:pt>
                <c:pt idx="3">
                  <c:v>TONDA DI GIFFONI</c:v>
                </c:pt>
                <c:pt idx="4">
                  <c:v>SAN GIOVANNI</c:v>
                </c:pt>
                <c:pt idx="5">
                  <c:v>CASTANYERA</c:v>
                </c:pt>
                <c:pt idx="6">
                  <c:v>FERTILE DE COUTARD</c:v>
                </c:pt>
                <c:pt idx="7">
                  <c:v>BUTLER</c:v>
                </c:pt>
                <c:pt idx="8">
                  <c:v>BARCELONA</c:v>
                </c:pt>
                <c:pt idx="9">
                  <c:v>ENNIS</c:v>
                </c:pt>
              </c:strCache>
            </c:strRef>
          </c:cat>
          <c:val>
            <c:numRef>
              <c:f>'AVE S-VAR'!$R$118:$R$127</c:f>
              <c:numCache>
                <c:formatCode>#,##0</c:formatCode>
                <c:ptCount val="10"/>
                <c:pt idx="0">
                  <c:v>2471.7999999999934</c:v>
                </c:pt>
                <c:pt idx="1">
                  <c:v>101.01</c:v>
                </c:pt>
                <c:pt idx="2">
                  <c:v>74.989999999999995</c:v>
                </c:pt>
                <c:pt idx="3">
                  <c:v>37.31</c:v>
                </c:pt>
                <c:pt idx="4">
                  <c:v>27.390000000000004</c:v>
                </c:pt>
                <c:pt idx="5">
                  <c:v>11.44</c:v>
                </c:pt>
                <c:pt idx="6">
                  <c:v>8.16</c:v>
                </c:pt>
                <c:pt idx="7">
                  <c:v>6.98</c:v>
                </c:pt>
                <c:pt idx="8">
                  <c:v>1.8499999999999999</c:v>
                </c:pt>
                <c:pt idx="9">
                  <c:v>0.7</c:v>
                </c:pt>
              </c:numCache>
            </c:numRef>
          </c:val>
          <c:extLst>
            <c:ext xmlns:c15="http://schemas.microsoft.com/office/drawing/2012/chart" uri="{02D57815-91ED-43cb-92C2-25804820EDAC}">
              <c15:datalabelsRange>
                <c15:f>'AVE S-VAR'!$S$118:$S$127</c15:f>
                <c15:dlblRangeCache>
                  <c:ptCount val="10"/>
                  <c:pt idx="0">
                    <c:v>81%</c:v>
                  </c:pt>
                  <c:pt idx="1">
                    <c:v>3%</c:v>
                  </c:pt>
                  <c:pt idx="2">
                    <c:v>2%</c:v>
                  </c:pt>
                  <c:pt idx="3">
                    <c:v>1,23%</c:v>
                  </c:pt>
                  <c:pt idx="4">
                    <c:v>0,90%</c:v>
                  </c:pt>
                  <c:pt idx="5">
                    <c:v>0,38%</c:v>
                  </c:pt>
                  <c:pt idx="6">
                    <c:v>0,27%</c:v>
                  </c:pt>
                  <c:pt idx="7">
                    <c:v>0,23%</c:v>
                  </c:pt>
                  <c:pt idx="8">
                    <c:v>0,06%</c:v>
                  </c:pt>
                  <c:pt idx="9">
                    <c:v>0,02%</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91024"/>
        <c:axId val="154704624"/>
      </c:barChart>
      <c:catAx>
        <c:axId val="154691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4624"/>
        <c:crosses val="autoZero"/>
        <c:auto val="1"/>
        <c:lblAlgn val="ctr"/>
        <c:lblOffset val="100"/>
        <c:noMultiLvlLbl val="0"/>
      </c:catAx>
      <c:valAx>
        <c:axId val="1547046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AVELLANO Secano</a:t>
            </a:r>
            <a:r>
              <a:rPr lang="es-ES" b="1" baseline="0">
                <a:solidFill>
                  <a:schemeClr val="tx1"/>
                </a:solidFill>
              </a:rPr>
              <a:t> 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'AVE S-VAR'!$Q$13:$S$13</c:f>
              <c:strCache>
                <c:ptCount val="1"/>
                <c:pt idx="0">
                  <c:v>AVELLANO SECANO TOTAL</c:v>
                </c:pt>
              </c:strCache>
            </c:strRef>
          </c:tx>
          <c:spPr>
            <a:solidFill>
              <a:srgbClr val="CB9661"/>
            </a:solidFill>
            <a:ln>
              <a:solidFill>
                <a:srgbClr val="996633"/>
              </a:solidFill>
            </a:ln>
            <a:effectLst/>
          </c:spPr>
          <c:invertIfNegative val="0"/>
          <c:dLbls>
            <c:dLbl>
              <c:idx val="0"/>
              <c:tx>
                <c:rich>
                  <a:bodyPr/>
                  <a:lstStyle/>
                  <a:p>
                    <a:fld id="{19A65935-A281-48E1-B785-AD913A38C91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5E5-4AA2-8905-0AC54D3A0C27}"/>
                </c:ext>
              </c:extLst>
            </c:dLbl>
            <c:dLbl>
              <c:idx val="1"/>
              <c:tx>
                <c:rich>
                  <a:bodyPr/>
                  <a:lstStyle/>
                  <a:p>
                    <a:fld id="{D9E20D27-EBE5-42D5-A278-1CA5BAD13CB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5E5-4AA2-8905-0AC54D3A0C27}"/>
                </c:ext>
              </c:extLst>
            </c:dLbl>
            <c:dLbl>
              <c:idx val="2"/>
              <c:tx>
                <c:rich>
                  <a:bodyPr/>
                  <a:lstStyle/>
                  <a:p>
                    <a:fld id="{80D922A8-9828-4665-95CF-CB3085D5FD7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5E5-4AA2-8905-0AC54D3A0C27}"/>
                </c:ext>
              </c:extLst>
            </c:dLbl>
            <c:dLbl>
              <c:idx val="3"/>
              <c:tx>
                <c:rich>
                  <a:bodyPr/>
                  <a:lstStyle/>
                  <a:p>
                    <a:fld id="{3105AE65-FFEB-475D-951C-EE64C9973AC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5E5-4AA2-8905-0AC54D3A0C27}"/>
                </c:ext>
              </c:extLst>
            </c:dLbl>
            <c:dLbl>
              <c:idx val="4"/>
              <c:tx>
                <c:rich>
                  <a:bodyPr/>
                  <a:lstStyle/>
                  <a:p>
                    <a:fld id="{B2C5B669-D6AA-43A1-9A66-361A8E7482E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5E5-4AA2-8905-0AC54D3A0C2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'AVE S-VAR'!$Q$14:$Q$23</c15:sqref>
                  </c15:fullRef>
                </c:ext>
              </c:extLst>
              <c:f>'AVE S-VAR'!$Q$14:$Q$18</c:f>
              <c:strCache>
                <c:ptCount val="5"/>
                <c:pt idx="0">
                  <c:v>NEGRET</c:v>
                </c:pt>
                <c:pt idx="1">
                  <c:v>PAUETET</c:v>
                </c:pt>
                <c:pt idx="2">
                  <c:v>NEGKRETTA</c:v>
                </c:pt>
                <c:pt idx="3">
                  <c:v>TONDA DI GIFFONI</c:v>
                </c:pt>
                <c:pt idx="4">
                  <c:v>SAN GIOVANNI</c:v>
                </c:pt>
              </c:strCache>
            </c:strRef>
          </c:cat>
          <c:val>
            <c:numRef>
              <c:extLst>
                <c:ext xmlns:c15="http://schemas.microsoft.com/office/drawing/2012/chart" uri="{02D57815-91ED-43cb-92C2-25804820EDAC}">
                  <c15:fullRef>
                    <c15:sqref>'AVE S-VAR'!$R$14:$R$23</c15:sqref>
                  </c15:fullRef>
                </c:ext>
              </c:extLst>
              <c:f>'AVE S-VAR'!$R$14:$R$18</c:f>
              <c:numCache>
                <c:formatCode>#,##0</c:formatCode>
                <c:ptCount val="5"/>
                <c:pt idx="0">
                  <c:v>2564.1399999999931</c:v>
                </c:pt>
                <c:pt idx="1">
                  <c:v>103.74</c:v>
                </c:pt>
                <c:pt idx="2">
                  <c:v>74.989999999999995</c:v>
                </c:pt>
                <c:pt idx="3">
                  <c:v>37.82</c:v>
                </c:pt>
                <c:pt idx="4">
                  <c:v>29.270000000000007</c:v>
                </c:pt>
              </c:numCache>
            </c:numRef>
          </c:val>
          <c:extLst>
            <c:ext xmlns:c15="http://schemas.microsoft.com/office/drawing/2012/chart" uri="{02D57815-91ED-43cb-92C2-25804820EDAC}">
              <c15:datalabelsRange>
                <c15:f>'AVE S-VAR'!$S$14:$S$23</c15:f>
                <c15:dlblRangeCache>
                  <c:ptCount val="10"/>
                  <c:pt idx="0">
                    <c:v>81%</c:v>
                  </c:pt>
                  <c:pt idx="1">
                    <c:v>3%</c:v>
                  </c:pt>
                  <c:pt idx="2">
                    <c:v>2%</c:v>
                  </c:pt>
                  <c:pt idx="3">
                    <c:v>1,19%</c:v>
                  </c:pt>
                  <c:pt idx="4">
                    <c:v>0,92%</c:v>
                  </c:pt>
                  <c:pt idx="5">
                    <c:v>0,42%</c:v>
                  </c:pt>
                  <c:pt idx="6">
                    <c:v>0,26%</c:v>
                  </c:pt>
                  <c:pt idx="7">
                    <c:v>0,22%</c:v>
                  </c:pt>
                  <c:pt idx="8">
                    <c:v>0,09%</c:v>
                  </c:pt>
                  <c:pt idx="9">
                    <c:v>0,02%</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706800"/>
        <c:axId val="154694288"/>
      </c:barChart>
      <c:catAx>
        <c:axId val="1547068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4288"/>
        <c:crosses val="autoZero"/>
        <c:auto val="1"/>
        <c:lblAlgn val="ctr"/>
        <c:lblOffset val="100"/>
        <c:noMultiLvlLbl val="0"/>
      </c:catAx>
      <c:valAx>
        <c:axId val="1546942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6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AVELLANO Regadío </a:t>
            </a:r>
            <a:r>
              <a:rPr lang="es-ES" b="1" baseline="0">
                <a:solidFill>
                  <a:schemeClr val="tx1"/>
                </a:solidFill>
              </a:rPr>
              <a:t>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'AVE R-VAR'!$Q$13:$S$13</c:f>
              <c:strCache>
                <c:ptCount val="1"/>
                <c:pt idx="0">
                  <c:v>AVELLANO REGADÍO TOTAL</c:v>
                </c:pt>
              </c:strCache>
            </c:strRef>
          </c:tx>
          <c:spPr>
            <a:solidFill>
              <a:schemeClr val="accent1">
                <a:lumMod val="75000"/>
              </a:schemeClr>
            </a:solidFill>
            <a:ln>
              <a:solidFill>
                <a:schemeClr val="accent1">
                  <a:lumMod val="50000"/>
                </a:schemeClr>
              </a:solidFill>
            </a:ln>
            <a:effectLst/>
          </c:spPr>
          <c:invertIfNegative val="0"/>
          <c:dLbls>
            <c:dLbl>
              <c:idx val="0"/>
              <c:tx>
                <c:rich>
                  <a:bodyPr/>
                  <a:lstStyle/>
                  <a:p>
                    <a:fld id="{7D837930-9B55-417F-83A0-07573C58BB0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5CF-48DA-AA27-B3BE846DC056}"/>
                </c:ext>
              </c:extLst>
            </c:dLbl>
            <c:dLbl>
              <c:idx val="1"/>
              <c:tx>
                <c:rich>
                  <a:bodyPr/>
                  <a:lstStyle/>
                  <a:p>
                    <a:fld id="{96706A29-168D-4C95-9C18-848E26466C9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5CF-48DA-AA27-B3BE846DC056}"/>
                </c:ext>
              </c:extLst>
            </c:dLbl>
            <c:dLbl>
              <c:idx val="2"/>
              <c:tx>
                <c:rich>
                  <a:bodyPr/>
                  <a:lstStyle/>
                  <a:p>
                    <a:fld id="{FC6545FB-7574-49F7-BD27-F9941314955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5CF-48DA-AA27-B3BE846DC056}"/>
                </c:ext>
              </c:extLst>
            </c:dLbl>
            <c:dLbl>
              <c:idx val="3"/>
              <c:tx>
                <c:rich>
                  <a:bodyPr/>
                  <a:lstStyle/>
                  <a:p>
                    <a:fld id="{169DFC2F-6EF4-4954-93BD-BE949AB44B9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5CF-48DA-AA27-B3BE846DC056}"/>
                </c:ext>
              </c:extLst>
            </c:dLbl>
            <c:dLbl>
              <c:idx val="4"/>
              <c:tx>
                <c:rich>
                  <a:bodyPr/>
                  <a:lstStyle/>
                  <a:p>
                    <a:fld id="{B099E328-0990-4D48-9692-BF01D542246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CF-48DA-AA27-B3BE846DC05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'AVE R-VAR'!$Q$14:$Q$23</c15:sqref>
                  </c15:fullRef>
                </c:ext>
              </c:extLst>
              <c:f>'AVE R-VAR'!$Q$14:$Q$18</c:f>
              <c:strCache>
                <c:ptCount val="5"/>
                <c:pt idx="0">
                  <c:v>NEGRET</c:v>
                </c:pt>
                <c:pt idx="1">
                  <c:v>PAUETET</c:v>
                </c:pt>
                <c:pt idx="2">
                  <c:v>SAN GIOVANNI</c:v>
                </c:pt>
                <c:pt idx="3">
                  <c:v>TONDA DI GIFFONI</c:v>
                </c:pt>
                <c:pt idx="4">
                  <c:v>TONDA GENTILE ROMANA</c:v>
                </c:pt>
              </c:strCache>
            </c:strRef>
          </c:cat>
          <c:val>
            <c:numRef>
              <c:extLst>
                <c:ext xmlns:c15="http://schemas.microsoft.com/office/drawing/2012/chart" uri="{02D57815-91ED-43cb-92C2-25804820EDAC}">
                  <c15:fullRef>
                    <c15:sqref>'AVE R-VAR'!$R$14:$R$23</c15:sqref>
                  </c15:fullRef>
                </c:ext>
              </c:extLst>
              <c:f>'AVE R-VAR'!$R$14:$R$18</c:f>
              <c:numCache>
                <c:formatCode>#,##0</c:formatCode>
                <c:ptCount val="5"/>
                <c:pt idx="0">
                  <c:v>2955.7800000000038</c:v>
                </c:pt>
                <c:pt idx="1">
                  <c:v>1953.6999999999996</c:v>
                </c:pt>
                <c:pt idx="2">
                  <c:v>750.74</c:v>
                </c:pt>
                <c:pt idx="3">
                  <c:v>611.5999999999998</c:v>
                </c:pt>
                <c:pt idx="4">
                  <c:v>43.639999999999993</c:v>
                </c:pt>
              </c:numCache>
            </c:numRef>
          </c:val>
          <c:extLst>
            <c:ext xmlns:c15="http://schemas.microsoft.com/office/drawing/2012/chart" uri="{02D57815-91ED-43cb-92C2-25804820EDAC}">
              <c15:datalabelsRange>
                <c15:f>'AVE R-VAR'!$S$14:$S$23</c15:f>
                <c15:dlblRangeCache>
                  <c:ptCount val="10"/>
                  <c:pt idx="0">
                    <c:v>44%</c:v>
                  </c:pt>
                  <c:pt idx="1">
                    <c:v>29%</c:v>
                  </c:pt>
                  <c:pt idx="2">
                    <c:v>11%</c:v>
                  </c:pt>
                  <c:pt idx="3">
                    <c:v>9%</c:v>
                  </c:pt>
                  <c:pt idx="4">
                    <c:v>0,65%</c:v>
                  </c:pt>
                  <c:pt idx="5">
                    <c:v>0,21%</c:v>
                  </c:pt>
                  <c:pt idx="6">
                    <c:v>0,14%</c:v>
                  </c:pt>
                  <c:pt idx="7">
                    <c:v>0,08%</c:v>
                  </c:pt>
                  <c:pt idx="8">
                    <c:v>0,02%</c:v>
                  </c:pt>
                  <c:pt idx="9">
                    <c:v>0,004%</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87216"/>
        <c:axId val="154692656"/>
      </c:barChart>
      <c:catAx>
        <c:axId val="154687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2656"/>
        <c:crosses val="autoZero"/>
        <c:auto val="1"/>
        <c:lblAlgn val="ctr"/>
        <c:lblOffset val="100"/>
        <c:noMultiLvlLbl val="0"/>
      </c:catAx>
      <c:valAx>
        <c:axId val="1546926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AVELLANO Regadío </a:t>
            </a:r>
            <a:r>
              <a:rPr lang="es-ES" b="1" baseline="0">
                <a:solidFill>
                  <a:schemeClr val="tx1"/>
                </a:solidFill>
              </a:rPr>
              <a:t>Ecológico</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'AVE R-VAR'!$Q$48:$S$48</c:f>
              <c:strCache>
                <c:ptCount val="1"/>
                <c:pt idx="0">
                  <c:v>AVELLANO REGADÍO ECOLÓGICO</c:v>
                </c:pt>
              </c:strCache>
            </c:strRef>
          </c:tx>
          <c:spPr>
            <a:solidFill>
              <a:srgbClr val="00FFCC"/>
            </a:solidFill>
            <a:ln>
              <a:solidFill>
                <a:schemeClr val="accent6">
                  <a:lumMod val="75000"/>
                </a:schemeClr>
              </a:solidFill>
            </a:ln>
            <a:effectLst/>
          </c:spPr>
          <c:invertIfNegative val="0"/>
          <c:dLbls>
            <c:dLbl>
              <c:idx val="0"/>
              <c:tx>
                <c:rich>
                  <a:bodyPr/>
                  <a:lstStyle/>
                  <a:p>
                    <a:fld id="{F4CDBCEF-ABC9-4736-8363-8F11DEBADE26}"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C19-40A9-813E-15979CB24FBE}"/>
                </c:ext>
              </c:extLst>
            </c:dLbl>
            <c:dLbl>
              <c:idx val="1"/>
              <c:tx>
                <c:rich>
                  <a:bodyPr/>
                  <a:lstStyle/>
                  <a:p>
                    <a:fld id="{7C0BC58C-76F5-44FD-97CD-71510827B59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C19-40A9-813E-15979CB24FBE}"/>
                </c:ext>
              </c:extLst>
            </c:dLbl>
            <c:dLbl>
              <c:idx val="2"/>
              <c:tx>
                <c:rich>
                  <a:bodyPr/>
                  <a:lstStyle/>
                  <a:p>
                    <a:fld id="{20679E72-6758-4502-BC9A-54FF273AE41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19-40A9-813E-15979CB24FBE}"/>
                </c:ext>
              </c:extLst>
            </c:dLbl>
            <c:dLbl>
              <c:idx val="3"/>
              <c:tx>
                <c:rich>
                  <a:bodyPr/>
                  <a:lstStyle/>
                  <a:p>
                    <a:fld id="{98D8036E-9500-4DFA-A08C-FD0148F28FC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19-40A9-813E-15979CB24FBE}"/>
                </c:ext>
              </c:extLst>
            </c:dLbl>
            <c:dLbl>
              <c:idx val="4"/>
              <c:tx>
                <c:rich>
                  <a:bodyPr/>
                  <a:lstStyle/>
                  <a:p>
                    <a:fld id="{972D45A7-591A-4800-A182-4694CA1B0C0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19-40A9-813E-15979CB24FB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'AVE R-VAR'!$Q$49:$Q$58</c15:sqref>
                  </c15:fullRef>
                </c:ext>
              </c:extLst>
              <c:f>'AVE R-VAR'!$Q$49:$Q$53</c:f>
              <c:strCache>
                <c:ptCount val="5"/>
                <c:pt idx="0">
                  <c:v>NEGRET</c:v>
                </c:pt>
                <c:pt idx="1">
                  <c:v>TONDA DI GIFFONI</c:v>
                </c:pt>
                <c:pt idx="2">
                  <c:v>PAUETET</c:v>
                </c:pt>
                <c:pt idx="3">
                  <c:v>SAN GIOVANNI</c:v>
                </c:pt>
                <c:pt idx="4">
                  <c:v>TONDA GENTILE ROMANA</c:v>
                </c:pt>
              </c:strCache>
            </c:strRef>
          </c:cat>
          <c:val>
            <c:numRef>
              <c:extLst>
                <c:ext xmlns:c15="http://schemas.microsoft.com/office/drawing/2012/chart" uri="{02D57815-91ED-43cb-92C2-25804820EDAC}">
                  <c15:fullRef>
                    <c15:sqref>'AVE R-VAR'!$R$49:$R$58</c15:sqref>
                  </c15:fullRef>
                </c:ext>
              </c:extLst>
              <c:f>'AVE R-VAR'!$R$49:$R$53</c:f>
              <c:numCache>
                <c:formatCode>#,##0</c:formatCode>
                <c:ptCount val="5"/>
                <c:pt idx="0">
                  <c:v>90.960000000000022</c:v>
                </c:pt>
                <c:pt idx="1">
                  <c:v>52.030000000000008</c:v>
                </c:pt>
                <c:pt idx="2">
                  <c:v>35.42</c:v>
                </c:pt>
                <c:pt idx="3">
                  <c:v>23.75</c:v>
                </c:pt>
                <c:pt idx="4">
                  <c:v>9.379999999999999</c:v>
                </c:pt>
              </c:numCache>
            </c:numRef>
          </c:val>
          <c:extLst>
            <c:ext xmlns:c15="http://schemas.microsoft.com/office/drawing/2012/chart" uri="{02D57815-91ED-43cb-92C2-25804820EDAC}">
              <c15:datalabelsRange>
                <c15:f>'AVE R-VAR'!$S$49:$S$56</c15:f>
                <c15:dlblRangeCache>
                  <c:ptCount val="8"/>
                  <c:pt idx="0">
                    <c:v>37%</c:v>
                  </c:pt>
                  <c:pt idx="1">
                    <c:v>21%</c:v>
                  </c:pt>
                  <c:pt idx="2">
                    <c:v>14%</c:v>
                  </c:pt>
                  <c:pt idx="3">
                    <c:v>10%</c:v>
                  </c:pt>
                  <c:pt idx="4">
                    <c:v>4%</c:v>
                  </c:pt>
                  <c:pt idx="5">
                    <c:v>0,45%</c:v>
                  </c:pt>
                  <c:pt idx="6">
                    <c:v>0,08%</c:v>
                  </c:pt>
                  <c:pt idx="7">
                    <c:v>0,06%</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711696"/>
        <c:axId val="154710608"/>
      </c:barChart>
      <c:catAx>
        <c:axId val="1547116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0608"/>
        <c:crosses val="autoZero"/>
        <c:auto val="1"/>
        <c:lblAlgn val="ctr"/>
        <c:lblOffset val="100"/>
        <c:noMultiLvlLbl val="0"/>
      </c:catAx>
      <c:valAx>
        <c:axId val="1547106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AVELLANO Regadío </a:t>
            </a:r>
            <a:r>
              <a:rPr lang="es-ES" b="1" baseline="0">
                <a:solidFill>
                  <a:schemeClr val="tx1"/>
                </a:solidFill>
              </a:rPr>
              <a:t>Convencional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'AVE R-VAR'!$Q$83:$S$83</c:f>
              <c:strCache>
                <c:ptCount val="1"/>
                <c:pt idx="0">
                  <c:v>AVELLANO REGADÍO CONVENCIONAL</c:v>
                </c:pt>
              </c:strCache>
            </c:strRef>
          </c:tx>
          <c:spPr>
            <a:solidFill>
              <a:schemeClr val="accent2"/>
            </a:solidFill>
            <a:ln>
              <a:solidFill>
                <a:schemeClr val="accent2">
                  <a:lumMod val="75000"/>
                </a:schemeClr>
              </a:solidFill>
            </a:ln>
            <a:effectLst/>
          </c:spPr>
          <c:invertIfNegative val="0"/>
          <c:dLbls>
            <c:dLbl>
              <c:idx val="0"/>
              <c:tx>
                <c:rich>
                  <a:bodyPr/>
                  <a:lstStyle/>
                  <a:p>
                    <a:fld id="{8CAF2945-D37E-470E-AC32-914175F9F9E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B86-4FB5-ADA2-23C16DACE323}"/>
                </c:ext>
              </c:extLst>
            </c:dLbl>
            <c:dLbl>
              <c:idx val="1"/>
              <c:tx>
                <c:rich>
                  <a:bodyPr/>
                  <a:lstStyle/>
                  <a:p>
                    <a:fld id="{06BCF81F-0C6E-4DEE-A3BD-B340CA8BFAE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B86-4FB5-ADA2-23C16DACE323}"/>
                </c:ext>
              </c:extLst>
            </c:dLbl>
            <c:dLbl>
              <c:idx val="2"/>
              <c:tx>
                <c:rich>
                  <a:bodyPr/>
                  <a:lstStyle/>
                  <a:p>
                    <a:fld id="{DAB58239-5093-49BC-BD4D-88227D0CA8A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B86-4FB5-ADA2-23C16DACE323}"/>
                </c:ext>
              </c:extLst>
            </c:dLbl>
            <c:dLbl>
              <c:idx val="3"/>
              <c:tx>
                <c:rich>
                  <a:bodyPr/>
                  <a:lstStyle/>
                  <a:p>
                    <a:fld id="{C87EE4A0-4CAC-4E8C-9EFA-D2991F66468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B86-4FB5-ADA2-23C16DACE323}"/>
                </c:ext>
              </c:extLst>
            </c:dLbl>
            <c:dLbl>
              <c:idx val="4"/>
              <c:tx>
                <c:rich>
                  <a:bodyPr/>
                  <a:lstStyle/>
                  <a:p>
                    <a:fld id="{E21DF3B5-2569-41C9-90BF-421B9977AE3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B86-4FB5-ADA2-23C16DACE323}"/>
                </c:ext>
              </c:extLst>
            </c:dLbl>
            <c:dLbl>
              <c:idx val="5"/>
              <c:tx>
                <c:rich>
                  <a:bodyPr/>
                  <a:lstStyle/>
                  <a:p>
                    <a:fld id="{25D8FDFC-0627-487C-98E9-D8C2BDA908D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B86-4FB5-ADA2-23C16DACE323}"/>
                </c:ext>
              </c:extLst>
            </c:dLbl>
            <c:dLbl>
              <c:idx val="6"/>
              <c:tx>
                <c:rich>
                  <a:bodyPr/>
                  <a:lstStyle/>
                  <a:p>
                    <a:fld id="{267C5162-60C9-4FE5-94DF-89BDFCF961C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B86-4FB5-ADA2-23C16DACE323}"/>
                </c:ext>
              </c:extLst>
            </c:dLbl>
            <c:dLbl>
              <c:idx val="7"/>
              <c:tx>
                <c:rich>
                  <a:bodyPr/>
                  <a:lstStyle/>
                  <a:p>
                    <a:fld id="{E2869410-BC38-4362-BCFC-12D911CBD5A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B86-4FB5-ADA2-23C16DACE32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'AVE R-VAR'!$Q$84:$Q$93</c15:sqref>
                  </c15:fullRef>
                </c:ext>
              </c:extLst>
              <c:f>'AVE R-VAR'!$Q$84:$Q$91</c:f>
              <c:strCache>
                <c:ptCount val="8"/>
                <c:pt idx="0">
                  <c:v>NEGRET</c:v>
                </c:pt>
                <c:pt idx="1">
                  <c:v>PAUETET</c:v>
                </c:pt>
                <c:pt idx="2">
                  <c:v>SAN GIOVANNI</c:v>
                </c:pt>
                <c:pt idx="3">
                  <c:v>TONDA DI GIFFONI</c:v>
                </c:pt>
                <c:pt idx="4">
                  <c:v>TONDA GENTILE ROMANA</c:v>
                </c:pt>
                <c:pt idx="5">
                  <c:v>NEGKRETTA</c:v>
                </c:pt>
                <c:pt idx="6">
                  <c:v>CASTANYERA</c:v>
                </c:pt>
                <c:pt idx="7">
                  <c:v>BARCELONA</c:v>
                </c:pt>
              </c:strCache>
            </c:strRef>
          </c:cat>
          <c:val>
            <c:numRef>
              <c:extLst>
                <c:ext xmlns:c15="http://schemas.microsoft.com/office/drawing/2012/chart" uri="{02D57815-91ED-43cb-92C2-25804820EDAC}">
                  <c15:fullRef>
                    <c15:sqref>'AVE R-VAR'!$R$84:$R$93</c15:sqref>
                  </c15:fullRef>
                </c:ext>
              </c:extLst>
              <c:f>'AVE R-VAR'!$R$84:$R$91</c:f>
              <c:numCache>
                <c:formatCode>#,##0</c:formatCode>
                <c:ptCount val="8"/>
                <c:pt idx="0">
                  <c:v>2864.8200000000038</c:v>
                </c:pt>
                <c:pt idx="1">
                  <c:v>1918.2799999999995</c:v>
                </c:pt>
                <c:pt idx="2">
                  <c:v>726.99</c:v>
                </c:pt>
                <c:pt idx="3">
                  <c:v>559.56999999999982</c:v>
                </c:pt>
                <c:pt idx="4">
                  <c:v>34.26</c:v>
                </c:pt>
                <c:pt idx="5">
                  <c:v>13.780000000000001</c:v>
                </c:pt>
                <c:pt idx="6">
                  <c:v>9.6499999999999986</c:v>
                </c:pt>
                <c:pt idx="7">
                  <c:v>5.37</c:v>
                </c:pt>
              </c:numCache>
            </c:numRef>
          </c:val>
          <c:extLst>
            <c:ext xmlns:c15="http://schemas.microsoft.com/office/drawing/2012/chart" uri="{02D57815-91ED-43cb-92C2-25804820EDAC}">
              <c15:datalabelsRange>
                <c15:f>'AVE R-VAR'!$S$84:$S$91</c15:f>
                <c15:dlblRangeCache>
                  <c:ptCount val="8"/>
                  <c:pt idx="0">
                    <c:v>44%</c:v>
                  </c:pt>
                  <c:pt idx="1">
                    <c:v>30%</c:v>
                  </c:pt>
                  <c:pt idx="2">
                    <c:v>11%</c:v>
                  </c:pt>
                  <c:pt idx="3">
                    <c:v>9%</c:v>
                  </c:pt>
                  <c:pt idx="4">
                    <c:v>0,53%</c:v>
                  </c:pt>
                  <c:pt idx="5">
                    <c:v>0,21%</c:v>
                  </c:pt>
                  <c:pt idx="6">
                    <c:v>0,15%</c:v>
                  </c:pt>
                  <c:pt idx="7">
                    <c:v>0,08%</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90480"/>
        <c:axId val="154698096"/>
      </c:barChart>
      <c:catAx>
        <c:axId val="154690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8096"/>
        <c:crosses val="autoZero"/>
        <c:auto val="1"/>
        <c:lblAlgn val="ctr"/>
        <c:lblOffset val="100"/>
        <c:noMultiLvlLbl val="0"/>
      </c:catAx>
      <c:valAx>
        <c:axId val="1546980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0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ALGARROBO Secano</a:t>
            </a:r>
            <a:r>
              <a:rPr lang="es-ES" b="1" baseline="0">
                <a:solidFill>
                  <a:schemeClr val="tx1"/>
                </a:solidFill>
              </a:rPr>
              <a:t> 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'ALG S-VAR'!$Q$13:$S$13</c:f>
              <c:strCache>
                <c:ptCount val="1"/>
                <c:pt idx="0">
                  <c:v>ALGARROBO SECANO TOTAL</c:v>
                </c:pt>
              </c:strCache>
            </c:strRef>
          </c:tx>
          <c:spPr>
            <a:solidFill>
              <a:srgbClr val="CB9661"/>
            </a:solidFill>
            <a:ln>
              <a:solidFill>
                <a:srgbClr val="996633"/>
              </a:solidFill>
            </a:ln>
            <a:effectLst/>
          </c:spPr>
          <c:invertIfNegative val="0"/>
          <c:dLbls>
            <c:dLbl>
              <c:idx val="0"/>
              <c:tx>
                <c:rich>
                  <a:bodyPr/>
                  <a:lstStyle/>
                  <a:p>
                    <a:fld id="{F8E30784-7DB5-4CEE-8F9D-2BBED4C2A38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57B-400B-9303-B321A7E26FC9}"/>
                </c:ext>
              </c:extLst>
            </c:dLbl>
            <c:dLbl>
              <c:idx val="1"/>
              <c:tx>
                <c:rich>
                  <a:bodyPr/>
                  <a:lstStyle/>
                  <a:p>
                    <a:fld id="{065AA418-E27A-428A-B5B6-CBF402E6B78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57B-400B-9303-B321A7E26FC9}"/>
                </c:ext>
              </c:extLst>
            </c:dLbl>
            <c:dLbl>
              <c:idx val="2"/>
              <c:tx>
                <c:rich>
                  <a:bodyPr/>
                  <a:lstStyle/>
                  <a:p>
                    <a:fld id="{45765D31-AC08-47E9-9AA3-25100C45554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7B-400B-9303-B321A7E26FC9}"/>
                </c:ext>
              </c:extLst>
            </c:dLbl>
            <c:dLbl>
              <c:idx val="3"/>
              <c:tx>
                <c:rich>
                  <a:bodyPr/>
                  <a:lstStyle/>
                  <a:p>
                    <a:fld id="{3AD5B0C2-F88F-44BB-A420-696154656B1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7B-400B-9303-B321A7E26FC9}"/>
                </c:ext>
              </c:extLst>
            </c:dLbl>
            <c:dLbl>
              <c:idx val="4"/>
              <c:tx>
                <c:rich>
                  <a:bodyPr/>
                  <a:lstStyle/>
                  <a:p>
                    <a:fld id="{1D013F9B-8A56-40E4-A4D9-EAFCD769399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7B-400B-9303-B321A7E26FC9}"/>
                </c:ext>
              </c:extLst>
            </c:dLbl>
            <c:dLbl>
              <c:idx val="5"/>
              <c:tx>
                <c:rich>
                  <a:bodyPr/>
                  <a:lstStyle/>
                  <a:p>
                    <a:fld id="{D2BD3E84-CE7F-4A19-AAEB-A2CFBF6C652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7B-400B-9303-B321A7E26FC9}"/>
                </c:ext>
              </c:extLst>
            </c:dLbl>
            <c:dLbl>
              <c:idx val="6"/>
              <c:tx>
                <c:rich>
                  <a:bodyPr/>
                  <a:lstStyle/>
                  <a:p>
                    <a:fld id="{32DDFE53-4A8D-4511-8503-65F46B1C713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7B-400B-9303-B321A7E26FC9}"/>
                </c:ext>
              </c:extLst>
            </c:dLbl>
            <c:dLbl>
              <c:idx val="7"/>
              <c:tx>
                <c:rich>
                  <a:bodyPr/>
                  <a:lstStyle/>
                  <a:p>
                    <a:fld id="{3B9FE107-9217-465B-B3D8-385A5EF428C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7B-400B-9303-B321A7E26FC9}"/>
                </c:ext>
              </c:extLst>
            </c:dLbl>
            <c:dLbl>
              <c:idx val="8"/>
              <c:tx>
                <c:rich>
                  <a:bodyPr/>
                  <a:lstStyle/>
                  <a:p>
                    <a:fld id="{27836782-F715-449F-9E44-EC001A58C75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7B-400B-9303-B321A7E26FC9}"/>
                </c:ext>
              </c:extLst>
            </c:dLbl>
            <c:dLbl>
              <c:idx val="9"/>
              <c:tx>
                <c:rich>
                  <a:bodyPr/>
                  <a:lstStyle/>
                  <a:p>
                    <a:fld id="{CE5C4DB4-DC7C-45E8-A87E-C5306E8D2CE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7B-400B-9303-B321A7E26FC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 S-VAR'!$Q$14:$Q$23</c:f>
              <c:strCache>
                <c:ptCount val="10"/>
                <c:pt idx="0">
                  <c:v>MATALAFERA</c:v>
                </c:pt>
                <c:pt idx="1">
                  <c:v>NEGRA</c:v>
                </c:pt>
                <c:pt idx="2">
                  <c:v>MELERA</c:v>
                </c:pt>
                <c:pt idx="3">
                  <c:v>RAMILLETE</c:v>
                </c:pt>
                <c:pt idx="4">
                  <c:v>BANYA DE CABRA</c:v>
                </c:pt>
                <c:pt idx="5">
                  <c:v>COSTILLA DE ASNO</c:v>
                </c:pt>
                <c:pt idx="6">
                  <c:v>CASUDA</c:v>
                </c:pt>
                <c:pt idx="7">
                  <c:v>CASTELLANA</c:v>
                </c:pt>
                <c:pt idx="8">
                  <c:v>BRAVÍA</c:v>
                </c:pt>
                <c:pt idx="9">
                  <c:v>CACHES</c:v>
                </c:pt>
              </c:strCache>
            </c:strRef>
          </c:cat>
          <c:val>
            <c:numRef>
              <c:f>'ALG S-VAR'!$R$14:$R$23</c:f>
              <c:numCache>
                <c:formatCode>#,##0</c:formatCode>
                <c:ptCount val="10"/>
                <c:pt idx="0">
                  <c:v>4107.3900000000394</c:v>
                </c:pt>
                <c:pt idx="1">
                  <c:v>2649.6399999999967</c:v>
                </c:pt>
                <c:pt idx="2">
                  <c:v>451.44000000000011</c:v>
                </c:pt>
                <c:pt idx="3">
                  <c:v>436.25999999999982</c:v>
                </c:pt>
                <c:pt idx="4">
                  <c:v>399.99999999999994</c:v>
                </c:pt>
                <c:pt idx="5">
                  <c:v>270.28000000000003</c:v>
                </c:pt>
                <c:pt idx="6">
                  <c:v>164.09999999999997</c:v>
                </c:pt>
                <c:pt idx="7">
                  <c:v>154.44</c:v>
                </c:pt>
                <c:pt idx="8">
                  <c:v>135.53</c:v>
                </c:pt>
                <c:pt idx="9">
                  <c:v>92.61</c:v>
                </c:pt>
              </c:numCache>
            </c:numRef>
          </c:val>
          <c:extLst>
            <c:ext xmlns:c15="http://schemas.microsoft.com/office/drawing/2012/chart" uri="{02D57815-91ED-43cb-92C2-25804820EDAC}">
              <c15:datalabelsRange>
                <c15:f>'ALG S-VAR'!$S$14:$S$23</c15:f>
                <c15:dlblRangeCache>
                  <c:ptCount val="10"/>
                  <c:pt idx="0">
                    <c:v>26%</c:v>
                  </c:pt>
                  <c:pt idx="1">
                    <c:v>17%</c:v>
                  </c:pt>
                  <c:pt idx="2">
                    <c:v>3%</c:v>
                  </c:pt>
                  <c:pt idx="3">
                    <c:v>3%</c:v>
                  </c:pt>
                  <c:pt idx="4">
                    <c:v>3%</c:v>
                  </c:pt>
                  <c:pt idx="5">
                    <c:v>1,74%</c:v>
                  </c:pt>
                  <c:pt idx="6">
                    <c:v>1,06%</c:v>
                  </c:pt>
                  <c:pt idx="7">
                    <c:v>0,99%</c:v>
                  </c:pt>
                  <c:pt idx="8">
                    <c:v>0,87%</c:v>
                  </c:pt>
                  <c:pt idx="9">
                    <c:v>0,60%</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88304"/>
        <c:axId val="154694832"/>
      </c:barChart>
      <c:catAx>
        <c:axId val="154688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4832"/>
        <c:crosses val="autoZero"/>
        <c:auto val="1"/>
        <c:lblAlgn val="ctr"/>
        <c:lblOffset val="100"/>
        <c:noMultiLvlLbl val="0"/>
      </c:catAx>
      <c:valAx>
        <c:axId val="1546948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ALGARROBO</a:t>
            </a:r>
            <a:r>
              <a:rPr lang="es-ES" b="1" baseline="0">
                <a:solidFill>
                  <a:schemeClr val="tx1"/>
                </a:solidFill>
              </a:rPr>
              <a:t> </a:t>
            </a:r>
            <a:r>
              <a:rPr lang="es-ES" b="1">
                <a:solidFill>
                  <a:schemeClr val="tx1"/>
                </a:solidFill>
              </a:rPr>
              <a:t>Secano</a:t>
            </a:r>
            <a:r>
              <a:rPr lang="es-ES" b="1" baseline="0">
                <a:solidFill>
                  <a:schemeClr val="tx1"/>
                </a:solidFill>
              </a:rPr>
              <a:t> Ecológico</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'ALG S-VAR'!$Q$43:$S$43</c:f>
              <c:strCache>
                <c:ptCount val="1"/>
                <c:pt idx="0">
                  <c:v>ALGARROBO SECANO ECOLÓGICO</c:v>
                </c:pt>
              </c:strCache>
            </c:strRef>
          </c:tx>
          <c:spPr>
            <a:solidFill>
              <a:schemeClr val="accent6"/>
            </a:solidFill>
            <a:ln>
              <a:noFill/>
            </a:ln>
            <a:effectLst/>
          </c:spPr>
          <c:invertIfNegative val="0"/>
          <c:dLbls>
            <c:dLbl>
              <c:idx val="0"/>
              <c:tx>
                <c:rich>
                  <a:bodyPr/>
                  <a:lstStyle/>
                  <a:p>
                    <a:fld id="{91100E5F-E5EB-4A33-8B47-C4775E4096B7}"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5C5-4601-8175-06A8F7499423}"/>
                </c:ext>
              </c:extLst>
            </c:dLbl>
            <c:dLbl>
              <c:idx val="1"/>
              <c:tx>
                <c:rich>
                  <a:bodyPr/>
                  <a:lstStyle/>
                  <a:p>
                    <a:fld id="{84671E03-BC14-4DAD-A1A3-B6B441C54EA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5C5-4601-8175-06A8F7499423}"/>
                </c:ext>
              </c:extLst>
            </c:dLbl>
            <c:dLbl>
              <c:idx val="2"/>
              <c:tx>
                <c:rich>
                  <a:bodyPr/>
                  <a:lstStyle/>
                  <a:p>
                    <a:fld id="{112EB9E6-4183-45E2-82A3-8F183EE8965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5C5-4601-8175-06A8F7499423}"/>
                </c:ext>
              </c:extLst>
            </c:dLbl>
            <c:dLbl>
              <c:idx val="3"/>
              <c:tx>
                <c:rich>
                  <a:bodyPr/>
                  <a:lstStyle/>
                  <a:p>
                    <a:fld id="{8A55FECE-791F-4136-B282-D6CA8E35B2C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5C5-4601-8175-06A8F7499423}"/>
                </c:ext>
              </c:extLst>
            </c:dLbl>
            <c:dLbl>
              <c:idx val="4"/>
              <c:tx>
                <c:rich>
                  <a:bodyPr/>
                  <a:lstStyle/>
                  <a:p>
                    <a:fld id="{C58985EC-AB04-44F1-A429-8BAB0AC7269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5C5-4601-8175-06A8F7499423}"/>
                </c:ext>
              </c:extLst>
            </c:dLbl>
            <c:dLbl>
              <c:idx val="5"/>
              <c:tx>
                <c:rich>
                  <a:bodyPr/>
                  <a:lstStyle/>
                  <a:p>
                    <a:fld id="{8E4CF86C-209A-458B-8FD6-AB0A1FC3A55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5C5-4601-8175-06A8F7499423}"/>
                </c:ext>
              </c:extLst>
            </c:dLbl>
            <c:dLbl>
              <c:idx val="6"/>
              <c:tx>
                <c:rich>
                  <a:bodyPr/>
                  <a:lstStyle/>
                  <a:p>
                    <a:fld id="{12232D19-B941-4C87-82C4-6F73042C8E6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5C5-4601-8175-06A8F7499423}"/>
                </c:ext>
              </c:extLst>
            </c:dLbl>
            <c:dLbl>
              <c:idx val="7"/>
              <c:tx>
                <c:rich>
                  <a:bodyPr/>
                  <a:lstStyle/>
                  <a:p>
                    <a:fld id="{2822100A-7B4D-4C01-B1B1-09B173A3A0E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5C5-4601-8175-06A8F7499423}"/>
                </c:ext>
              </c:extLst>
            </c:dLbl>
            <c:dLbl>
              <c:idx val="8"/>
              <c:tx>
                <c:rich>
                  <a:bodyPr/>
                  <a:lstStyle/>
                  <a:p>
                    <a:fld id="{A373B72C-5454-4ABD-BA09-0C81982C381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5C5-4601-8175-06A8F7499423}"/>
                </c:ext>
              </c:extLst>
            </c:dLbl>
            <c:dLbl>
              <c:idx val="9"/>
              <c:tx>
                <c:rich>
                  <a:bodyPr/>
                  <a:lstStyle/>
                  <a:p>
                    <a:fld id="{131FDC26-ED2A-4F20-A8DD-AAC67546176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5C5-4601-8175-06A8F749942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 S-VAR'!$Q$44:$Q$53</c:f>
              <c:strCache>
                <c:ptCount val="10"/>
                <c:pt idx="0">
                  <c:v>NEGRA</c:v>
                </c:pt>
                <c:pt idx="1">
                  <c:v>RAMILLETE</c:v>
                </c:pt>
                <c:pt idx="2">
                  <c:v>MATALAFERA</c:v>
                </c:pt>
                <c:pt idx="3">
                  <c:v>COSTILLA DE ASNO</c:v>
                </c:pt>
                <c:pt idx="4">
                  <c:v>BRAVÍA</c:v>
                </c:pt>
                <c:pt idx="5">
                  <c:v>CASTELLANA</c:v>
                </c:pt>
                <c:pt idx="6">
                  <c:v>BANYA DE CABRA</c:v>
                </c:pt>
                <c:pt idx="7">
                  <c:v>MELERA</c:v>
                </c:pt>
                <c:pt idx="8">
                  <c:v>CACHES</c:v>
                </c:pt>
                <c:pt idx="9">
                  <c:v>CASUDA</c:v>
                </c:pt>
              </c:strCache>
            </c:strRef>
          </c:cat>
          <c:val>
            <c:numRef>
              <c:f>'ALG S-VAR'!$R$44:$R$53</c:f>
              <c:numCache>
                <c:formatCode>#,##0</c:formatCode>
                <c:ptCount val="10"/>
                <c:pt idx="0">
                  <c:v>377.1</c:v>
                </c:pt>
                <c:pt idx="1">
                  <c:v>155.01999999999998</c:v>
                </c:pt>
                <c:pt idx="2">
                  <c:v>114.72</c:v>
                </c:pt>
                <c:pt idx="3">
                  <c:v>31.470000000000002</c:v>
                </c:pt>
                <c:pt idx="4">
                  <c:v>17.510000000000002</c:v>
                </c:pt>
                <c:pt idx="5">
                  <c:v>17.080000000000002</c:v>
                </c:pt>
                <c:pt idx="6">
                  <c:v>13.749999999999998</c:v>
                </c:pt>
                <c:pt idx="7">
                  <c:v>9.2399999999999984</c:v>
                </c:pt>
                <c:pt idx="8">
                  <c:v>2.95</c:v>
                </c:pt>
                <c:pt idx="9">
                  <c:v>0.14000000000000001</c:v>
                </c:pt>
              </c:numCache>
            </c:numRef>
          </c:val>
          <c:extLst>
            <c:ext xmlns:c15="http://schemas.microsoft.com/office/drawing/2012/chart" uri="{02D57815-91ED-43cb-92C2-25804820EDAC}">
              <c15:datalabelsRange>
                <c15:f>'ALG S-VAR'!$S$44:$S$53</c15:f>
                <c15:dlblRangeCache>
                  <c:ptCount val="10"/>
                  <c:pt idx="0">
                    <c:v>27%</c:v>
                  </c:pt>
                  <c:pt idx="1">
                    <c:v>11%</c:v>
                  </c:pt>
                  <c:pt idx="2">
                    <c:v>8%</c:v>
                  </c:pt>
                  <c:pt idx="3">
                    <c:v>2%</c:v>
                  </c:pt>
                  <c:pt idx="4">
                    <c:v>1,24%</c:v>
                  </c:pt>
                  <c:pt idx="5">
                    <c:v>1,21%</c:v>
                  </c:pt>
                  <c:pt idx="6">
                    <c:v>0,97%</c:v>
                  </c:pt>
                  <c:pt idx="7">
                    <c:v>0,65%</c:v>
                  </c:pt>
                  <c:pt idx="8">
                    <c:v>0,21%</c:v>
                  </c:pt>
                  <c:pt idx="9">
                    <c:v>0,01%</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712784"/>
        <c:axId val="154701360"/>
      </c:barChart>
      <c:catAx>
        <c:axId val="154712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1360"/>
        <c:crosses val="autoZero"/>
        <c:auto val="1"/>
        <c:lblAlgn val="ctr"/>
        <c:lblOffset val="100"/>
        <c:noMultiLvlLbl val="0"/>
      </c:catAx>
      <c:valAx>
        <c:axId val="1547013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2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ALGARROBO</a:t>
            </a:r>
            <a:r>
              <a:rPr lang="es-ES" b="1" baseline="0">
                <a:solidFill>
                  <a:schemeClr val="tx1"/>
                </a:solidFill>
              </a:rPr>
              <a:t> </a:t>
            </a:r>
            <a:r>
              <a:rPr lang="es-ES" b="1">
                <a:solidFill>
                  <a:schemeClr val="tx1"/>
                </a:solidFill>
              </a:rPr>
              <a:t>Secano</a:t>
            </a:r>
            <a:r>
              <a:rPr lang="es-ES" b="1" baseline="0">
                <a:solidFill>
                  <a:schemeClr val="tx1"/>
                </a:solidFill>
              </a:rPr>
              <a:t> Convencional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'ALG S-VAR'!$Q$73:$S$73</c:f>
              <c:strCache>
                <c:ptCount val="1"/>
                <c:pt idx="0">
                  <c:v>ALGARROBO SECANO CONVENCIONAL</c:v>
                </c:pt>
              </c:strCache>
            </c:strRef>
          </c:tx>
          <c:spPr>
            <a:solidFill>
              <a:schemeClr val="accent2"/>
            </a:solidFill>
            <a:ln>
              <a:noFill/>
            </a:ln>
            <a:effectLst/>
          </c:spPr>
          <c:invertIfNegative val="0"/>
          <c:dLbls>
            <c:dLbl>
              <c:idx val="0"/>
              <c:tx>
                <c:rich>
                  <a:bodyPr/>
                  <a:lstStyle/>
                  <a:p>
                    <a:fld id="{1CE5EED3-BEF3-49A4-8BAE-693EC8393C9F}"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ABB-44A7-844E-52414D38D73F}"/>
                </c:ext>
              </c:extLst>
            </c:dLbl>
            <c:dLbl>
              <c:idx val="1"/>
              <c:tx>
                <c:rich>
                  <a:bodyPr/>
                  <a:lstStyle/>
                  <a:p>
                    <a:fld id="{398214CA-EC6C-43BB-A671-1B6786B917D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ABB-44A7-844E-52414D38D73F}"/>
                </c:ext>
              </c:extLst>
            </c:dLbl>
            <c:dLbl>
              <c:idx val="2"/>
              <c:tx>
                <c:rich>
                  <a:bodyPr/>
                  <a:lstStyle/>
                  <a:p>
                    <a:fld id="{A0E4BF2C-2CD2-4054-928B-E05D2AB3E28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ABB-44A7-844E-52414D38D73F}"/>
                </c:ext>
              </c:extLst>
            </c:dLbl>
            <c:dLbl>
              <c:idx val="3"/>
              <c:tx>
                <c:rich>
                  <a:bodyPr/>
                  <a:lstStyle/>
                  <a:p>
                    <a:fld id="{1F1E9AA6-E233-45CE-B4A6-19C590D8B25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ABB-44A7-844E-52414D38D73F}"/>
                </c:ext>
              </c:extLst>
            </c:dLbl>
            <c:dLbl>
              <c:idx val="4"/>
              <c:tx>
                <c:rich>
                  <a:bodyPr/>
                  <a:lstStyle/>
                  <a:p>
                    <a:fld id="{FC62EC07-6AE2-4060-B084-20AF6733EE4C}"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ABB-44A7-844E-52414D38D73F}"/>
                </c:ext>
              </c:extLst>
            </c:dLbl>
            <c:dLbl>
              <c:idx val="5"/>
              <c:tx>
                <c:rich>
                  <a:bodyPr/>
                  <a:lstStyle/>
                  <a:p>
                    <a:fld id="{64711265-3D42-4241-B4A4-7B89AACAFC37}"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ABB-44A7-844E-52414D38D73F}"/>
                </c:ext>
              </c:extLst>
            </c:dLbl>
            <c:dLbl>
              <c:idx val="6"/>
              <c:tx>
                <c:rich>
                  <a:bodyPr/>
                  <a:lstStyle/>
                  <a:p>
                    <a:fld id="{50F2A477-71C0-4827-90D4-0C5BF8A2DED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ABB-44A7-844E-52414D38D73F}"/>
                </c:ext>
              </c:extLst>
            </c:dLbl>
            <c:dLbl>
              <c:idx val="7"/>
              <c:tx>
                <c:rich>
                  <a:bodyPr/>
                  <a:lstStyle/>
                  <a:p>
                    <a:fld id="{69928E17-4D30-4D9F-BB61-9695362FE41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ABB-44A7-844E-52414D38D73F}"/>
                </c:ext>
              </c:extLst>
            </c:dLbl>
            <c:dLbl>
              <c:idx val="8"/>
              <c:tx>
                <c:rich>
                  <a:bodyPr/>
                  <a:lstStyle/>
                  <a:p>
                    <a:fld id="{BF06889A-C99E-4E66-8681-A99962483C9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ABB-44A7-844E-52414D38D73F}"/>
                </c:ext>
              </c:extLst>
            </c:dLbl>
            <c:dLbl>
              <c:idx val="9"/>
              <c:tx>
                <c:rich>
                  <a:bodyPr/>
                  <a:lstStyle/>
                  <a:p>
                    <a:fld id="{2E430861-B300-4DB4-97CF-5DF0977318E1}"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ABB-44A7-844E-52414D38D73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 S-VAR'!$Q$74:$Q$83</c:f>
              <c:strCache>
                <c:ptCount val="10"/>
                <c:pt idx="0">
                  <c:v>MATALAFERA</c:v>
                </c:pt>
                <c:pt idx="1">
                  <c:v>NEGRA</c:v>
                </c:pt>
                <c:pt idx="2">
                  <c:v>MELERA</c:v>
                </c:pt>
                <c:pt idx="3">
                  <c:v>BANYA DE CABRA</c:v>
                </c:pt>
                <c:pt idx="4">
                  <c:v>RAMILLETE</c:v>
                </c:pt>
                <c:pt idx="5">
                  <c:v>COSTILLA DE ASNO</c:v>
                </c:pt>
                <c:pt idx="6">
                  <c:v>CASUDA</c:v>
                </c:pt>
                <c:pt idx="7">
                  <c:v>CASTELLANA</c:v>
                </c:pt>
                <c:pt idx="8">
                  <c:v>BRAVÍA</c:v>
                </c:pt>
                <c:pt idx="9">
                  <c:v>CACHES</c:v>
                </c:pt>
              </c:strCache>
            </c:strRef>
          </c:cat>
          <c:val>
            <c:numRef>
              <c:f>'ALG S-VAR'!$R$74:$R$83</c:f>
              <c:numCache>
                <c:formatCode>#,##0</c:formatCode>
                <c:ptCount val="10"/>
                <c:pt idx="0">
                  <c:v>3992.6700000000392</c:v>
                </c:pt>
                <c:pt idx="1">
                  <c:v>2272.5399999999968</c:v>
                </c:pt>
                <c:pt idx="2">
                  <c:v>442.20000000000005</c:v>
                </c:pt>
                <c:pt idx="3">
                  <c:v>386.24999999999994</c:v>
                </c:pt>
                <c:pt idx="4">
                  <c:v>281.23999999999984</c:v>
                </c:pt>
                <c:pt idx="5">
                  <c:v>238.81000000000003</c:v>
                </c:pt>
                <c:pt idx="6">
                  <c:v>163.95999999999998</c:v>
                </c:pt>
                <c:pt idx="7">
                  <c:v>137.35999999999999</c:v>
                </c:pt>
                <c:pt idx="8">
                  <c:v>118.02000000000001</c:v>
                </c:pt>
                <c:pt idx="9">
                  <c:v>89.66</c:v>
                </c:pt>
              </c:numCache>
            </c:numRef>
          </c:val>
          <c:extLst>
            <c:ext xmlns:c15="http://schemas.microsoft.com/office/drawing/2012/chart" uri="{02D57815-91ED-43cb-92C2-25804820EDAC}">
              <c15:datalabelsRange>
                <c15:f>'ALG S-VAR'!$S$74:$S$83</c15:f>
                <c15:dlblRangeCache>
                  <c:ptCount val="10"/>
                  <c:pt idx="0">
                    <c:v>28%</c:v>
                  </c:pt>
                  <c:pt idx="1">
                    <c:v>16%</c:v>
                  </c:pt>
                  <c:pt idx="2">
                    <c:v>3%</c:v>
                  </c:pt>
                  <c:pt idx="3">
                    <c:v>3%</c:v>
                  </c:pt>
                  <c:pt idx="4">
                    <c:v>2%</c:v>
                  </c:pt>
                  <c:pt idx="5">
                    <c:v>2%</c:v>
                  </c:pt>
                  <c:pt idx="6">
                    <c:v>1,16%</c:v>
                  </c:pt>
                  <c:pt idx="7">
                    <c:v>0,97%</c:v>
                  </c:pt>
                  <c:pt idx="8">
                    <c:v>0,84%</c:v>
                  </c:pt>
                  <c:pt idx="9">
                    <c:v>0,63%</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95920"/>
        <c:axId val="154713328"/>
      </c:barChart>
      <c:catAx>
        <c:axId val="154695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3328"/>
        <c:crosses val="autoZero"/>
        <c:auto val="1"/>
        <c:lblAlgn val="ctr"/>
        <c:lblOffset val="100"/>
        <c:noMultiLvlLbl val="0"/>
      </c:catAx>
      <c:valAx>
        <c:axId val="1547133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95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ALGARROBO</a:t>
            </a:r>
            <a:r>
              <a:rPr lang="es-ES" b="1" baseline="0">
                <a:solidFill>
                  <a:schemeClr val="tx1"/>
                </a:solidFill>
              </a:rPr>
              <a:t> </a:t>
            </a:r>
            <a:r>
              <a:rPr lang="es-ES" b="1">
                <a:solidFill>
                  <a:schemeClr val="tx1"/>
                </a:solidFill>
              </a:rPr>
              <a:t>Regadío </a:t>
            </a:r>
            <a:r>
              <a:rPr lang="es-ES" b="1" baseline="0">
                <a:solidFill>
                  <a:schemeClr val="tx1"/>
                </a:solidFill>
              </a:rPr>
              <a:t>Total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'ALG R-VAR'!$Q$13:$S$13</c:f>
              <c:strCache>
                <c:ptCount val="1"/>
                <c:pt idx="0">
                  <c:v>ALGARROBO REGADÍO TOTAL</c:v>
                </c:pt>
              </c:strCache>
            </c:strRef>
          </c:tx>
          <c:spPr>
            <a:solidFill>
              <a:schemeClr val="accent1">
                <a:lumMod val="75000"/>
              </a:schemeClr>
            </a:solidFill>
            <a:ln>
              <a:solidFill>
                <a:schemeClr val="accent1">
                  <a:lumMod val="50000"/>
                </a:schemeClr>
              </a:solidFill>
            </a:ln>
            <a:effectLst/>
          </c:spPr>
          <c:invertIfNegative val="0"/>
          <c:dLbls>
            <c:dLbl>
              <c:idx val="0"/>
              <c:tx>
                <c:rich>
                  <a:bodyPr/>
                  <a:lstStyle/>
                  <a:p>
                    <a:fld id="{BEF20DDB-F6D2-4DE3-A639-6F3086C3C1E6}"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4E-479C-AE49-F04223BB874D}"/>
                </c:ext>
              </c:extLst>
            </c:dLbl>
            <c:dLbl>
              <c:idx val="1"/>
              <c:tx>
                <c:rich>
                  <a:bodyPr/>
                  <a:lstStyle/>
                  <a:p>
                    <a:fld id="{3CD9092A-655F-42BA-9A95-98F8A65E884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A4E-479C-AE49-F04223BB874D}"/>
                </c:ext>
              </c:extLst>
            </c:dLbl>
            <c:dLbl>
              <c:idx val="2"/>
              <c:tx>
                <c:rich>
                  <a:bodyPr/>
                  <a:lstStyle/>
                  <a:p>
                    <a:fld id="{A3960909-4BE6-493D-AB2C-9FB60530540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A4E-479C-AE49-F04223BB874D}"/>
                </c:ext>
              </c:extLst>
            </c:dLbl>
            <c:dLbl>
              <c:idx val="3"/>
              <c:tx>
                <c:rich>
                  <a:bodyPr/>
                  <a:lstStyle/>
                  <a:p>
                    <a:fld id="{00A9BA85-2722-4C8C-AA7D-D8328EF5686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A4E-479C-AE49-F04223BB874D}"/>
                </c:ext>
              </c:extLst>
            </c:dLbl>
            <c:dLbl>
              <c:idx val="4"/>
              <c:tx>
                <c:rich>
                  <a:bodyPr/>
                  <a:lstStyle/>
                  <a:p>
                    <a:fld id="{B4AF06A9-E899-4F72-AD0B-C9CCB17466B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A4E-479C-AE49-F04223BB874D}"/>
                </c:ext>
              </c:extLst>
            </c:dLbl>
            <c:dLbl>
              <c:idx val="5"/>
              <c:tx>
                <c:rich>
                  <a:bodyPr/>
                  <a:lstStyle/>
                  <a:p>
                    <a:fld id="{D97B753B-5AC2-4790-9DD3-227A32F771E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4E-479C-AE49-F04223BB874D}"/>
                </c:ext>
              </c:extLst>
            </c:dLbl>
            <c:dLbl>
              <c:idx val="6"/>
              <c:tx>
                <c:rich>
                  <a:bodyPr/>
                  <a:lstStyle/>
                  <a:p>
                    <a:fld id="{F78B587F-A111-44EC-8C79-5ACC33D2B77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4E-479C-AE49-F04223BB874D}"/>
                </c:ext>
              </c:extLst>
            </c:dLbl>
            <c:dLbl>
              <c:idx val="7"/>
              <c:tx>
                <c:rich>
                  <a:bodyPr/>
                  <a:lstStyle/>
                  <a:p>
                    <a:fld id="{8B4C72FC-85F3-4125-968E-527169520AD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4E-479C-AE49-F04223BB874D}"/>
                </c:ext>
              </c:extLst>
            </c:dLbl>
            <c:dLbl>
              <c:idx val="8"/>
              <c:tx>
                <c:rich>
                  <a:bodyPr/>
                  <a:lstStyle/>
                  <a:p>
                    <a:fld id="{7252AAF0-33F0-4851-8B82-387C2D2100D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4E-479C-AE49-F04223BB874D}"/>
                </c:ext>
              </c:extLst>
            </c:dLbl>
            <c:dLbl>
              <c:idx val="9"/>
              <c:tx>
                <c:rich>
                  <a:bodyPr/>
                  <a:lstStyle/>
                  <a:p>
                    <a:fld id="{4D09345A-AD58-4FF9-935F-AE05AE669D8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4E-479C-AE49-F04223BB874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 R-VAR'!$Q$14:$Q$23</c:f>
              <c:strCache>
                <c:ptCount val="10"/>
                <c:pt idx="0">
                  <c:v>NEGRA</c:v>
                </c:pt>
                <c:pt idx="1">
                  <c:v>MATALAFERA</c:v>
                </c:pt>
                <c:pt idx="2">
                  <c:v>RAMILLETE</c:v>
                </c:pt>
                <c:pt idx="3">
                  <c:v>DURAIO</c:v>
                </c:pt>
                <c:pt idx="4">
                  <c:v>MELERA</c:v>
                </c:pt>
                <c:pt idx="5">
                  <c:v>BUGADERA</c:v>
                </c:pt>
                <c:pt idx="6">
                  <c:v>BANYA DE CABRA</c:v>
                </c:pt>
                <c:pt idx="7">
                  <c:v>COSTILLA DE ASNO</c:v>
                </c:pt>
                <c:pt idx="8">
                  <c:v>CACHES</c:v>
                </c:pt>
                <c:pt idx="9">
                  <c:v>RALLADORA</c:v>
                </c:pt>
              </c:strCache>
            </c:strRef>
          </c:cat>
          <c:val>
            <c:numRef>
              <c:f>'ALG R-VAR'!$R$14:$R$23</c:f>
              <c:numCache>
                <c:formatCode>#,##0</c:formatCode>
                <c:ptCount val="10"/>
                <c:pt idx="0">
                  <c:v>136.24</c:v>
                </c:pt>
                <c:pt idx="1">
                  <c:v>66.660000000000025</c:v>
                </c:pt>
                <c:pt idx="2">
                  <c:v>45.690000000000012</c:v>
                </c:pt>
                <c:pt idx="3">
                  <c:v>20.740000000000002</c:v>
                </c:pt>
                <c:pt idx="4">
                  <c:v>10.439999999999998</c:v>
                </c:pt>
                <c:pt idx="5">
                  <c:v>7.8299999999999992</c:v>
                </c:pt>
                <c:pt idx="6">
                  <c:v>7.5100000000000007</c:v>
                </c:pt>
                <c:pt idx="7">
                  <c:v>3.35</c:v>
                </c:pt>
                <c:pt idx="8">
                  <c:v>2.3799999999999994</c:v>
                </c:pt>
                <c:pt idx="9">
                  <c:v>1.1100000000000001</c:v>
                </c:pt>
              </c:numCache>
            </c:numRef>
          </c:val>
          <c:extLst>
            <c:ext xmlns:c15="http://schemas.microsoft.com/office/drawing/2012/chart" uri="{02D57815-91ED-43cb-92C2-25804820EDAC}">
              <c15:datalabelsRange>
                <c15:f>'ALG R-VAR'!$S$14:$S$23</c15:f>
                <c15:dlblRangeCache>
                  <c:ptCount val="10"/>
                  <c:pt idx="0">
                    <c:v>18%</c:v>
                  </c:pt>
                  <c:pt idx="1">
                    <c:v>9%</c:v>
                  </c:pt>
                  <c:pt idx="2">
                    <c:v>6%</c:v>
                  </c:pt>
                  <c:pt idx="3">
                    <c:v>3%</c:v>
                  </c:pt>
                  <c:pt idx="4">
                    <c:v>1,35%</c:v>
                  </c:pt>
                  <c:pt idx="5">
                    <c:v>1,01%</c:v>
                  </c:pt>
                  <c:pt idx="6">
                    <c:v>0,97%</c:v>
                  </c:pt>
                  <c:pt idx="7">
                    <c:v>0,43%</c:v>
                  </c:pt>
                  <c:pt idx="8">
                    <c:v>0,31%</c:v>
                  </c:pt>
                  <c:pt idx="9">
                    <c:v>0,14%</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685584"/>
        <c:axId val="154713872"/>
      </c:barChart>
      <c:catAx>
        <c:axId val="154685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13872"/>
        <c:crosses val="autoZero"/>
        <c:auto val="1"/>
        <c:lblAlgn val="ctr"/>
        <c:lblOffset val="100"/>
        <c:noMultiLvlLbl val="0"/>
      </c:catAx>
      <c:valAx>
        <c:axId val="1547138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5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t>Frutos Secos: </a:t>
            </a:r>
          </a:p>
          <a:p>
            <a:pPr>
              <a:defRPr sz="1400" b="0" i="0" u="none" strike="noStrike" kern="1200" spc="0" baseline="0">
                <a:solidFill>
                  <a:schemeClr val="tx1">
                    <a:lumMod val="65000"/>
                    <a:lumOff val="35000"/>
                  </a:schemeClr>
                </a:solidFill>
                <a:latin typeface="+mn-lt"/>
                <a:ea typeface="+mn-ea"/>
                <a:cs typeface="+mn-cs"/>
              </a:defRPr>
            </a:pPr>
            <a:r>
              <a:rPr lang="es-ES"/>
              <a:t>Representatividad RSU REGEPA 2020 vs 2021 por productos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2020</c:v>
          </c:tx>
          <c:spPr>
            <a:solidFill>
              <a:srgbClr val="D7AE85"/>
            </a:solidFill>
            <a:ln>
              <a:solidFill>
                <a:schemeClr val="tx1"/>
              </a:solidFill>
            </a:ln>
            <a:effectLst/>
            <a:sp3d>
              <a:contourClr>
                <a:schemeClr val="tx1"/>
              </a:contourClr>
            </a:sp3d>
          </c:spPr>
          <c:invertIfNegative val="0"/>
          <c:dLbls>
            <c:dLbl>
              <c:idx val="0"/>
              <c:layout>
                <c:manualLayout>
                  <c:x val="0"/>
                  <c:y val="0.22685185185185186"/>
                </c:manualLayout>
              </c:layout>
              <c:spPr>
                <a:noFill/>
                <a:ln>
                  <a:noFill/>
                </a:ln>
                <a:effectLst/>
              </c:spPr>
              <c:txPr>
                <a:bodyPr rot="-5400000" spcFirstLastPara="1" vertOverflow="ellipsis" vert="horz" wrap="square" lIns="38100" tIns="19050" rIns="38100" bIns="19050" anchor="ctr" anchorCtr="0">
                  <a:spAutoFit/>
                </a:bodyPr>
                <a:lstStyle/>
                <a:p>
                  <a:pPr>
                    <a:defRPr sz="1000" b="1" i="0" u="none" strike="noStrike" kern="1200" baseline="0">
                      <a:solidFill>
                        <a:srgbClr val="6633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8C-42F7-8403-E64F09655C83}"/>
                </c:ext>
              </c:extLst>
            </c:dLbl>
            <c:dLbl>
              <c:idx val="1"/>
              <c:layout>
                <c:manualLayout>
                  <c:x val="-5.0925337632079971E-17"/>
                  <c:y val="0.29629629629629628"/>
                </c:manualLayout>
              </c:layout>
              <c:spPr>
                <a:noFill/>
                <a:ln>
                  <a:noFill/>
                </a:ln>
                <a:effectLst/>
              </c:spPr>
              <c:txPr>
                <a:bodyPr rot="-5400000" spcFirstLastPara="1" vertOverflow="ellipsis" vert="horz" wrap="square" lIns="38100" tIns="19050" rIns="38100" bIns="19050" anchor="ctr" anchorCtr="0">
                  <a:spAutoFit/>
                </a:bodyPr>
                <a:lstStyle/>
                <a:p>
                  <a:pPr algn="ctr" rtl="0">
                    <a:defRPr lang="en-US" sz="1000" b="1" i="0" u="none" strike="noStrike" kern="1200" baseline="0">
                      <a:solidFill>
                        <a:srgbClr val="6633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8C-42F7-8403-E64F09655C83}"/>
                </c:ext>
              </c:extLst>
            </c:dLbl>
            <c:dLbl>
              <c:idx val="2"/>
              <c:layout>
                <c:manualLayout>
                  <c:x val="0"/>
                  <c:y val="0.22685185185185178"/>
                </c:manualLayout>
              </c:layout>
              <c:spPr>
                <a:noFill/>
                <a:ln>
                  <a:noFill/>
                </a:ln>
                <a:effectLst/>
              </c:spPr>
              <c:txPr>
                <a:bodyPr rot="-5400000" spcFirstLastPara="1" vertOverflow="ellipsis" vert="horz" wrap="square" lIns="38100" tIns="19050" rIns="38100" bIns="19050" anchor="ctr" anchorCtr="0">
                  <a:spAutoFit/>
                </a:bodyPr>
                <a:lstStyle/>
                <a:p>
                  <a:pPr algn="ctr" rtl="0">
                    <a:defRPr lang="en-US" sz="1000" b="1" i="0" u="none" strike="noStrike" kern="1200" baseline="0">
                      <a:solidFill>
                        <a:srgbClr val="6633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8C-42F7-8403-E64F09655C83}"/>
                </c:ext>
              </c:extLst>
            </c:dLbl>
            <c:dLbl>
              <c:idx val="3"/>
              <c:layout>
                <c:manualLayout>
                  <c:x val="0"/>
                  <c:y val="0.1388888888888889"/>
                </c:manualLayout>
              </c:layout>
              <c:spPr>
                <a:noFill/>
                <a:ln>
                  <a:noFill/>
                </a:ln>
                <a:effectLst/>
              </c:spPr>
              <c:txPr>
                <a:bodyPr rot="-5400000" spcFirstLastPara="1" vertOverflow="ellipsis" vert="horz" wrap="square" lIns="38100" tIns="19050" rIns="38100" bIns="19050" anchor="ctr" anchorCtr="0">
                  <a:spAutoFit/>
                </a:bodyPr>
                <a:lstStyle/>
                <a:p>
                  <a:pPr algn="ctr" rtl="0">
                    <a:defRPr lang="en-US" sz="1000" b="1" i="0" u="none" strike="noStrike" kern="1200" baseline="0">
                      <a:solidFill>
                        <a:srgbClr val="6633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8C-42F7-8403-E64F09655C83}"/>
                </c:ext>
              </c:extLst>
            </c:dLbl>
            <c:dLbl>
              <c:idx val="4"/>
              <c:layout>
                <c:manualLayout>
                  <c:x val="0"/>
                  <c:y val="0.125"/>
                </c:manualLayout>
              </c:layout>
              <c:spPr>
                <a:noFill/>
                <a:ln>
                  <a:noFill/>
                </a:ln>
                <a:effectLst/>
              </c:spPr>
              <c:txPr>
                <a:bodyPr rot="-5400000" spcFirstLastPara="1" vertOverflow="ellipsis" vert="horz" wrap="square" lIns="38100" tIns="19050" rIns="38100" bIns="19050" anchor="ctr" anchorCtr="0">
                  <a:spAutoFit/>
                </a:bodyPr>
                <a:lstStyle/>
                <a:p>
                  <a:pPr algn="ctr" rtl="0">
                    <a:defRPr lang="en-US" sz="1000" b="1" i="0" u="none" strike="noStrike" kern="1200" baseline="0">
                      <a:solidFill>
                        <a:srgbClr val="6633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8C-42F7-8403-E64F09655C83}"/>
                </c:ext>
              </c:extLst>
            </c:dLbl>
            <c:dLbl>
              <c:idx val="5"/>
              <c:layout>
                <c:manualLayout>
                  <c:x val="-1.0185067526415994E-16"/>
                  <c:y val="0.24074074074074064"/>
                </c:manualLayout>
              </c:layout>
              <c:spPr>
                <a:noFill/>
                <a:ln>
                  <a:noFill/>
                </a:ln>
                <a:effectLst/>
              </c:spPr>
              <c:txPr>
                <a:bodyPr rot="-5400000" spcFirstLastPara="1" vertOverflow="ellipsis" vert="horz" wrap="square" lIns="38100" tIns="19050" rIns="38100" bIns="19050" anchor="ctr" anchorCtr="0">
                  <a:spAutoFit/>
                </a:bodyPr>
                <a:lstStyle/>
                <a:p>
                  <a:pPr algn="ctr" rtl="0">
                    <a:defRPr lang="en-US" sz="1000" b="1" i="0" u="none" strike="noStrike" kern="1200" baseline="0">
                      <a:solidFill>
                        <a:srgbClr val="6633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8C-42F7-8403-E64F09655C83}"/>
                </c:ext>
              </c:extLst>
            </c:dLbl>
            <c:spPr>
              <a:noFill/>
              <a:ln>
                <a:noFill/>
              </a:ln>
              <a:effectLst/>
            </c:spPr>
            <c:txPr>
              <a:bodyPr rot="-5400000" spcFirstLastPara="1" vertOverflow="ellipsis" vert="horz" wrap="square" lIns="38100" tIns="19050" rIns="38100" bIns="19050" anchor="ctr" anchorCtr="0">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TOTAL'!$A$6:$A$11</c:f>
              <c:strCache>
                <c:ptCount val="6"/>
                <c:pt idx="0">
                  <c:v>ALMENDRO</c:v>
                </c:pt>
                <c:pt idx="1">
                  <c:v>PISTACHO</c:v>
                </c:pt>
                <c:pt idx="2">
                  <c:v>AVELLANO</c:v>
                </c:pt>
                <c:pt idx="3">
                  <c:v>ALGARROBO</c:v>
                </c:pt>
                <c:pt idx="4">
                  <c:v>CASTAÑO </c:v>
                </c:pt>
                <c:pt idx="5">
                  <c:v>NOGAL</c:v>
                </c:pt>
              </c:strCache>
            </c:strRef>
          </c:cat>
          <c:val>
            <c:numRef>
              <c:f>'FRUTOS SECOS TOTAL'!$L$6:$L$11</c:f>
              <c:numCache>
                <c:formatCode>0%</c:formatCode>
                <c:ptCount val="6"/>
                <c:pt idx="0">
                  <c:v>0.83072771174882343</c:v>
                </c:pt>
                <c:pt idx="1">
                  <c:v>0.97386159001897687</c:v>
                </c:pt>
                <c:pt idx="2">
                  <c:v>0.78245924225028729</c:v>
                </c:pt>
                <c:pt idx="3">
                  <c:v>0.35466438882919588</c:v>
                </c:pt>
                <c:pt idx="4">
                  <c:v>0.2566068450726593</c:v>
                </c:pt>
                <c:pt idx="5">
                  <c:v>0.77717087062652568</c:v>
                </c:pt>
              </c:numCache>
            </c:numRef>
          </c:val>
          <c:extLst>
            <c:ext xmlns:c16="http://schemas.microsoft.com/office/drawing/2014/chart" uri="{C3380CC4-5D6E-409C-BE32-E72D297353CC}">
              <c16:uniqueId val="{00000001-FF8C-42F7-8403-E64F09655C83}"/>
            </c:ext>
          </c:extLst>
        </c:ser>
        <c:ser>
          <c:idx val="0"/>
          <c:order val="1"/>
          <c:tx>
            <c:v>2021</c:v>
          </c:tx>
          <c:spPr>
            <a:solidFill>
              <a:srgbClr val="663300"/>
            </a:solidFill>
            <a:ln>
              <a:solidFill>
                <a:sysClr val="windowText" lastClr="000000"/>
              </a:solidFill>
            </a:ln>
            <a:effectLst/>
            <a:sp3d>
              <a:contourClr>
                <a:sysClr val="windowText" lastClr="000000"/>
              </a:contourClr>
            </a:sp3d>
          </c:spPr>
          <c:invertIfNegative val="0"/>
          <c:dLbls>
            <c:dLbl>
              <c:idx val="0"/>
              <c:layout>
                <c:manualLayout>
                  <c:x val="-2.5462668816039986E-17"/>
                  <c:y val="0.24074074074074073"/>
                </c:manualLayout>
              </c:layout>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8C-42F7-8403-E64F09655C83}"/>
                </c:ext>
              </c:extLst>
            </c:dLbl>
            <c:dLbl>
              <c:idx val="1"/>
              <c:layout>
                <c:manualLayout>
                  <c:x val="0"/>
                  <c:y val="0.23611111111111116"/>
                </c:manualLayout>
              </c:layout>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8C-42F7-8403-E64F09655C83}"/>
                </c:ext>
              </c:extLst>
            </c:dLbl>
            <c:dLbl>
              <c:idx val="2"/>
              <c:layout>
                <c:manualLayout>
                  <c:x val="2.7777777777777779E-3"/>
                  <c:y val="0.18981481481481483"/>
                </c:manualLayout>
              </c:layout>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8C-42F7-8403-E64F09655C83}"/>
                </c:ext>
              </c:extLst>
            </c:dLbl>
            <c:dLbl>
              <c:idx val="3"/>
              <c:layout>
                <c:manualLayout>
                  <c:x val="2.7777777777777779E-3"/>
                  <c:y val="0.15277777777777779"/>
                </c:manualLayout>
              </c:layout>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8C-42F7-8403-E64F09655C83}"/>
                </c:ext>
              </c:extLst>
            </c:dLbl>
            <c:dLbl>
              <c:idx val="4"/>
              <c:layout>
                <c:manualLayout>
                  <c:x val="2.777777777777676E-3"/>
                  <c:y val="0.12037037037037028"/>
                </c:manualLayout>
              </c:layout>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8C-42F7-8403-E64F09655C83}"/>
                </c:ext>
              </c:extLst>
            </c:dLbl>
            <c:dLbl>
              <c:idx val="5"/>
              <c:layout>
                <c:manualLayout>
                  <c:x val="0"/>
                  <c:y val="0.22685185185185186"/>
                </c:manualLayout>
              </c:layout>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8C-42F7-8403-E64F09655C83}"/>
                </c:ext>
              </c:extLst>
            </c:dLbl>
            <c:spPr>
              <a:noFill/>
              <a:ln>
                <a:noFill/>
              </a:ln>
              <a:effectLst/>
            </c:spPr>
            <c:txPr>
              <a:bodyPr rot="-540000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TOTAL'!$A$6:$A$11</c:f>
              <c:strCache>
                <c:ptCount val="6"/>
                <c:pt idx="0">
                  <c:v>ALMENDRO</c:v>
                </c:pt>
                <c:pt idx="1">
                  <c:v>PISTACHO</c:v>
                </c:pt>
                <c:pt idx="2">
                  <c:v>AVELLANO</c:v>
                </c:pt>
                <c:pt idx="3">
                  <c:v>ALGARROBO</c:v>
                </c:pt>
                <c:pt idx="4">
                  <c:v>CASTAÑO </c:v>
                </c:pt>
                <c:pt idx="5">
                  <c:v>NOGAL</c:v>
                </c:pt>
              </c:strCache>
            </c:strRef>
          </c:cat>
          <c:val>
            <c:numRef>
              <c:f>'FRUTOS SECOS TOTAL'!$E$6:$E$11</c:f>
              <c:numCache>
                <c:formatCode>0%</c:formatCode>
                <c:ptCount val="6"/>
                <c:pt idx="0">
                  <c:v>0.84108853176442178</c:v>
                </c:pt>
                <c:pt idx="1">
                  <c:v>0.97431333801505782</c:v>
                </c:pt>
                <c:pt idx="2">
                  <c:v>0.75640387697473788</c:v>
                </c:pt>
                <c:pt idx="3">
                  <c:v>0.3862463483723434</c:v>
                </c:pt>
                <c:pt idx="4">
                  <c:v>0.26828699223143532</c:v>
                </c:pt>
                <c:pt idx="5">
                  <c:v>0.77497222439558711</c:v>
                </c:pt>
              </c:numCache>
            </c:numRef>
          </c:val>
          <c:extLst>
            <c:ext xmlns:c16="http://schemas.microsoft.com/office/drawing/2014/chart" uri="{C3380CC4-5D6E-409C-BE32-E72D297353CC}">
              <c16:uniqueId val="{00000000-FF8C-42F7-8403-E64F09655C83}"/>
            </c:ext>
          </c:extLst>
        </c:ser>
        <c:dLbls>
          <c:showLegendKey val="0"/>
          <c:showVal val="0"/>
          <c:showCatName val="0"/>
          <c:showSerName val="0"/>
          <c:showPercent val="0"/>
          <c:showBubbleSize val="0"/>
        </c:dLbls>
        <c:gapWidth val="150"/>
        <c:shape val="box"/>
        <c:axId val="1197938047"/>
        <c:axId val="1197933887"/>
        <c:axId val="0"/>
      </c:bar3DChart>
      <c:catAx>
        <c:axId val="1197938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97933887"/>
        <c:crosses val="autoZero"/>
        <c:auto val="1"/>
        <c:lblAlgn val="ctr"/>
        <c:lblOffset val="100"/>
        <c:noMultiLvlLbl val="0"/>
      </c:catAx>
      <c:valAx>
        <c:axId val="11979338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97938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rPr>
              <a:t>Pistacho</a:t>
            </a:r>
            <a:r>
              <a:rPr lang="en-US" b="1" baseline="0">
                <a:solidFill>
                  <a:sysClr val="windowText" lastClr="000000"/>
                </a:solidFill>
              </a:rPr>
              <a:t> </a:t>
            </a:r>
            <a:r>
              <a:rPr lang="en-US" b="1">
                <a:solidFill>
                  <a:sysClr val="windowText" lastClr="000000"/>
                </a:solidFill>
              </a:rPr>
              <a:t>Regadío: </a:t>
            </a:r>
          </a:p>
          <a:p>
            <a:pPr>
              <a:defRPr sz="1400" b="0" i="0" u="none" strike="noStrike" kern="1200" spc="0" baseline="0">
                <a:solidFill>
                  <a:sysClr val="windowText" lastClr="000000"/>
                </a:solidFill>
                <a:latin typeface="+mn-lt"/>
                <a:ea typeface="+mn-ea"/>
                <a:cs typeface="+mn-cs"/>
              </a:defRPr>
            </a:pPr>
            <a:r>
              <a:rPr lang="en-US"/>
              <a:t>RSU REGEPA 2021</a:t>
            </a:r>
            <a:r>
              <a:rPr lang="en-US" baseline="0"/>
              <a:t> </a:t>
            </a:r>
            <a:r>
              <a:rPr lang="en-US"/>
              <a:t>vs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5729441227254001"/>
          <c:y val="0.20056460369163953"/>
          <c:w val="0.7974264328070102"/>
          <c:h val="0.54198295245667583"/>
        </c:manualLayout>
      </c:layout>
      <c:barChart>
        <c:barDir val="bar"/>
        <c:grouping val="clustered"/>
        <c:varyColors val="0"/>
        <c:ser>
          <c:idx val="0"/>
          <c:order val="0"/>
          <c:tx>
            <c:strRef>
              <c:f>'PIS-REPR'!$R$74</c:f>
              <c:strCache>
                <c:ptCount val="1"/>
                <c:pt idx="0">
                  <c:v>RSU REGEPA 2020</c:v>
                </c:pt>
              </c:strCache>
            </c:strRef>
          </c:tx>
          <c:spPr>
            <a:solidFill>
              <a:schemeClr val="accent5">
                <a:shade val="76000"/>
              </a:schemeClr>
            </a:solidFill>
            <a:ln>
              <a:noFill/>
            </a:ln>
            <a:effectLst/>
          </c:spPr>
          <c:invertIfNegative val="0"/>
          <c:cat>
            <c:strRef>
              <c:f>'PIS-REPR'!$Q$75:$Q$79</c:f>
              <c:strCache>
                <c:ptCount val="5"/>
                <c:pt idx="0">
                  <c:v>C.-LA MANCHA</c:v>
                </c:pt>
                <c:pt idx="1">
                  <c:v>ANDALUCIA</c:v>
                </c:pt>
                <c:pt idx="2">
                  <c:v>C. Y LEÓN</c:v>
                </c:pt>
                <c:pt idx="3">
                  <c:v>EXTREMADURA</c:v>
                </c:pt>
                <c:pt idx="4">
                  <c:v>ARAGÓN</c:v>
                </c:pt>
              </c:strCache>
            </c:strRef>
          </c:cat>
          <c:val>
            <c:numRef>
              <c:f>'PIS-REPR'!$R$75:$R$79</c:f>
              <c:numCache>
                <c:formatCode>#,##0</c:formatCode>
                <c:ptCount val="5"/>
                <c:pt idx="0">
                  <c:v>8552.4400000000023</c:v>
                </c:pt>
                <c:pt idx="1">
                  <c:v>1015.4000000000001</c:v>
                </c:pt>
                <c:pt idx="2">
                  <c:v>486.86999999999995</c:v>
                </c:pt>
                <c:pt idx="3">
                  <c:v>424.34000000000003</c:v>
                </c:pt>
                <c:pt idx="4">
                  <c:v>396.16999999999996</c:v>
                </c:pt>
              </c:numCache>
            </c:numRef>
          </c:val>
          <c:extLst>
            <c:ext xmlns:c16="http://schemas.microsoft.com/office/drawing/2014/chart" uri="{C3380CC4-5D6E-409C-BE32-E72D297353CC}">
              <c16:uniqueId val="{00000000-C88E-46AE-8EE9-5BCA65BE0A88}"/>
            </c:ext>
          </c:extLst>
        </c:ser>
        <c:ser>
          <c:idx val="1"/>
          <c:order val="1"/>
          <c:tx>
            <c:strRef>
              <c:f>'PIS-REPR'!$S$74</c:f>
              <c:strCache>
                <c:ptCount val="1"/>
                <c:pt idx="0">
                  <c:v>RSU REGEPA 2021</c:v>
                </c:pt>
              </c:strCache>
            </c:strRef>
          </c:tx>
          <c:spPr>
            <a:solidFill>
              <a:schemeClr val="accent5">
                <a:tint val="77000"/>
              </a:schemeClr>
            </a:solidFill>
            <a:ln>
              <a:noFill/>
            </a:ln>
            <a:effectLst/>
          </c:spPr>
          <c:invertIfNegative val="0"/>
          <c:dLbls>
            <c:dLbl>
              <c:idx val="0"/>
              <c:tx>
                <c:rich>
                  <a:bodyPr/>
                  <a:lstStyle/>
                  <a:p>
                    <a:fld id="{123A2D67-6A21-462A-A45C-C1D4C2BF7F4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88E-46AE-8EE9-5BCA65BE0A88}"/>
                </c:ext>
              </c:extLst>
            </c:dLbl>
            <c:dLbl>
              <c:idx val="1"/>
              <c:tx>
                <c:rich>
                  <a:bodyPr/>
                  <a:lstStyle/>
                  <a:p>
                    <a:fld id="{915173A4-06EE-48F1-8575-CB5CD9E6386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88E-46AE-8EE9-5BCA65BE0A88}"/>
                </c:ext>
              </c:extLst>
            </c:dLbl>
            <c:dLbl>
              <c:idx val="2"/>
              <c:tx>
                <c:rich>
                  <a:bodyPr/>
                  <a:lstStyle/>
                  <a:p>
                    <a:fld id="{281CDEF9-D853-4184-A8CF-50F45FABE60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8E-46AE-8EE9-5BCA65BE0A88}"/>
                </c:ext>
              </c:extLst>
            </c:dLbl>
            <c:dLbl>
              <c:idx val="3"/>
              <c:tx>
                <c:rich>
                  <a:bodyPr/>
                  <a:lstStyle/>
                  <a:p>
                    <a:fld id="{0EDC1D83-03E9-454A-80B7-2853657E76E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8E-46AE-8EE9-5BCA65BE0A88}"/>
                </c:ext>
              </c:extLst>
            </c:dLbl>
            <c:dLbl>
              <c:idx val="4"/>
              <c:tx>
                <c:rich>
                  <a:bodyPr/>
                  <a:lstStyle/>
                  <a:p>
                    <a:fld id="{85C51A10-7FC1-411E-B036-0ACC89F2E9D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8E-46AE-8EE9-5BCA65BE0A8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'PIS-REPR'!$Q$75:$Q$79</c:f>
              <c:strCache>
                <c:ptCount val="5"/>
                <c:pt idx="0">
                  <c:v>C.-LA MANCHA</c:v>
                </c:pt>
                <c:pt idx="1">
                  <c:v>ANDALUCIA</c:v>
                </c:pt>
                <c:pt idx="2">
                  <c:v>C. Y LEÓN</c:v>
                </c:pt>
                <c:pt idx="3">
                  <c:v>EXTREMADURA</c:v>
                </c:pt>
                <c:pt idx="4">
                  <c:v>ARAGÓN</c:v>
                </c:pt>
              </c:strCache>
            </c:strRef>
          </c:cat>
          <c:val>
            <c:numRef>
              <c:f>'PIS-REPR'!$S$75:$S$79</c:f>
              <c:numCache>
                <c:formatCode>#,##0</c:formatCode>
                <c:ptCount val="5"/>
                <c:pt idx="0">
                  <c:v>11399.790000000003</c:v>
                </c:pt>
                <c:pt idx="1">
                  <c:v>1385.08</c:v>
                </c:pt>
                <c:pt idx="2">
                  <c:v>589.13</c:v>
                </c:pt>
                <c:pt idx="3">
                  <c:v>565.08000000000004</c:v>
                </c:pt>
                <c:pt idx="4">
                  <c:v>488.42000000000007</c:v>
                </c:pt>
              </c:numCache>
            </c:numRef>
          </c:val>
          <c:extLst>
            <c:ext xmlns:c15="http://schemas.microsoft.com/office/drawing/2012/chart" uri="{02D57815-91ED-43cb-92C2-25804820EDAC}">
              <c15:datalabelsRange>
                <c15:f>'PIS-REPR'!$T$75:$T$79</c15:f>
                <c15:dlblRangeCache>
                  <c:ptCount val="5"/>
                  <c:pt idx="0">
                    <c:v>33%</c:v>
                  </c:pt>
                  <c:pt idx="1">
                    <c:v>36%</c:v>
                  </c:pt>
                  <c:pt idx="2">
                    <c:v>21%</c:v>
                  </c:pt>
                  <c:pt idx="3">
                    <c:v>33%</c:v>
                  </c:pt>
                  <c:pt idx="4">
                    <c:v>23%</c:v>
                  </c:pt>
                </c15:dlblRangeCache>
              </c15:datalabelsRange>
            </c:ext>
            <c:ext xmlns:c16="http://schemas.microsoft.com/office/drawing/2014/chart" uri="{C3380CC4-5D6E-409C-BE32-E72D297353CC}">
              <c16:uniqueId val="{00000006-C88E-46AE-8EE9-5BCA65BE0A88}"/>
            </c:ext>
          </c:extLst>
        </c:ser>
        <c:dLbls>
          <c:showLegendKey val="0"/>
          <c:showVal val="0"/>
          <c:showCatName val="0"/>
          <c:showSerName val="0"/>
          <c:showPercent val="0"/>
          <c:showBubbleSize val="0"/>
        </c:dLbls>
        <c:gapWidth val="182"/>
        <c:axId val="97588064"/>
        <c:axId val="97582080"/>
      </c:barChart>
      <c:catAx>
        <c:axId val="97588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2080"/>
        <c:crosses val="autoZero"/>
        <c:auto val="1"/>
        <c:lblAlgn val="ctr"/>
        <c:lblOffset val="100"/>
        <c:noMultiLvlLbl val="0"/>
      </c:catAx>
      <c:valAx>
        <c:axId val="97582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8064"/>
        <c:crosses val="autoZero"/>
        <c:crossBetween val="between"/>
      </c:valAx>
      <c:spPr>
        <a:noFill/>
        <a:ln>
          <a:noFill/>
        </a:ln>
        <a:effectLst/>
      </c:spPr>
    </c:plotArea>
    <c:legend>
      <c:legendPos val="b"/>
      <c:layout>
        <c:manualLayout>
          <c:xMode val="edge"/>
          <c:yMode val="edge"/>
          <c:x val="0.28730575344748577"/>
          <c:y val="0.91802337411406632"/>
          <c:w val="0.43009142375721554"/>
          <c:h val="7.329041524532560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ALGARROBO</a:t>
            </a:r>
            <a:r>
              <a:rPr lang="es-ES" b="1" baseline="0">
                <a:solidFill>
                  <a:schemeClr val="tx1"/>
                </a:solidFill>
              </a:rPr>
              <a:t> </a:t>
            </a:r>
            <a:r>
              <a:rPr lang="es-ES" b="1">
                <a:solidFill>
                  <a:schemeClr val="tx1"/>
                </a:solidFill>
              </a:rPr>
              <a:t>Regadío </a:t>
            </a:r>
            <a:r>
              <a:rPr lang="es-ES" b="1" baseline="0">
                <a:solidFill>
                  <a:schemeClr val="tx1"/>
                </a:solidFill>
              </a:rPr>
              <a:t>Ecológico</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'ALG R-VAR'!$Q$41:$S$41</c:f>
              <c:strCache>
                <c:ptCount val="1"/>
                <c:pt idx="0">
                  <c:v>ALGARROBO REGADÍO ECOLÓGICO</c:v>
                </c:pt>
              </c:strCache>
            </c:strRef>
          </c:tx>
          <c:spPr>
            <a:solidFill>
              <a:schemeClr val="accent6"/>
            </a:solidFill>
            <a:ln>
              <a:solidFill>
                <a:schemeClr val="accent6">
                  <a:lumMod val="50000"/>
                </a:schemeClr>
              </a:solidFill>
            </a:ln>
            <a:effectLst/>
          </c:spPr>
          <c:invertIfNegative val="0"/>
          <c:dLbls>
            <c:dLbl>
              <c:idx val="0"/>
              <c:tx>
                <c:rich>
                  <a:bodyPr/>
                  <a:lstStyle/>
                  <a:p>
                    <a:fld id="{5EE5B02B-39A0-4276-83DB-089F49316FD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19-4C00-97EC-D430796C45F1}"/>
                </c:ext>
              </c:extLst>
            </c:dLbl>
            <c:dLbl>
              <c:idx val="1"/>
              <c:tx>
                <c:rich>
                  <a:bodyPr/>
                  <a:lstStyle/>
                  <a:p>
                    <a:fld id="{85769C0D-83C0-410E-B5A3-4DBA29B1698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19-4C00-97EC-D430796C45F1}"/>
                </c:ext>
              </c:extLst>
            </c:dLbl>
            <c:dLbl>
              <c:idx val="2"/>
              <c:tx>
                <c:rich>
                  <a:bodyPr/>
                  <a:lstStyle/>
                  <a:p>
                    <a:fld id="{97E0C87C-E461-4C33-BAAF-4AFAE0818C8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19-4C00-97EC-D430796C45F1}"/>
                </c:ext>
              </c:extLst>
            </c:dLbl>
            <c:dLbl>
              <c:idx val="3"/>
              <c:tx>
                <c:rich>
                  <a:bodyPr/>
                  <a:lstStyle/>
                  <a:p>
                    <a:fld id="{42FA5C45-F826-40A2-B51C-25D98760063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19-4C00-97EC-D430796C45F1}"/>
                </c:ext>
              </c:extLst>
            </c:dLbl>
            <c:dLbl>
              <c:idx val="4"/>
              <c:tx>
                <c:rich>
                  <a:bodyPr/>
                  <a:lstStyle/>
                  <a:p>
                    <a:fld id="{74BD51E5-07BE-4426-A74F-45921E41FE0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19-4C00-97EC-D430796C45F1}"/>
                </c:ext>
              </c:extLst>
            </c:dLbl>
            <c:dLbl>
              <c:idx val="5"/>
              <c:tx>
                <c:rich>
                  <a:bodyPr/>
                  <a:lstStyle/>
                  <a:p>
                    <a:fld id="{33247B33-E07E-461B-84DD-5F44041AF59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19-4C00-97EC-D430796C45F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 R-VAR'!$Q$42:$Q$47</c:f>
              <c:strCache>
                <c:ptCount val="6"/>
                <c:pt idx="0">
                  <c:v>NEGRA</c:v>
                </c:pt>
                <c:pt idx="1">
                  <c:v>RAMILLETE</c:v>
                </c:pt>
                <c:pt idx="2">
                  <c:v>MATALAFERA</c:v>
                </c:pt>
                <c:pt idx="3">
                  <c:v>BANYA DE CABRA</c:v>
                </c:pt>
                <c:pt idx="4">
                  <c:v>MELERA</c:v>
                </c:pt>
                <c:pt idx="5">
                  <c:v>BUGADERA</c:v>
                </c:pt>
              </c:strCache>
            </c:strRef>
          </c:cat>
          <c:val>
            <c:numRef>
              <c:f>'ALG R-VAR'!$R$42:$R$47</c:f>
              <c:numCache>
                <c:formatCode>#,##0</c:formatCode>
                <c:ptCount val="6"/>
                <c:pt idx="0">
                  <c:v>97.7</c:v>
                </c:pt>
                <c:pt idx="1">
                  <c:v>9.64</c:v>
                </c:pt>
                <c:pt idx="2">
                  <c:v>5.43</c:v>
                </c:pt>
                <c:pt idx="3">
                  <c:v>0.8</c:v>
                </c:pt>
                <c:pt idx="4">
                  <c:v>0.04</c:v>
                </c:pt>
                <c:pt idx="5">
                  <c:v>0.02</c:v>
                </c:pt>
              </c:numCache>
            </c:numRef>
          </c:val>
          <c:extLst>
            <c:ext xmlns:c15="http://schemas.microsoft.com/office/drawing/2012/chart" uri="{02D57815-91ED-43cb-92C2-25804820EDAC}">
              <c15:datalabelsRange>
                <c15:f>'ALG R-VAR'!$S$42:$S$47</c15:f>
                <c15:dlblRangeCache>
                  <c:ptCount val="6"/>
                  <c:pt idx="0">
                    <c:v>72%</c:v>
                  </c:pt>
                  <c:pt idx="1">
                    <c:v>7%</c:v>
                  </c:pt>
                  <c:pt idx="2">
                    <c:v>4%</c:v>
                  </c:pt>
                  <c:pt idx="3">
                    <c:v>1%</c:v>
                  </c:pt>
                  <c:pt idx="4">
                    <c:v>0,03%</c:v>
                  </c:pt>
                  <c:pt idx="5">
                    <c:v>0,01%</c:v>
                  </c:pt>
                </c15:dlblRangeCache>
              </c15:datalabelsRange>
            </c:ext>
            <c:ext xmlns:c16="http://schemas.microsoft.com/office/drawing/2014/chart" uri="{C3380CC4-5D6E-409C-BE32-E72D297353CC}">
              <c16:uniqueId val="{0000000B-FA05-4F67-B4C9-D446E414CD6A}"/>
            </c:ext>
          </c:extLst>
        </c:ser>
        <c:dLbls>
          <c:dLblPos val="outEnd"/>
          <c:showLegendKey val="0"/>
          <c:showVal val="1"/>
          <c:showCatName val="0"/>
          <c:showSerName val="0"/>
          <c:showPercent val="0"/>
          <c:showBubbleSize val="0"/>
        </c:dLbls>
        <c:gapWidth val="182"/>
        <c:axId val="154705168"/>
        <c:axId val="154689392"/>
      </c:barChart>
      <c:catAx>
        <c:axId val="154705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9392"/>
        <c:crosses val="autoZero"/>
        <c:auto val="1"/>
        <c:lblAlgn val="ctr"/>
        <c:lblOffset val="100"/>
        <c:noMultiLvlLbl val="0"/>
      </c:catAx>
      <c:valAx>
        <c:axId val="1546893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5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s-ES" b="1">
                <a:solidFill>
                  <a:schemeClr val="tx1"/>
                </a:solidFill>
              </a:rPr>
              <a:t>ALGARROBO</a:t>
            </a:r>
            <a:r>
              <a:rPr lang="es-ES" b="1" baseline="0">
                <a:solidFill>
                  <a:schemeClr val="tx1"/>
                </a:solidFill>
              </a:rPr>
              <a:t> </a:t>
            </a:r>
            <a:r>
              <a:rPr lang="es-ES" b="1">
                <a:solidFill>
                  <a:schemeClr val="tx1"/>
                </a:solidFill>
              </a:rPr>
              <a:t>Regadío </a:t>
            </a:r>
            <a:r>
              <a:rPr lang="es-ES" b="1" baseline="0">
                <a:solidFill>
                  <a:schemeClr val="tx1"/>
                </a:solidFill>
              </a:rPr>
              <a:t>Convencional</a:t>
            </a:r>
            <a:r>
              <a:rPr lang="es-ES" b="1">
                <a:solidFill>
                  <a:schemeClr val="tx1"/>
                </a:solidFill>
              </a:rPr>
              <a:t>: </a:t>
            </a:r>
            <a:r>
              <a:rPr lang="es-ES">
                <a:solidFill>
                  <a:schemeClr val="tx1"/>
                </a:solidFill>
              </a:rPr>
              <a:t>Superficie plantada según tipo de variedades (ha)</a:t>
            </a:r>
          </a:p>
        </c:rich>
      </c:tx>
      <c:layout>
        <c:manualLayout>
          <c:xMode val="edge"/>
          <c:yMode val="edge"/>
          <c:x val="0.14987194694721762"/>
          <c:y val="2.1709630557359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tx>
            <c:strRef>
              <c:f>'ALG R-VAR'!$Q$69:$S$69</c:f>
              <c:strCache>
                <c:ptCount val="1"/>
                <c:pt idx="0">
                  <c:v>ALGARROBO REGADÍO CONVENCIONAL</c:v>
                </c:pt>
              </c:strCache>
            </c:strRef>
          </c:tx>
          <c:spPr>
            <a:solidFill>
              <a:schemeClr val="accent2"/>
            </a:solidFill>
            <a:ln>
              <a:solidFill>
                <a:schemeClr val="accent2">
                  <a:lumMod val="75000"/>
                </a:schemeClr>
              </a:solidFill>
            </a:ln>
            <a:effectLst/>
          </c:spPr>
          <c:invertIfNegative val="0"/>
          <c:dLbls>
            <c:dLbl>
              <c:idx val="0"/>
              <c:tx>
                <c:rich>
                  <a:bodyPr/>
                  <a:lstStyle/>
                  <a:p>
                    <a:fld id="{98FE2FA1-7FE5-43E4-929D-ED453DB472F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932-4587-9E50-1EE9D58EC1C9}"/>
                </c:ext>
              </c:extLst>
            </c:dLbl>
            <c:dLbl>
              <c:idx val="1"/>
              <c:tx>
                <c:rich>
                  <a:bodyPr/>
                  <a:lstStyle/>
                  <a:p>
                    <a:fld id="{AD283510-CB21-4D8B-B1A6-DD20F1D3E05B}"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932-4587-9E50-1EE9D58EC1C9}"/>
                </c:ext>
              </c:extLst>
            </c:dLbl>
            <c:dLbl>
              <c:idx val="2"/>
              <c:tx>
                <c:rich>
                  <a:bodyPr/>
                  <a:lstStyle/>
                  <a:p>
                    <a:fld id="{0B510259-CD18-4A8E-AE1C-1B1450AE984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932-4587-9E50-1EE9D58EC1C9}"/>
                </c:ext>
              </c:extLst>
            </c:dLbl>
            <c:dLbl>
              <c:idx val="3"/>
              <c:tx>
                <c:rich>
                  <a:bodyPr/>
                  <a:lstStyle/>
                  <a:p>
                    <a:fld id="{12DD8D6E-A6BF-4251-A524-3E649FDD035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932-4587-9E50-1EE9D58EC1C9}"/>
                </c:ext>
              </c:extLst>
            </c:dLbl>
            <c:dLbl>
              <c:idx val="4"/>
              <c:tx>
                <c:rich>
                  <a:bodyPr/>
                  <a:lstStyle/>
                  <a:p>
                    <a:fld id="{EA8A2955-A498-49D4-B334-D296373D942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932-4587-9E50-1EE9D58EC1C9}"/>
                </c:ext>
              </c:extLst>
            </c:dLbl>
            <c:dLbl>
              <c:idx val="5"/>
              <c:tx>
                <c:rich>
                  <a:bodyPr/>
                  <a:lstStyle/>
                  <a:p>
                    <a:fld id="{60DED4A3-5C47-4562-8327-6BEB3986289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932-4587-9E50-1EE9D58EC1C9}"/>
                </c:ext>
              </c:extLst>
            </c:dLbl>
            <c:dLbl>
              <c:idx val="6"/>
              <c:tx>
                <c:rich>
                  <a:bodyPr/>
                  <a:lstStyle/>
                  <a:p>
                    <a:fld id="{9D3812FA-FDEE-4EB1-90F9-710B2DEBB8D4}"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932-4587-9E50-1EE9D58EC1C9}"/>
                </c:ext>
              </c:extLst>
            </c:dLbl>
            <c:dLbl>
              <c:idx val="7"/>
              <c:tx>
                <c:rich>
                  <a:bodyPr/>
                  <a:lstStyle/>
                  <a:p>
                    <a:fld id="{84A44B1F-DA13-4A64-B686-F4619701F1FB}"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932-4587-9E50-1EE9D58EC1C9}"/>
                </c:ext>
              </c:extLst>
            </c:dLbl>
            <c:dLbl>
              <c:idx val="8"/>
              <c:tx>
                <c:rich>
                  <a:bodyPr/>
                  <a:lstStyle/>
                  <a:p>
                    <a:fld id="{5CBAD2DF-C924-45BC-9E41-9CDC5B9C9DAD}"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932-4587-9E50-1EE9D58EC1C9}"/>
                </c:ext>
              </c:extLst>
            </c:dLbl>
            <c:dLbl>
              <c:idx val="9"/>
              <c:tx>
                <c:rich>
                  <a:bodyPr/>
                  <a:lstStyle/>
                  <a:p>
                    <a:fld id="{ADCD06FF-E112-4DF1-88E3-6D32A479C63F}"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932-4587-9E50-1EE9D58EC1C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 R-VAR'!$Q$70:$Q$79</c:f>
              <c:strCache>
                <c:ptCount val="10"/>
                <c:pt idx="0">
                  <c:v>MATALAFERA</c:v>
                </c:pt>
                <c:pt idx="1">
                  <c:v>NEGRA</c:v>
                </c:pt>
                <c:pt idx="2">
                  <c:v>RAMILLETE</c:v>
                </c:pt>
                <c:pt idx="3">
                  <c:v>DURAIO</c:v>
                </c:pt>
                <c:pt idx="4">
                  <c:v>MELERA</c:v>
                </c:pt>
                <c:pt idx="5">
                  <c:v>BUGADERA</c:v>
                </c:pt>
                <c:pt idx="6">
                  <c:v>BANYA DE CABRA</c:v>
                </c:pt>
                <c:pt idx="7">
                  <c:v>COSTILLA DE ASNO</c:v>
                </c:pt>
                <c:pt idx="8">
                  <c:v>CACHES</c:v>
                </c:pt>
                <c:pt idx="9">
                  <c:v>RALLADORA</c:v>
                </c:pt>
              </c:strCache>
            </c:strRef>
          </c:cat>
          <c:val>
            <c:numRef>
              <c:f>'ALG R-VAR'!$R$70:$R$79</c:f>
              <c:numCache>
                <c:formatCode>#,##0</c:formatCode>
                <c:ptCount val="10"/>
                <c:pt idx="0">
                  <c:v>61.230000000000025</c:v>
                </c:pt>
                <c:pt idx="1">
                  <c:v>38.54</c:v>
                </c:pt>
                <c:pt idx="2">
                  <c:v>36.050000000000011</c:v>
                </c:pt>
                <c:pt idx="3">
                  <c:v>20.740000000000002</c:v>
                </c:pt>
                <c:pt idx="4">
                  <c:v>10.399999999999999</c:v>
                </c:pt>
                <c:pt idx="5">
                  <c:v>7.81</c:v>
                </c:pt>
                <c:pt idx="6">
                  <c:v>6.7100000000000009</c:v>
                </c:pt>
                <c:pt idx="7">
                  <c:v>3.35</c:v>
                </c:pt>
                <c:pt idx="8">
                  <c:v>2.3799999999999994</c:v>
                </c:pt>
                <c:pt idx="9">
                  <c:v>1.1100000000000001</c:v>
                </c:pt>
              </c:numCache>
            </c:numRef>
          </c:val>
          <c:extLst>
            <c:ext xmlns:c15="http://schemas.microsoft.com/office/drawing/2012/chart" uri="{02D57815-91ED-43cb-92C2-25804820EDAC}">
              <c15:datalabelsRange>
                <c15:f>'ALG R-VAR'!$S$70:$S$79</c15:f>
                <c15:dlblRangeCache>
                  <c:ptCount val="10"/>
                  <c:pt idx="0">
                    <c:v>10%</c:v>
                  </c:pt>
                  <c:pt idx="1">
                    <c:v>6%</c:v>
                  </c:pt>
                  <c:pt idx="2">
                    <c:v>6%</c:v>
                  </c:pt>
                  <c:pt idx="3">
                    <c:v>3%</c:v>
                  </c:pt>
                  <c:pt idx="4">
                    <c:v>2%</c:v>
                  </c:pt>
                  <c:pt idx="5">
                    <c:v>1,22%</c:v>
                  </c:pt>
                  <c:pt idx="6">
                    <c:v>1,05%</c:v>
                  </c:pt>
                  <c:pt idx="7">
                    <c:v>0,52%</c:v>
                  </c:pt>
                  <c:pt idx="8">
                    <c:v>0,37%</c:v>
                  </c:pt>
                  <c:pt idx="9">
                    <c:v>0,17%</c:v>
                  </c:pt>
                </c15:dlblRangeCache>
              </c15:datalabelsRange>
            </c:ext>
            <c:ext xmlns:c16="http://schemas.microsoft.com/office/drawing/2014/chart" uri="{C3380CC4-5D6E-409C-BE32-E72D297353CC}">
              <c16:uniqueId val="{0000000B-FA05-4F67-B4C9-D446E414CD6A}"/>
            </c:ext>
          </c:extLst>
        </c:ser>
        <c:dLbls>
          <c:showLegendKey val="0"/>
          <c:showVal val="0"/>
          <c:showCatName val="0"/>
          <c:showSerName val="0"/>
          <c:showPercent val="0"/>
          <c:showBubbleSize val="0"/>
        </c:dLbls>
        <c:gapWidth val="182"/>
        <c:axId val="154707344"/>
        <c:axId val="154688848"/>
      </c:barChart>
      <c:catAx>
        <c:axId val="154707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688848"/>
        <c:crosses val="autoZero"/>
        <c:auto val="1"/>
        <c:lblAlgn val="ctr"/>
        <c:lblOffset val="100"/>
        <c:noMultiLvlLbl val="0"/>
      </c:catAx>
      <c:valAx>
        <c:axId val="154688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crossAx val="154707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ALMENDRA: Secano </a:t>
            </a:r>
          </a:p>
          <a:p>
            <a:pPr>
              <a:defRPr sz="1400" b="0" i="0" u="none" strike="noStrike" kern="1200" spc="0" baseline="0">
                <a:solidFill>
                  <a:sysClr val="windowText" lastClr="000000"/>
                </a:solidFill>
                <a:latin typeface="+mn-lt"/>
                <a:ea typeface="+mn-ea"/>
                <a:cs typeface="+mn-cs"/>
              </a:defRPr>
            </a:pPr>
            <a:r>
              <a:rPr lang="en-US"/>
              <a:t>Plantaciones</a:t>
            </a:r>
            <a:r>
              <a:rPr lang="en-US" baseline="0"/>
              <a:t> en producción por variedad (&lt;2018)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6588781451178538E-2"/>
          <c:y val="0.21130220984690581"/>
          <c:w val="0.87952413928714934"/>
          <c:h val="0.48659611199230463"/>
        </c:manualLayout>
      </c:layout>
      <c:barChart>
        <c:barDir val="col"/>
        <c:grouping val="clustered"/>
        <c:varyColors val="0"/>
        <c:ser>
          <c:idx val="0"/>
          <c:order val="0"/>
          <c:tx>
            <c:strRef>
              <c:f>'ALM-VAR-EDAD'!$A$7</c:f>
              <c:strCache>
                <c:ptCount val="1"/>
                <c:pt idx="0">
                  <c:v>ALMENDRA: Secano</c:v>
                </c:pt>
              </c:strCache>
            </c:strRef>
          </c:tx>
          <c:spPr>
            <a:solidFill>
              <a:srgbClr val="996633"/>
            </a:solidFill>
            <a:ln>
              <a:solidFill>
                <a:srgbClr val="663300"/>
              </a:solidFill>
            </a:ln>
            <a:effectLst/>
          </c:spPr>
          <c:invertIfNegative val="0"/>
          <c:dPt>
            <c:idx val="0"/>
            <c:invertIfNegative val="0"/>
            <c:bubble3D val="0"/>
            <c:spPr>
              <a:solidFill>
                <a:schemeClr val="accent2">
                  <a:lumMod val="75000"/>
                </a:schemeClr>
              </a:solidFill>
              <a:ln>
                <a:solidFill>
                  <a:srgbClr val="663300"/>
                </a:solidFill>
              </a:ln>
              <a:effectLst/>
            </c:spPr>
            <c:extLst>
              <c:ext xmlns:c16="http://schemas.microsoft.com/office/drawing/2014/chart" uri="{C3380CC4-5D6E-409C-BE32-E72D297353CC}">
                <c16:uniqueId val="{00000000-FF44-4DB0-B662-18E7275BE86F}"/>
              </c:ext>
            </c:extLst>
          </c:dPt>
          <c:dPt>
            <c:idx val="2"/>
            <c:invertIfNegative val="0"/>
            <c:bubble3D val="0"/>
            <c:spPr>
              <a:solidFill>
                <a:schemeClr val="accent2">
                  <a:lumMod val="50000"/>
                </a:schemeClr>
              </a:solidFill>
              <a:ln>
                <a:solidFill>
                  <a:srgbClr val="663300"/>
                </a:solidFill>
              </a:ln>
              <a:effectLst/>
            </c:spPr>
            <c:extLst>
              <c:ext xmlns:c16="http://schemas.microsoft.com/office/drawing/2014/chart" uri="{C3380CC4-5D6E-409C-BE32-E72D297353CC}">
                <c16:uniqueId val="{00000002-FF44-4DB0-B662-18E7275BE86F}"/>
              </c:ext>
            </c:extLst>
          </c:dPt>
          <c:dPt>
            <c:idx val="3"/>
            <c:invertIfNegative val="0"/>
            <c:bubble3D val="0"/>
            <c:spPr>
              <a:solidFill>
                <a:schemeClr val="accent4"/>
              </a:solidFill>
              <a:ln>
                <a:solidFill>
                  <a:srgbClr val="663300"/>
                </a:solidFill>
              </a:ln>
              <a:effectLst/>
            </c:spPr>
            <c:extLst>
              <c:ext xmlns:c16="http://schemas.microsoft.com/office/drawing/2014/chart" uri="{C3380CC4-5D6E-409C-BE32-E72D297353CC}">
                <c16:uniqueId val="{00000003-FF44-4DB0-B662-18E7275BE86F}"/>
              </c:ext>
            </c:extLst>
          </c:dPt>
          <c:dPt>
            <c:idx val="4"/>
            <c:invertIfNegative val="0"/>
            <c:bubble3D val="0"/>
            <c:spPr>
              <a:solidFill>
                <a:schemeClr val="tx2">
                  <a:lumMod val="75000"/>
                </a:schemeClr>
              </a:solidFill>
              <a:ln>
                <a:solidFill>
                  <a:srgbClr val="663300"/>
                </a:solidFill>
              </a:ln>
              <a:effectLst/>
            </c:spPr>
            <c:extLst>
              <c:ext xmlns:c16="http://schemas.microsoft.com/office/drawing/2014/chart" uri="{C3380CC4-5D6E-409C-BE32-E72D297353CC}">
                <c16:uniqueId val="{00000004-FF44-4DB0-B662-18E7275BE86F}"/>
              </c:ext>
            </c:extLst>
          </c:dPt>
          <c:dPt>
            <c:idx val="5"/>
            <c:invertIfNegative val="0"/>
            <c:bubble3D val="0"/>
            <c:spPr>
              <a:solidFill>
                <a:schemeClr val="tx2">
                  <a:lumMod val="75000"/>
                </a:schemeClr>
              </a:solidFill>
              <a:ln>
                <a:solidFill>
                  <a:srgbClr val="663300"/>
                </a:solidFill>
              </a:ln>
              <a:effectLst/>
            </c:spPr>
            <c:extLst>
              <c:ext xmlns:c16="http://schemas.microsoft.com/office/drawing/2014/chart" uri="{C3380CC4-5D6E-409C-BE32-E72D297353CC}">
                <c16:uniqueId val="{00000005-FF44-4DB0-B662-18E7275BE86F}"/>
              </c:ext>
            </c:extLst>
          </c:dPt>
          <c:dPt>
            <c:idx val="6"/>
            <c:invertIfNegative val="0"/>
            <c:bubble3D val="0"/>
            <c:spPr>
              <a:solidFill>
                <a:schemeClr val="accent2">
                  <a:lumMod val="75000"/>
                </a:schemeClr>
              </a:solidFill>
              <a:ln>
                <a:solidFill>
                  <a:srgbClr val="663300"/>
                </a:solidFill>
              </a:ln>
              <a:effectLst/>
            </c:spPr>
            <c:extLst>
              <c:ext xmlns:c16="http://schemas.microsoft.com/office/drawing/2014/chart" uri="{C3380CC4-5D6E-409C-BE32-E72D297353CC}">
                <c16:uniqueId val="{00000006-FF44-4DB0-B662-18E7275BE86F}"/>
              </c:ext>
            </c:extLst>
          </c:dPt>
          <c:dPt>
            <c:idx val="9"/>
            <c:invertIfNegative val="0"/>
            <c:bubble3D val="0"/>
            <c:spPr>
              <a:solidFill>
                <a:schemeClr val="accent2">
                  <a:lumMod val="75000"/>
                </a:schemeClr>
              </a:solidFill>
              <a:ln>
                <a:solidFill>
                  <a:srgbClr val="663300"/>
                </a:solidFill>
              </a:ln>
              <a:effectLst/>
            </c:spPr>
            <c:extLst>
              <c:ext xmlns:c16="http://schemas.microsoft.com/office/drawing/2014/chart" uri="{C3380CC4-5D6E-409C-BE32-E72D297353CC}">
                <c16:uniqueId val="{00000009-FF44-4DB0-B662-18E7275BE86F}"/>
              </c:ext>
            </c:extLst>
          </c:dPt>
          <c:dLbls>
            <c:dLbl>
              <c:idx val="0"/>
              <c:tx>
                <c:rich>
                  <a:bodyPr/>
                  <a:lstStyle/>
                  <a:p>
                    <a:fld id="{3759329D-E5C9-4E55-B370-9FB506E2731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44-4DB0-B662-18E7275BE86F}"/>
                </c:ext>
              </c:extLst>
            </c:dLbl>
            <c:dLbl>
              <c:idx val="1"/>
              <c:tx>
                <c:rich>
                  <a:bodyPr/>
                  <a:lstStyle/>
                  <a:p>
                    <a:fld id="{1F3370A4-A5F2-48BB-BDBE-3314B753E69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44-4DB0-B662-18E7275BE86F}"/>
                </c:ext>
              </c:extLst>
            </c:dLbl>
            <c:dLbl>
              <c:idx val="2"/>
              <c:tx>
                <c:rich>
                  <a:bodyPr/>
                  <a:lstStyle/>
                  <a:p>
                    <a:fld id="{73B79FA9-4538-49A9-B309-50B2A8BF66C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44-4DB0-B662-18E7275BE86F}"/>
                </c:ext>
              </c:extLst>
            </c:dLbl>
            <c:dLbl>
              <c:idx val="3"/>
              <c:tx>
                <c:rich>
                  <a:bodyPr/>
                  <a:lstStyle/>
                  <a:p>
                    <a:fld id="{1ED79D7C-A5F5-4B5E-AD6C-5D3D864B8C9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44-4DB0-B662-18E7275BE86F}"/>
                </c:ext>
              </c:extLst>
            </c:dLbl>
            <c:dLbl>
              <c:idx val="4"/>
              <c:tx>
                <c:rich>
                  <a:bodyPr/>
                  <a:lstStyle/>
                  <a:p>
                    <a:fld id="{124373BE-698A-4403-ACEB-0E9EBFCEFCF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44-4DB0-B662-18E7275BE86F}"/>
                </c:ext>
              </c:extLst>
            </c:dLbl>
            <c:dLbl>
              <c:idx val="5"/>
              <c:tx>
                <c:rich>
                  <a:bodyPr/>
                  <a:lstStyle/>
                  <a:p>
                    <a:fld id="{83ECEA09-21F7-41AC-8FD2-5DF1E7AC44E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44-4DB0-B662-18E7275BE86F}"/>
                </c:ext>
              </c:extLst>
            </c:dLbl>
            <c:dLbl>
              <c:idx val="6"/>
              <c:tx>
                <c:rich>
                  <a:bodyPr/>
                  <a:lstStyle/>
                  <a:p>
                    <a:fld id="{BB0AF017-F2E6-4EB4-962D-96B66FE628D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44-4DB0-B662-18E7275BE86F}"/>
                </c:ext>
              </c:extLst>
            </c:dLbl>
            <c:dLbl>
              <c:idx val="7"/>
              <c:tx>
                <c:rich>
                  <a:bodyPr/>
                  <a:lstStyle/>
                  <a:p>
                    <a:fld id="{573D48EB-D5A8-42B3-80E9-E6C70CF60DE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44-4DB0-B662-18E7275BE86F}"/>
                </c:ext>
              </c:extLst>
            </c:dLbl>
            <c:dLbl>
              <c:idx val="8"/>
              <c:tx>
                <c:rich>
                  <a:bodyPr/>
                  <a:lstStyle/>
                  <a:p>
                    <a:fld id="{88F7A772-AB96-4AF8-A919-32C4CEA3862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44-4DB0-B662-18E7275BE86F}"/>
                </c:ext>
              </c:extLst>
            </c:dLbl>
            <c:dLbl>
              <c:idx val="9"/>
              <c:tx>
                <c:rich>
                  <a:bodyPr/>
                  <a:lstStyle/>
                  <a:p>
                    <a:fld id="{77F2998C-2D18-4132-8F9E-4AE6A85B7F8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44-4DB0-B662-18E7275BE86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'ALM-VAR-EDAD'!$A$10:$A$19</c:f>
              <c:strCache>
                <c:ptCount val="10"/>
                <c:pt idx="0">
                  <c:v>GUARA</c:v>
                </c:pt>
                <c:pt idx="1">
                  <c:v>COMUNA</c:v>
                </c:pt>
                <c:pt idx="2">
                  <c:v>LARGUETA</c:v>
                </c:pt>
                <c:pt idx="3">
                  <c:v>MARCONA</c:v>
                </c:pt>
                <c:pt idx="4">
                  <c:v>LAURANNE/AVIJOR</c:v>
                </c:pt>
                <c:pt idx="5">
                  <c:v>FERRAGNES</c:v>
                </c:pt>
                <c:pt idx="6">
                  <c:v>VAIRO</c:v>
                </c:pt>
                <c:pt idx="7">
                  <c:v>FERRADUEL</c:v>
                </c:pt>
                <c:pt idx="8">
                  <c:v>DESMAYO ROJO</c:v>
                </c:pt>
                <c:pt idx="9">
                  <c:v>CONSTANTI</c:v>
                </c:pt>
              </c:strCache>
            </c:strRef>
          </c:cat>
          <c:val>
            <c:numRef>
              <c:f>'ALM-VAR-EDAD'!$B$10:$B$19</c:f>
              <c:numCache>
                <c:formatCode>#,##0</c:formatCode>
                <c:ptCount val="10"/>
                <c:pt idx="0">
                  <c:v>126585.13000000002</c:v>
                </c:pt>
                <c:pt idx="1">
                  <c:v>84665.650000000183</c:v>
                </c:pt>
                <c:pt idx="2">
                  <c:v>55968.509999999849</c:v>
                </c:pt>
                <c:pt idx="3">
                  <c:v>42719.710000000021</c:v>
                </c:pt>
                <c:pt idx="4">
                  <c:v>22181.59</c:v>
                </c:pt>
                <c:pt idx="5">
                  <c:v>17902.8</c:v>
                </c:pt>
                <c:pt idx="6">
                  <c:v>11744.949999999993</c:v>
                </c:pt>
                <c:pt idx="7">
                  <c:v>9426.9499999999971</c:v>
                </c:pt>
                <c:pt idx="8">
                  <c:v>8518.9300000000021</c:v>
                </c:pt>
                <c:pt idx="9">
                  <c:v>4481.5099999999993</c:v>
                </c:pt>
              </c:numCache>
            </c:numRef>
          </c:val>
          <c:extLst>
            <c:ext xmlns:c15="http://schemas.microsoft.com/office/drawing/2012/chart" uri="{02D57815-91ED-43cb-92C2-25804820EDAC}">
              <c15:datalabelsRange>
                <c15:f>'ALM-VAR-EDAD'!$C$10:$C$19</c15:f>
                <c15:dlblRangeCache>
                  <c:ptCount val="10"/>
                  <c:pt idx="0">
                    <c:v>30%</c:v>
                  </c:pt>
                  <c:pt idx="1">
                    <c:v>20%</c:v>
                  </c:pt>
                  <c:pt idx="2">
                    <c:v>13%</c:v>
                  </c:pt>
                  <c:pt idx="3">
                    <c:v>10%</c:v>
                  </c:pt>
                  <c:pt idx="4">
                    <c:v>5%</c:v>
                  </c:pt>
                  <c:pt idx="5">
                    <c:v>4%</c:v>
                  </c:pt>
                  <c:pt idx="6">
                    <c:v>3%</c:v>
                  </c:pt>
                  <c:pt idx="7">
                    <c:v>2%</c:v>
                  </c:pt>
                  <c:pt idx="8">
                    <c:v>2%</c:v>
                  </c:pt>
                  <c:pt idx="9">
                    <c:v>1%</c:v>
                  </c:pt>
                </c15:dlblRangeCache>
              </c15:datalabelsRange>
            </c:ext>
            <c:ext xmlns:c16="http://schemas.microsoft.com/office/drawing/2014/chart" uri="{C3380CC4-5D6E-409C-BE32-E72D297353CC}">
              <c16:uniqueId val="{0000000A-FF44-4DB0-B662-18E7275BE86F}"/>
            </c:ext>
          </c:extLst>
        </c:ser>
        <c:dLbls>
          <c:showLegendKey val="0"/>
          <c:showVal val="0"/>
          <c:showCatName val="0"/>
          <c:showSerName val="0"/>
          <c:showPercent val="0"/>
          <c:showBubbleSize val="0"/>
        </c:dLbls>
        <c:gapWidth val="140"/>
        <c:overlap val="-27"/>
        <c:axId val="154693200"/>
        <c:axId val="154686128"/>
      </c:barChart>
      <c:catAx>
        <c:axId val="15469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686128"/>
        <c:crosses val="autoZero"/>
        <c:auto val="1"/>
        <c:lblAlgn val="ctr"/>
        <c:lblOffset val="100"/>
        <c:noMultiLvlLbl val="0"/>
      </c:catAx>
      <c:valAx>
        <c:axId val="154686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693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ALMENDRA: Secano</a:t>
            </a:r>
          </a:p>
          <a:p>
            <a:pPr>
              <a:defRPr sz="1400" b="0" i="0" u="none" strike="noStrike" kern="1200" spc="0" baseline="0">
                <a:solidFill>
                  <a:sysClr val="windowText" lastClr="000000"/>
                </a:solidFill>
                <a:latin typeface="+mn-lt"/>
                <a:ea typeface="+mn-ea"/>
                <a:cs typeface="+mn-cs"/>
              </a:defRPr>
            </a:pPr>
            <a:r>
              <a:rPr lang="en-US"/>
              <a:t>Plantaciones jóvenes por variedad (2018-21)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'ALM-VAR-EDAD'!$A$7</c:f>
              <c:strCache>
                <c:ptCount val="1"/>
                <c:pt idx="0">
                  <c:v>ALMENDRA: Secano</c:v>
                </c:pt>
              </c:strCache>
            </c:strRef>
          </c:tx>
          <c:spPr>
            <a:solidFill>
              <a:srgbClr val="CB9661"/>
            </a:solidFill>
            <a:ln>
              <a:solidFill>
                <a:srgbClr val="996633"/>
              </a:solidFill>
            </a:ln>
            <a:effectLst/>
          </c:spPr>
          <c:invertIfNegative val="0"/>
          <c:dPt>
            <c:idx val="0"/>
            <c:invertIfNegative val="0"/>
            <c:bubble3D val="0"/>
            <c:spPr>
              <a:solidFill>
                <a:schemeClr val="accent2">
                  <a:lumMod val="75000"/>
                </a:schemeClr>
              </a:solidFill>
              <a:ln>
                <a:solidFill>
                  <a:srgbClr val="996633"/>
                </a:solidFill>
              </a:ln>
              <a:effectLst/>
            </c:spPr>
            <c:extLst>
              <c:ext xmlns:c16="http://schemas.microsoft.com/office/drawing/2014/chart" uri="{C3380CC4-5D6E-409C-BE32-E72D297353CC}">
                <c16:uniqueId val="{00000000-D832-4DFB-8B62-3E901F22BA20}"/>
              </c:ext>
            </c:extLst>
          </c:dPt>
          <c:dPt>
            <c:idx val="1"/>
            <c:invertIfNegative val="0"/>
            <c:bubble3D val="0"/>
            <c:spPr>
              <a:solidFill>
                <a:schemeClr val="tx2">
                  <a:lumMod val="75000"/>
                </a:schemeClr>
              </a:solidFill>
              <a:ln>
                <a:solidFill>
                  <a:srgbClr val="996633"/>
                </a:solidFill>
              </a:ln>
              <a:effectLst/>
            </c:spPr>
            <c:extLst>
              <c:ext xmlns:c16="http://schemas.microsoft.com/office/drawing/2014/chart" uri="{C3380CC4-5D6E-409C-BE32-E72D297353CC}">
                <c16:uniqueId val="{00000001-D832-4DFB-8B62-3E901F22BA20}"/>
              </c:ext>
            </c:extLst>
          </c:dPt>
          <c:dPt>
            <c:idx val="2"/>
            <c:invertIfNegative val="0"/>
            <c:bubble3D val="0"/>
            <c:spPr>
              <a:solidFill>
                <a:schemeClr val="tx2">
                  <a:lumMod val="75000"/>
                </a:schemeClr>
              </a:solidFill>
              <a:ln>
                <a:solidFill>
                  <a:srgbClr val="996633"/>
                </a:solidFill>
              </a:ln>
              <a:effectLst/>
            </c:spPr>
            <c:extLst>
              <c:ext xmlns:c16="http://schemas.microsoft.com/office/drawing/2014/chart" uri="{C3380CC4-5D6E-409C-BE32-E72D297353CC}">
                <c16:uniqueId val="{00000002-D832-4DFB-8B62-3E901F22BA20}"/>
              </c:ext>
            </c:extLst>
          </c:dPt>
          <c:dPt>
            <c:idx val="3"/>
            <c:invertIfNegative val="0"/>
            <c:bubble3D val="0"/>
            <c:spPr>
              <a:solidFill>
                <a:schemeClr val="accent2">
                  <a:lumMod val="75000"/>
                </a:schemeClr>
              </a:solidFill>
              <a:ln>
                <a:solidFill>
                  <a:srgbClr val="996633"/>
                </a:solidFill>
              </a:ln>
              <a:effectLst/>
            </c:spPr>
            <c:extLst>
              <c:ext xmlns:c16="http://schemas.microsoft.com/office/drawing/2014/chart" uri="{C3380CC4-5D6E-409C-BE32-E72D297353CC}">
                <c16:uniqueId val="{00000003-D832-4DFB-8B62-3E901F22BA20}"/>
              </c:ext>
            </c:extLst>
          </c:dPt>
          <c:dPt>
            <c:idx val="4"/>
            <c:invertIfNegative val="0"/>
            <c:bubble3D val="0"/>
            <c:spPr>
              <a:solidFill>
                <a:schemeClr val="accent2">
                  <a:lumMod val="75000"/>
                </a:schemeClr>
              </a:solidFill>
              <a:ln>
                <a:solidFill>
                  <a:srgbClr val="996633"/>
                </a:solidFill>
              </a:ln>
              <a:effectLst/>
            </c:spPr>
            <c:extLst>
              <c:ext xmlns:c16="http://schemas.microsoft.com/office/drawing/2014/chart" uri="{C3380CC4-5D6E-409C-BE32-E72D297353CC}">
                <c16:uniqueId val="{00000004-D832-4DFB-8B62-3E901F22BA20}"/>
              </c:ext>
            </c:extLst>
          </c:dPt>
          <c:dPt>
            <c:idx val="6"/>
            <c:invertIfNegative val="0"/>
            <c:bubble3D val="0"/>
            <c:spPr>
              <a:solidFill>
                <a:schemeClr val="accent2">
                  <a:lumMod val="75000"/>
                </a:schemeClr>
              </a:solidFill>
              <a:ln>
                <a:solidFill>
                  <a:srgbClr val="996633"/>
                </a:solidFill>
              </a:ln>
              <a:effectLst/>
            </c:spPr>
            <c:extLst>
              <c:ext xmlns:c16="http://schemas.microsoft.com/office/drawing/2014/chart" uri="{C3380CC4-5D6E-409C-BE32-E72D297353CC}">
                <c16:uniqueId val="{00000006-D832-4DFB-8B62-3E901F22BA20}"/>
              </c:ext>
            </c:extLst>
          </c:dPt>
          <c:dPt>
            <c:idx val="7"/>
            <c:invertIfNegative val="0"/>
            <c:bubble3D val="0"/>
            <c:spPr>
              <a:solidFill>
                <a:schemeClr val="accent4"/>
              </a:solidFill>
              <a:ln>
                <a:solidFill>
                  <a:srgbClr val="996633"/>
                </a:solidFill>
              </a:ln>
              <a:effectLst/>
            </c:spPr>
            <c:extLst>
              <c:ext xmlns:c16="http://schemas.microsoft.com/office/drawing/2014/chart" uri="{C3380CC4-5D6E-409C-BE32-E72D297353CC}">
                <c16:uniqueId val="{00000007-D832-4DFB-8B62-3E901F22BA20}"/>
              </c:ext>
            </c:extLst>
          </c:dPt>
          <c:dPt>
            <c:idx val="8"/>
            <c:invertIfNegative val="0"/>
            <c:bubble3D val="0"/>
            <c:spPr>
              <a:solidFill>
                <a:schemeClr val="accent2">
                  <a:lumMod val="50000"/>
                </a:schemeClr>
              </a:solidFill>
              <a:ln>
                <a:solidFill>
                  <a:srgbClr val="996633"/>
                </a:solidFill>
              </a:ln>
              <a:effectLst/>
            </c:spPr>
            <c:extLst>
              <c:ext xmlns:c16="http://schemas.microsoft.com/office/drawing/2014/chart" uri="{C3380CC4-5D6E-409C-BE32-E72D297353CC}">
                <c16:uniqueId val="{00000008-D832-4DFB-8B62-3E901F22BA20}"/>
              </c:ext>
            </c:extLst>
          </c:dPt>
          <c:dPt>
            <c:idx val="9"/>
            <c:invertIfNegative val="0"/>
            <c:bubble3D val="0"/>
            <c:spPr>
              <a:solidFill>
                <a:schemeClr val="accent2">
                  <a:lumMod val="50000"/>
                </a:schemeClr>
              </a:solidFill>
              <a:ln>
                <a:solidFill>
                  <a:srgbClr val="996633"/>
                </a:solidFill>
              </a:ln>
              <a:effectLst/>
            </c:spPr>
            <c:extLst>
              <c:ext xmlns:c16="http://schemas.microsoft.com/office/drawing/2014/chart" uri="{C3380CC4-5D6E-409C-BE32-E72D297353CC}">
                <c16:uniqueId val="{00000009-D832-4DFB-8B62-3E901F22BA20}"/>
              </c:ext>
            </c:extLst>
          </c:dPt>
          <c:dPt>
            <c:idx val="11"/>
            <c:invertIfNegative val="0"/>
            <c:bubble3D val="0"/>
            <c:spPr>
              <a:solidFill>
                <a:schemeClr val="accent4"/>
              </a:solidFill>
              <a:ln>
                <a:solidFill>
                  <a:srgbClr val="996633"/>
                </a:solidFill>
              </a:ln>
              <a:effectLst/>
            </c:spPr>
            <c:extLst>
              <c:ext xmlns:c16="http://schemas.microsoft.com/office/drawing/2014/chart" uri="{C3380CC4-5D6E-409C-BE32-E72D297353CC}">
                <c16:uniqueId val="{0000000B-D832-4DFB-8B62-3E901F22BA20}"/>
              </c:ext>
            </c:extLst>
          </c:dPt>
          <c:dPt>
            <c:idx val="12"/>
            <c:invertIfNegative val="0"/>
            <c:bubble3D val="0"/>
            <c:spPr>
              <a:solidFill>
                <a:schemeClr val="tx2">
                  <a:lumMod val="75000"/>
                </a:schemeClr>
              </a:solidFill>
              <a:ln>
                <a:solidFill>
                  <a:srgbClr val="996633"/>
                </a:solidFill>
              </a:ln>
              <a:effectLst/>
            </c:spPr>
            <c:extLst>
              <c:ext xmlns:c16="http://schemas.microsoft.com/office/drawing/2014/chart" uri="{C3380CC4-5D6E-409C-BE32-E72D297353CC}">
                <c16:uniqueId val="{0000000C-D832-4DFB-8B62-3E901F22BA20}"/>
              </c:ext>
            </c:extLst>
          </c:dPt>
          <c:dPt>
            <c:idx val="13"/>
            <c:invertIfNegative val="0"/>
            <c:bubble3D val="0"/>
            <c:spPr>
              <a:solidFill>
                <a:schemeClr val="tx2">
                  <a:lumMod val="75000"/>
                </a:schemeClr>
              </a:solidFill>
              <a:ln>
                <a:solidFill>
                  <a:srgbClr val="996633"/>
                </a:solidFill>
              </a:ln>
              <a:effectLst/>
            </c:spPr>
            <c:extLst>
              <c:ext xmlns:c16="http://schemas.microsoft.com/office/drawing/2014/chart" uri="{C3380CC4-5D6E-409C-BE32-E72D297353CC}">
                <c16:uniqueId val="{0000000D-D832-4DFB-8B62-3E901F22BA20}"/>
              </c:ext>
            </c:extLst>
          </c:dPt>
          <c:dLbls>
            <c:dLbl>
              <c:idx val="0"/>
              <c:tx>
                <c:rich>
                  <a:bodyPr/>
                  <a:lstStyle/>
                  <a:p>
                    <a:fld id="{CE5748E7-06A7-4DB9-8434-9B1F0C5E8AF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832-4DFB-8B62-3E901F22BA20}"/>
                </c:ext>
              </c:extLst>
            </c:dLbl>
            <c:dLbl>
              <c:idx val="1"/>
              <c:tx>
                <c:rich>
                  <a:bodyPr/>
                  <a:lstStyle/>
                  <a:p>
                    <a:fld id="{5AB744D6-A78C-49F7-8C86-501302D81F9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832-4DFB-8B62-3E901F22BA20}"/>
                </c:ext>
              </c:extLst>
            </c:dLbl>
            <c:dLbl>
              <c:idx val="2"/>
              <c:tx>
                <c:rich>
                  <a:bodyPr/>
                  <a:lstStyle/>
                  <a:p>
                    <a:fld id="{AADF96B4-6CBC-42E4-A35B-EF7B05BBCA0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832-4DFB-8B62-3E901F22BA20}"/>
                </c:ext>
              </c:extLst>
            </c:dLbl>
            <c:dLbl>
              <c:idx val="3"/>
              <c:tx>
                <c:rich>
                  <a:bodyPr/>
                  <a:lstStyle/>
                  <a:p>
                    <a:fld id="{0439C65D-22CD-4309-811E-C7C00B89DA9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832-4DFB-8B62-3E901F22BA20}"/>
                </c:ext>
              </c:extLst>
            </c:dLbl>
            <c:dLbl>
              <c:idx val="4"/>
              <c:tx>
                <c:rich>
                  <a:bodyPr/>
                  <a:lstStyle/>
                  <a:p>
                    <a:fld id="{9245950C-FB9A-4A14-8EE0-59835C920FF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32-4DFB-8B62-3E901F22BA20}"/>
                </c:ext>
              </c:extLst>
            </c:dLbl>
            <c:dLbl>
              <c:idx val="5"/>
              <c:tx>
                <c:rich>
                  <a:bodyPr/>
                  <a:lstStyle/>
                  <a:p>
                    <a:fld id="{B19306F2-3091-423E-90DD-CF40B5F3BB5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32-4DFB-8B62-3E901F22BA20}"/>
                </c:ext>
              </c:extLst>
            </c:dLbl>
            <c:dLbl>
              <c:idx val="6"/>
              <c:tx>
                <c:rich>
                  <a:bodyPr/>
                  <a:lstStyle/>
                  <a:p>
                    <a:fld id="{2590567F-4B00-49F2-B5F1-ECCC1D215E2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32-4DFB-8B62-3E901F22BA20}"/>
                </c:ext>
              </c:extLst>
            </c:dLbl>
            <c:dLbl>
              <c:idx val="7"/>
              <c:tx>
                <c:rich>
                  <a:bodyPr/>
                  <a:lstStyle/>
                  <a:p>
                    <a:fld id="{0FF7AE81-1C43-4A0A-983D-206ADE82675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32-4DFB-8B62-3E901F22BA20}"/>
                </c:ext>
              </c:extLst>
            </c:dLbl>
            <c:dLbl>
              <c:idx val="8"/>
              <c:tx>
                <c:rich>
                  <a:bodyPr/>
                  <a:lstStyle/>
                  <a:p>
                    <a:fld id="{94AEEB98-60CA-47D0-884C-6FF0CC42BC9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32-4DFB-8B62-3E901F22BA20}"/>
                </c:ext>
              </c:extLst>
            </c:dLbl>
            <c:dLbl>
              <c:idx val="9"/>
              <c:tx>
                <c:rich>
                  <a:bodyPr/>
                  <a:lstStyle/>
                  <a:p>
                    <a:fld id="{696E9520-4ADD-4144-A538-D3579065D27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32-4DFB-8B62-3E901F22BA20}"/>
                </c:ext>
              </c:extLst>
            </c:dLbl>
            <c:dLbl>
              <c:idx val="10"/>
              <c:tx>
                <c:rich>
                  <a:bodyPr/>
                  <a:lstStyle/>
                  <a:p>
                    <a:fld id="{AD1A976F-B3A4-46C4-AE59-A8926C90DDF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32-4DFB-8B62-3E901F22BA20}"/>
                </c:ext>
              </c:extLst>
            </c:dLbl>
            <c:dLbl>
              <c:idx val="11"/>
              <c:tx>
                <c:rich>
                  <a:bodyPr/>
                  <a:lstStyle/>
                  <a:p>
                    <a:fld id="{EDD0A212-EE09-435D-88DE-D8175525FEC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32-4DFB-8B62-3E901F22BA20}"/>
                </c:ext>
              </c:extLst>
            </c:dLbl>
            <c:dLbl>
              <c:idx val="12"/>
              <c:tx>
                <c:rich>
                  <a:bodyPr/>
                  <a:lstStyle/>
                  <a:p>
                    <a:fld id="{4CA94AA0-4962-4C35-9C7B-9B9C60823AF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32-4DFB-8B62-3E901F22BA20}"/>
                </c:ext>
              </c:extLst>
            </c:dLbl>
            <c:dLbl>
              <c:idx val="13"/>
              <c:tx>
                <c:rich>
                  <a:bodyPr/>
                  <a:lstStyle/>
                  <a:p>
                    <a:fld id="{C9C79CBF-578A-42A1-A522-1997085B011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32-4DFB-8B62-3E901F22BA20}"/>
                </c:ext>
              </c:extLst>
            </c:dLbl>
            <c:dLbl>
              <c:idx val="14"/>
              <c:tx>
                <c:rich>
                  <a:bodyPr/>
                  <a:lstStyle/>
                  <a:p>
                    <a:fld id="{73861A45-DFE6-43EB-AC7B-338C8E33C6B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832-4DFB-8B62-3E901F22BA20}"/>
                </c:ext>
              </c:extLst>
            </c:dLbl>
            <c:dLbl>
              <c:idx val="15"/>
              <c:tx>
                <c:rich>
                  <a:bodyPr/>
                  <a:lstStyle/>
                  <a:p>
                    <a:fld id="{40387F3E-D13A-46FB-B274-6040E5F55D0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832-4DFB-8B62-3E901F22BA20}"/>
                </c:ext>
              </c:extLst>
            </c:dLbl>
            <c:dLbl>
              <c:idx val="16"/>
              <c:tx>
                <c:rich>
                  <a:bodyPr/>
                  <a:lstStyle/>
                  <a:p>
                    <a:fld id="{613329FD-BFA6-4762-B72D-BD5D1632C70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832-4DFB-8B62-3E901F22BA2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'ALM-VAR-EDAD'!$D$10:$D$26</c:f>
              <c:strCache>
                <c:ptCount val="17"/>
                <c:pt idx="0">
                  <c:v>GUARA</c:v>
                </c:pt>
                <c:pt idx="1">
                  <c:v>LAURANNE/AVIJOR</c:v>
                </c:pt>
                <c:pt idx="2">
                  <c:v>PENTACEBAS CSIC</c:v>
                </c:pt>
                <c:pt idx="3">
                  <c:v>CONSTANTI</c:v>
                </c:pt>
                <c:pt idx="4">
                  <c:v>VAIRO</c:v>
                </c:pt>
                <c:pt idx="5">
                  <c:v>COMUNA</c:v>
                </c:pt>
                <c:pt idx="6">
                  <c:v>MARINADA</c:v>
                </c:pt>
                <c:pt idx="7">
                  <c:v>MARCONA</c:v>
                </c:pt>
                <c:pt idx="8">
                  <c:v>SOLETA</c:v>
                </c:pt>
                <c:pt idx="9">
                  <c:v>LARGUETA</c:v>
                </c:pt>
                <c:pt idx="10">
                  <c:v>ISABELONA</c:v>
                </c:pt>
                <c:pt idx="11">
                  <c:v>ANTOÑETA</c:v>
                </c:pt>
                <c:pt idx="12">
                  <c:v>FERRAGNES</c:v>
                </c:pt>
                <c:pt idx="13">
                  <c:v>MARTA</c:v>
                </c:pt>
                <c:pt idx="14">
                  <c:v>FERRADUEL</c:v>
                </c:pt>
                <c:pt idx="15">
                  <c:v>DESMAYO ROJO</c:v>
                </c:pt>
                <c:pt idx="16">
                  <c:v>NON PAREIL</c:v>
                </c:pt>
              </c:strCache>
            </c:strRef>
          </c:cat>
          <c:val>
            <c:numRef>
              <c:f>'ALM-VAR-EDAD'!$E$10:$E$26</c:f>
              <c:numCache>
                <c:formatCode>#,##0</c:formatCode>
                <c:ptCount val="17"/>
                <c:pt idx="0">
                  <c:v>22651.310000000005</c:v>
                </c:pt>
                <c:pt idx="1">
                  <c:v>26316.35</c:v>
                </c:pt>
                <c:pt idx="2">
                  <c:v>4796.7600000000011</c:v>
                </c:pt>
                <c:pt idx="3">
                  <c:v>2735.47</c:v>
                </c:pt>
                <c:pt idx="4">
                  <c:v>2321.19</c:v>
                </c:pt>
                <c:pt idx="5">
                  <c:v>2269.7599999999993</c:v>
                </c:pt>
                <c:pt idx="6">
                  <c:v>2195.0399999999995</c:v>
                </c:pt>
                <c:pt idx="7">
                  <c:v>1138.1399999999999</c:v>
                </c:pt>
                <c:pt idx="8">
                  <c:v>994.36000000000035</c:v>
                </c:pt>
                <c:pt idx="9">
                  <c:v>739.0100000000001</c:v>
                </c:pt>
                <c:pt idx="10">
                  <c:v>639.16999999999996</c:v>
                </c:pt>
                <c:pt idx="11">
                  <c:v>626.5100000000001</c:v>
                </c:pt>
                <c:pt idx="12">
                  <c:v>586.28</c:v>
                </c:pt>
                <c:pt idx="13">
                  <c:v>575.78000000000009</c:v>
                </c:pt>
                <c:pt idx="14">
                  <c:v>284.5</c:v>
                </c:pt>
                <c:pt idx="15">
                  <c:v>150.01999999999998</c:v>
                </c:pt>
                <c:pt idx="16">
                  <c:v>112.32</c:v>
                </c:pt>
              </c:numCache>
            </c:numRef>
          </c:val>
          <c:extLst>
            <c:ext xmlns:c15="http://schemas.microsoft.com/office/drawing/2012/chart" uri="{02D57815-91ED-43cb-92C2-25804820EDAC}">
              <c15:datalabelsRange>
                <c15:f>'ALM-VAR-EDAD'!$F$10:$F$26</c15:f>
                <c15:dlblRangeCache>
                  <c:ptCount val="17"/>
                  <c:pt idx="0">
                    <c:v>31%</c:v>
                  </c:pt>
                  <c:pt idx="1">
                    <c:v>37%</c:v>
                  </c:pt>
                  <c:pt idx="2">
                    <c:v>7%</c:v>
                  </c:pt>
                  <c:pt idx="3">
                    <c:v>4%</c:v>
                  </c:pt>
                  <c:pt idx="4">
                    <c:v>3%</c:v>
                  </c:pt>
                  <c:pt idx="5">
                    <c:v>3%</c:v>
                  </c:pt>
                  <c:pt idx="6">
                    <c:v>3%</c:v>
                  </c:pt>
                  <c:pt idx="7">
                    <c:v>2%</c:v>
                  </c:pt>
                  <c:pt idx="8">
                    <c:v>1%</c:v>
                  </c:pt>
                  <c:pt idx="9">
                    <c:v>1%</c:v>
                  </c:pt>
                  <c:pt idx="10">
                    <c:v>1%</c:v>
                  </c:pt>
                  <c:pt idx="11">
                    <c:v>1%</c:v>
                  </c:pt>
                  <c:pt idx="12">
                    <c:v>1%</c:v>
                  </c:pt>
                  <c:pt idx="13">
                    <c:v>1%</c:v>
                  </c:pt>
                  <c:pt idx="14">
                    <c:v>0%</c:v>
                  </c:pt>
                  <c:pt idx="15">
                    <c:v>0%</c:v>
                  </c:pt>
                  <c:pt idx="16">
                    <c:v>0%</c:v>
                  </c:pt>
                </c15:dlblRangeCache>
              </c15:datalabelsRange>
            </c:ext>
            <c:ext xmlns:c16="http://schemas.microsoft.com/office/drawing/2014/chart" uri="{C3380CC4-5D6E-409C-BE32-E72D297353CC}">
              <c16:uniqueId val="{00000012-D832-4DFB-8B62-3E901F22BA20}"/>
            </c:ext>
          </c:extLst>
        </c:ser>
        <c:dLbls>
          <c:showLegendKey val="0"/>
          <c:showVal val="0"/>
          <c:showCatName val="0"/>
          <c:showSerName val="0"/>
          <c:showPercent val="0"/>
          <c:showBubbleSize val="0"/>
        </c:dLbls>
        <c:gapWidth val="140"/>
        <c:overlap val="-27"/>
        <c:axId val="154696464"/>
        <c:axId val="154714960"/>
      </c:barChart>
      <c:catAx>
        <c:axId val="15469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714960"/>
        <c:crosses val="autoZero"/>
        <c:auto val="1"/>
        <c:lblAlgn val="ctr"/>
        <c:lblOffset val="100"/>
        <c:noMultiLvlLbl val="0"/>
      </c:catAx>
      <c:valAx>
        <c:axId val="15471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696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ALMENDRA: Regadío</a:t>
            </a:r>
          </a:p>
          <a:p>
            <a:pPr>
              <a:defRPr sz="1400" b="0" i="0" u="none" strike="noStrike" kern="1200" spc="0" baseline="0">
                <a:solidFill>
                  <a:sysClr val="windowText" lastClr="000000"/>
                </a:solidFill>
                <a:latin typeface="+mn-lt"/>
                <a:ea typeface="+mn-ea"/>
                <a:cs typeface="+mn-cs"/>
              </a:defRPr>
            </a:pPr>
            <a:r>
              <a:rPr lang="en-US"/>
              <a:t>Plantaciones en producción por variedad (&lt;2019)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'ALM-VAR-EDAD'!$A$34</c:f>
              <c:strCache>
                <c:ptCount val="1"/>
                <c:pt idx="0">
                  <c:v>ALMENDRA: Regadío</c:v>
                </c:pt>
              </c:strCache>
            </c:strRef>
          </c:tx>
          <c:spPr>
            <a:solidFill>
              <a:schemeClr val="accent5">
                <a:lumMod val="75000"/>
              </a:schemeClr>
            </a:solidFill>
            <a:ln>
              <a:solidFill>
                <a:schemeClr val="accent5">
                  <a:lumMod val="50000"/>
                </a:schemeClr>
              </a:solidFill>
            </a:ln>
            <a:effectLst/>
          </c:spPr>
          <c:invertIfNegative val="0"/>
          <c:dPt>
            <c:idx val="0"/>
            <c:invertIfNegative val="0"/>
            <c:bubble3D val="0"/>
            <c:spPr>
              <a:solidFill>
                <a:schemeClr val="accent2">
                  <a:lumMod val="75000"/>
                </a:schemeClr>
              </a:solidFill>
              <a:ln>
                <a:solidFill>
                  <a:schemeClr val="accent5">
                    <a:lumMod val="50000"/>
                  </a:schemeClr>
                </a:solidFill>
              </a:ln>
              <a:effectLst/>
            </c:spPr>
            <c:extLst>
              <c:ext xmlns:c16="http://schemas.microsoft.com/office/drawing/2014/chart" uri="{C3380CC4-5D6E-409C-BE32-E72D297353CC}">
                <c16:uniqueId val="{00000000-1397-40D5-8960-8F1364A5EBDA}"/>
              </c:ext>
            </c:extLst>
          </c:dPt>
          <c:dPt>
            <c:idx val="1"/>
            <c:invertIfNegative val="0"/>
            <c:bubble3D val="0"/>
            <c:spPr>
              <a:solidFill>
                <a:schemeClr val="accent1">
                  <a:lumMod val="50000"/>
                </a:schemeClr>
              </a:solidFill>
              <a:ln>
                <a:solidFill>
                  <a:schemeClr val="accent5">
                    <a:lumMod val="50000"/>
                  </a:schemeClr>
                </a:solidFill>
              </a:ln>
              <a:effectLst/>
            </c:spPr>
            <c:extLst>
              <c:ext xmlns:c16="http://schemas.microsoft.com/office/drawing/2014/chart" uri="{C3380CC4-5D6E-409C-BE32-E72D297353CC}">
                <c16:uniqueId val="{00000001-1397-40D5-8960-8F1364A5EBDA}"/>
              </c:ext>
            </c:extLst>
          </c:dPt>
          <c:dPt>
            <c:idx val="2"/>
            <c:invertIfNegative val="0"/>
            <c:bubble3D val="0"/>
            <c:spPr>
              <a:solidFill>
                <a:schemeClr val="accent2">
                  <a:lumMod val="75000"/>
                </a:schemeClr>
              </a:solidFill>
              <a:ln>
                <a:solidFill>
                  <a:schemeClr val="accent5">
                    <a:lumMod val="50000"/>
                  </a:schemeClr>
                </a:solidFill>
              </a:ln>
              <a:effectLst/>
            </c:spPr>
            <c:extLst>
              <c:ext xmlns:c16="http://schemas.microsoft.com/office/drawing/2014/chart" uri="{C3380CC4-5D6E-409C-BE32-E72D297353CC}">
                <c16:uniqueId val="{00000002-1397-40D5-8960-8F1364A5EBDA}"/>
              </c:ext>
            </c:extLst>
          </c:dPt>
          <c:dPt>
            <c:idx val="3"/>
            <c:invertIfNegative val="0"/>
            <c:bubble3D val="0"/>
            <c:spPr>
              <a:solidFill>
                <a:srgbClr val="663300"/>
              </a:solidFill>
              <a:ln>
                <a:solidFill>
                  <a:schemeClr val="accent5">
                    <a:lumMod val="50000"/>
                  </a:schemeClr>
                </a:solidFill>
              </a:ln>
              <a:effectLst/>
            </c:spPr>
            <c:extLst>
              <c:ext xmlns:c16="http://schemas.microsoft.com/office/drawing/2014/chart" uri="{C3380CC4-5D6E-409C-BE32-E72D297353CC}">
                <c16:uniqueId val="{00000003-1397-40D5-8960-8F1364A5EBDA}"/>
              </c:ext>
            </c:extLst>
          </c:dPt>
          <c:dPt>
            <c:idx val="4"/>
            <c:invertIfNegative val="0"/>
            <c:bubble3D val="0"/>
            <c:spPr>
              <a:solidFill>
                <a:srgbClr val="D7AE85"/>
              </a:solidFill>
              <a:ln>
                <a:solidFill>
                  <a:schemeClr val="accent5">
                    <a:lumMod val="50000"/>
                  </a:schemeClr>
                </a:solidFill>
              </a:ln>
              <a:effectLst/>
            </c:spPr>
            <c:extLst>
              <c:ext xmlns:c16="http://schemas.microsoft.com/office/drawing/2014/chart" uri="{C3380CC4-5D6E-409C-BE32-E72D297353CC}">
                <c16:uniqueId val="{00000004-1397-40D5-8960-8F1364A5EBDA}"/>
              </c:ext>
            </c:extLst>
          </c:dPt>
          <c:dPt>
            <c:idx val="5"/>
            <c:invertIfNegative val="0"/>
            <c:bubble3D val="0"/>
            <c:spPr>
              <a:solidFill>
                <a:schemeClr val="accent2">
                  <a:lumMod val="75000"/>
                </a:schemeClr>
              </a:solidFill>
              <a:ln>
                <a:solidFill>
                  <a:schemeClr val="accent5">
                    <a:lumMod val="50000"/>
                  </a:schemeClr>
                </a:solidFill>
              </a:ln>
              <a:effectLst/>
            </c:spPr>
            <c:extLst>
              <c:ext xmlns:c16="http://schemas.microsoft.com/office/drawing/2014/chart" uri="{C3380CC4-5D6E-409C-BE32-E72D297353CC}">
                <c16:uniqueId val="{00000005-1397-40D5-8960-8F1364A5EBDA}"/>
              </c:ext>
            </c:extLst>
          </c:dPt>
          <c:dPt>
            <c:idx val="6"/>
            <c:invertIfNegative val="0"/>
            <c:bubble3D val="0"/>
            <c:spPr>
              <a:solidFill>
                <a:schemeClr val="accent1">
                  <a:lumMod val="50000"/>
                </a:schemeClr>
              </a:solidFill>
              <a:ln>
                <a:solidFill>
                  <a:schemeClr val="accent5">
                    <a:lumMod val="50000"/>
                  </a:schemeClr>
                </a:solidFill>
              </a:ln>
              <a:effectLst/>
            </c:spPr>
            <c:extLst>
              <c:ext xmlns:c16="http://schemas.microsoft.com/office/drawing/2014/chart" uri="{C3380CC4-5D6E-409C-BE32-E72D297353CC}">
                <c16:uniqueId val="{00000006-1397-40D5-8960-8F1364A5EBDA}"/>
              </c:ext>
            </c:extLst>
          </c:dPt>
          <c:dPt>
            <c:idx val="7"/>
            <c:invertIfNegative val="0"/>
            <c:bubble3D val="0"/>
            <c:spPr>
              <a:solidFill>
                <a:srgbClr val="D7AE85"/>
              </a:solidFill>
              <a:ln>
                <a:solidFill>
                  <a:schemeClr val="accent5">
                    <a:lumMod val="50000"/>
                  </a:schemeClr>
                </a:solidFill>
              </a:ln>
              <a:effectLst/>
            </c:spPr>
            <c:extLst>
              <c:ext xmlns:c16="http://schemas.microsoft.com/office/drawing/2014/chart" uri="{C3380CC4-5D6E-409C-BE32-E72D297353CC}">
                <c16:uniqueId val="{00000007-1397-40D5-8960-8F1364A5EBDA}"/>
              </c:ext>
            </c:extLst>
          </c:dPt>
          <c:dPt>
            <c:idx val="8"/>
            <c:invertIfNegative val="0"/>
            <c:bubble3D val="0"/>
            <c:spPr>
              <a:solidFill>
                <a:schemeClr val="accent4"/>
              </a:solidFill>
              <a:ln>
                <a:solidFill>
                  <a:schemeClr val="accent5">
                    <a:lumMod val="50000"/>
                  </a:schemeClr>
                </a:solidFill>
              </a:ln>
              <a:effectLst/>
            </c:spPr>
            <c:extLst>
              <c:ext xmlns:c16="http://schemas.microsoft.com/office/drawing/2014/chart" uri="{C3380CC4-5D6E-409C-BE32-E72D297353CC}">
                <c16:uniqueId val="{00000008-1397-40D5-8960-8F1364A5EBDA}"/>
              </c:ext>
            </c:extLst>
          </c:dPt>
          <c:dPt>
            <c:idx val="9"/>
            <c:invertIfNegative val="0"/>
            <c:bubble3D val="0"/>
            <c:spPr>
              <a:solidFill>
                <a:schemeClr val="accent4"/>
              </a:solidFill>
              <a:ln>
                <a:solidFill>
                  <a:schemeClr val="accent5">
                    <a:lumMod val="50000"/>
                  </a:schemeClr>
                </a:solidFill>
              </a:ln>
              <a:effectLst/>
            </c:spPr>
            <c:extLst>
              <c:ext xmlns:c16="http://schemas.microsoft.com/office/drawing/2014/chart" uri="{C3380CC4-5D6E-409C-BE32-E72D297353CC}">
                <c16:uniqueId val="{00000009-1397-40D5-8960-8F1364A5EBDA}"/>
              </c:ext>
            </c:extLst>
          </c:dPt>
          <c:dPt>
            <c:idx val="10"/>
            <c:invertIfNegative val="0"/>
            <c:bubble3D val="0"/>
            <c:spPr>
              <a:solidFill>
                <a:schemeClr val="accent1">
                  <a:lumMod val="50000"/>
                </a:schemeClr>
              </a:solidFill>
              <a:ln>
                <a:solidFill>
                  <a:schemeClr val="accent5">
                    <a:lumMod val="50000"/>
                  </a:schemeClr>
                </a:solidFill>
              </a:ln>
              <a:effectLst/>
            </c:spPr>
            <c:extLst>
              <c:ext xmlns:c16="http://schemas.microsoft.com/office/drawing/2014/chart" uri="{C3380CC4-5D6E-409C-BE32-E72D297353CC}">
                <c16:uniqueId val="{0000000A-1397-40D5-8960-8F1364A5EBDA}"/>
              </c:ext>
            </c:extLst>
          </c:dPt>
          <c:dPt>
            <c:idx val="11"/>
            <c:invertIfNegative val="0"/>
            <c:bubble3D val="0"/>
            <c:spPr>
              <a:solidFill>
                <a:schemeClr val="accent4"/>
              </a:solidFill>
              <a:ln>
                <a:solidFill>
                  <a:schemeClr val="accent5">
                    <a:lumMod val="50000"/>
                  </a:schemeClr>
                </a:solidFill>
              </a:ln>
              <a:effectLst/>
            </c:spPr>
            <c:extLst>
              <c:ext xmlns:c16="http://schemas.microsoft.com/office/drawing/2014/chart" uri="{C3380CC4-5D6E-409C-BE32-E72D297353CC}">
                <c16:uniqueId val="{0000000B-1397-40D5-8960-8F1364A5EBDA}"/>
              </c:ext>
            </c:extLst>
          </c:dPt>
          <c:dPt>
            <c:idx val="12"/>
            <c:invertIfNegative val="0"/>
            <c:bubble3D val="0"/>
            <c:spPr>
              <a:solidFill>
                <a:srgbClr val="663300"/>
              </a:solidFill>
              <a:ln>
                <a:solidFill>
                  <a:schemeClr val="accent5">
                    <a:lumMod val="50000"/>
                  </a:schemeClr>
                </a:solidFill>
              </a:ln>
              <a:effectLst/>
            </c:spPr>
            <c:extLst>
              <c:ext xmlns:c16="http://schemas.microsoft.com/office/drawing/2014/chart" uri="{C3380CC4-5D6E-409C-BE32-E72D297353CC}">
                <c16:uniqueId val="{0000000C-1397-40D5-8960-8F1364A5EBDA}"/>
              </c:ext>
            </c:extLst>
          </c:dPt>
          <c:dPt>
            <c:idx val="13"/>
            <c:invertIfNegative val="0"/>
            <c:bubble3D val="0"/>
            <c:spPr>
              <a:solidFill>
                <a:schemeClr val="accent2">
                  <a:lumMod val="75000"/>
                </a:schemeClr>
              </a:solidFill>
              <a:ln>
                <a:solidFill>
                  <a:schemeClr val="accent5">
                    <a:lumMod val="50000"/>
                  </a:schemeClr>
                </a:solidFill>
              </a:ln>
              <a:effectLst/>
            </c:spPr>
            <c:extLst>
              <c:ext xmlns:c16="http://schemas.microsoft.com/office/drawing/2014/chart" uri="{C3380CC4-5D6E-409C-BE32-E72D297353CC}">
                <c16:uniqueId val="{0000000D-1397-40D5-8960-8F1364A5EBDA}"/>
              </c:ext>
            </c:extLst>
          </c:dPt>
          <c:dPt>
            <c:idx val="14"/>
            <c:invertIfNegative val="0"/>
            <c:bubble3D val="0"/>
            <c:spPr>
              <a:solidFill>
                <a:schemeClr val="accent1">
                  <a:lumMod val="50000"/>
                </a:schemeClr>
              </a:solidFill>
              <a:ln>
                <a:solidFill>
                  <a:schemeClr val="accent5">
                    <a:lumMod val="50000"/>
                  </a:schemeClr>
                </a:solidFill>
              </a:ln>
              <a:effectLst/>
            </c:spPr>
            <c:extLst>
              <c:ext xmlns:c16="http://schemas.microsoft.com/office/drawing/2014/chart" uri="{C3380CC4-5D6E-409C-BE32-E72D297353CC}">
                <c16:uniqueId val="{0000000E-1397-40D5-8960-8F1364A5EBDA}"/>
              </c:ext>
            </c:extLst>
          </c:dPt>
          <c:dLbls>
            <c:dLbl>
              <c:idx val="0"/>
              <c:tx>
                <c:rich>
                  <a:bodyPr/>
                  <a:lstStyle/>
                  <a:p>
                    <a:fld id="{3F0BD0E6-96AD-4D67-9EDB-B5B2647AC26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397-40D5-8960-8F1364A5EBDA}"/>
                </c:ext>
              </c:extLst>
            </c:dLbl>
            <c:dLbl>
              <c:idx val="1"/>
              <c:tx>
                <c:rich>
                  <a:bodyPr/>
                  <a:lstStyle/>
                  <a:p>
                    <a:fld id="{2B410651-7E85-40F5-83B9-6BFFB8713D0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397-40D5-8960-8F1364A5EBDA}"/>
                </c:ext>
              </c:extLst>
            </c:dLbl>
            <c:dLbl>
              <c:idx val="2"/>
              <c:tx>
                <c:rich>
                  <a:bodyPr/>
                  <a:lstStyle/>
                  <a:p>
                    <a:fld id="{B83CFAA4-139F-4F23-8452-A6EA2E12B33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397-40D5-8960-8F1364A5EBDA}"/>
                </c:ext>
              </c:extLst>
            </c:dLbl>
            <c:dLbl>
              <c:idx val="3"/>
              <c:tx>
                <c:rich>
                  <a:bodyPr/>
                  <a:lstStyle/>
                  <a:p>
                    <a:fld id="{BAA1E1DD-4F96-4BC1-895A-316E849C214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397-40D5-8960-8F1364A5EBDA}"/>
                </c:ext>
              </c:extLst>
            </c:dLbl>
            <c:dLbl>
              <c:idx val="4"/>
              <c:tx>
                <c:rich>
                  <a:bodyPr/>
                  <a:lstStyle/>
                  <a:p>
                    <a:fld id="{2DC445E2-9E31-41F5-8195-A4006F17588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397-40D5-8960-8F1364A5EBDA}"/>
                </c:ext>
              </c:extLst>
            </c:dLbl>
            <c:dLbl>
              <c:idx val="5"/>
              <c:tx>
                <c:rich>
                  <a:bodyPr/>
                  <a:lstStyle/>
                  <a:p>
                    <a:fld id="{57DB95B4-23A5-46C2-92CB-618B0DDEBCA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397-40D5-8960-8F1364A5EBDA}"/>
                </c:ext>
              </c:extLst>
            </c:dLbl>
            <c:dLbl>
              <c:idx val="6"/>
              <c:tx>
                <c:rich>
                  <a:bodyPr/>
                  <a:lstStyle/>
                  <a:p>
                    <a:fld id="{0743E330-2D4D-42A9-AD20-F42F26F79A7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397-40D5-8960-8F1364A5EBDA}"/>
                </c:ext>
              </c:extLst>
            </c:dLbl>
            <c:dLbl>
              <c:idx val="7"/>
              <c:tx>
                <c:rich>
                  <a:bodyPr/>
                  <a:lstStyle/>
                  <a:p>
                    <a:fld id="{F585FDC6-5A00-433E-90B4-A799603CF4C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397-40D5-8960-8F1364A5EBDA}"/>
                </c:ext>
              </c:extLst>
            </c:dLbl>
            <c:dLbl>
              <c:idx val="8"/>
              <c:tx>
                <c:rich>
                  <a:bodyPr/>
                  <a:lstStyle/>
                  <a:p>
                    <a:fld id="{6CA66A48-B0DE-43FE-AACA-B1146F221D9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397-40D5-8960-8F1364A5EBDA}"/>
                </c:ext>
              </c:extLst>
            </c:dLbl>
            <c:dLbl>
              <c:idx val="9"/>
              <c:tx>
                <c:rich>
                  <a:bodyPr/>
                  <a:lstStyle/>
                  <a:p>
                    <a:fld id="{12EA94A5-BFE2-47C4-9580-ED6E1A8DBCA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397-40D5-8960-8F1364A5EBDA}"/>
                </c:ext>
              </c:extLst>
            </c:dLbl>
            <c:dLbl>
              <c:idx val="10"/>
              <c:tx>
                <c:rich>
                  <a:bodyPr/>
                  <a:lstStyle/>
                  <a:p>
                    <a:fld id="{DED81150-2D70-404E-9815-38C57696A2B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397-40D5-8960-8F1364A5EBDA}"/>
                </c:ext>
              </c:extLst>
            </c:dLbl>
            <c:dLbl>
              <c:idx val="11"/>
              <c:tx>
                <c:rich>
                  <a:bodyPr/>
                  <a:lstStyle/>
                  <a:p>
                    <a:fld id="{F7B86D80-D4DB-49F7-8C79-657CD72440A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397-40D5-8960-8F1364A5EBDA}"/>
                </c:ext>
              </c:extLst>
            </c:dLbl>
            <c:dLbl>
              <c:idx val="12"/>
              <c:tx>
                <c:rich>
                  <a:bodyPr/>
                  <a:lstStyle/>
                  <a:p>
                    <a:fld id="{462888B5-8B25-40D0-8D1A-720922ACD86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397-40D5-8960-8F1364A5EBDA}"/>
                </c:ext>
              </c:extLst>
            </c:dLbl>
            <c:dLbl>
              <c:idx val="13"/>
              <c:tx>
                <c:rich>
                  <a:bodyPr/>
                  <a:lstStyle/>
                  <a:p>
                    <a:fld id="{5A010632-8E5F-47C0-97D6-451601FC333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397-40D5-8960-8F1364A5EBDA}"/>
                </c:ext>
              </c:extLst>
            </c:dLbl>
            <c:dLbl>
              <c:idx val="14"/>
              <c:tx>
                <c:rich>
                  <a:bodyPr/>
                  <a:lstStyle/>
                  <a:p>
                    <a:fld id="{DD6B35B1-965B-47A1-AC8D-C854F807F3A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397-40D5-8960-8F1364A5EBDA}"/>
                </c:ext>
              </c:extLst>
            </c:dLbl>
            <c:dLbl>
              <c:idx val="15"/>
              <c:tx>
                <c:rich>
                  <a:bodyPr/>
                  <a:lstStyle/>
                  <a:p>
                    <a:fld id="{B7BDEF4A-3562-45C6-BEB8-B74694C2679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397-40D5-8960-8F1364A5EBDA}"/>
                </c:ext>
              </c:extLst>
            </c:dLbl>
            <c:dLbl>
              <c:idx val="16"/>
              <c:tx>
                <c:rich>
                  <a:bodyPr/>
                  <a:lstStyle/>
                  <a:p>
                    <a:fld id="{BCA3238A-9173-4BBC-A75C-522736126CF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397-40D5-8960-8F1364A5EBD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'ALM-VAR-EDAD'!$A$37:$A$53</c:f>
              <c:strCache>
                <c:ptCount val="17"/>
                <c:pt idx="0">
                  <c:v>GUARA</c:v>
                </c:pt>
                <c:pt idx="1">
                  <c:v>LAURANNE/AVIJOR</c:v>
                </c:pt>
                <c:pt idx="2">
                  <c:v>VAIRO</c:v>
                </c:pt>
                <c:pt idx="3">
                  <c:v>COMUNA</c:v>
                </c:pt>
                <c:pt idx="4">
                  <c:v>SOLETA</c:v>
                </c:pt>
                <c:pt idx="5">
                  <c:v>MARINADA</c:v>
                </c:pt>
                <c:pt idx="6">
                  <c:v>PENTACEBAS CSIC</c:v>
                </c:pt>
                <c:pt idx="7">
                  <c:v>LARGUETA</c:v>
                </c:pt>
                <c:pt idx="8">
                  <c:v>MARCONA</c:v>
                </c:pt>
                <c:pt idx="9">
                  <c:v>ANTOÑETA</c:v>
                </c:pt>
                <c:pt idx="10">
                  <c:v>FERRAGNES</c:v>
                </c:pt>
                <c:pt idx="11">
                  <c:v>ISABELONA</c:v>
                </c:pt>
                <c:pt idx="12">
                  <c:v>FERRADUEL</c:v>
                </c:pt>
                <c:pt idx="13">
                  <c:v>CONSTANTI</c:v>
                </c:pt>
                <c:pt idx="14">
                  <c:v>MARTA</c:v>
                </c:pt>
                <c:pt idx="15">
                  <c:v>NON PAREIL</c:v>
                </c:pt>
                <c:pt idx="16">
                  <c:v>DESMAYO ROJO</c:v>
                </c:pt>
              </c:strCache>
            </c:strRef>
          </c:cat>
          <c:val>
            <c:numRef>
              <c:f>'ALM-VAR-EDAD'!$B$37:$B$53</c:f>
              <c:numCache>
                <c:formatCode>#,##0</c:formatCode>
                <c:ptCount val="17"/>
                <c:pt idx="0">
                  <c:v>22202.78000000001</c:v>
                </c:pt>
                <c:pt idx="1">
                  <c:v>15522.32</c:v>
                </c:pt>
                <c:pt idx="2">
                  <c:v>6900.26</c:v>
                </c:pt>
                <c:pt idx="3">
                  <c:v>5681.3000000000075</c:v>
                </c:pt>
                <c:pt idx="4">
                  <c:v>5188.07</c:v>
                </c:pt>
                <c:pt idx="5">
                  <c:v>4636.1500000000005</c:v>
                </c:pt>
                <c:pt idx="6">
                  <c:v>3142.1699999999996</c:v>
                </c:pt>
                <c:pt idx="7">
                  <c:v>2548.9700000000003</c:v>
                </c:pt>
                <c:pt idx="8">
                  <c:v>2465.2599999999952</c:v>
                </c:pt>
                <c:pt idx="9">
                  <c:v>2188.2599999999998</c:v>
                </c:pt>
                <c:pt idx="10">
                  <c:v>2180.7599999999993</c:v>
                </c:pt>
                <c:pt idx="11">
                  <c:v>2000.6400000000003</c:v>
                </c:pt>
                <c:pt idx="12">
                  <c:v>1530.35</c:v>
                </c:pt>
                <c:pt idx="13">
                  <c:v>1153.1199999999997</c:v>
                </c:pt>
                <c:pt idx="14">
                  <c:v>894.03</c:v>
                </c:pt>
                <c:pt idx="15">
                  <c:v>515.01</c:v>
                </c:pt>
                <c:pt idx="16">
                  <c:v>215.25999999999996</c:v>
                </c:pt>
              </c:numCache>
            </c:numRef>
          </c:val>
          <c:extLst>
            <c:ext xmlns:c15="http://schemas.microsoft.com/office/drawing/2012/chart" uri="{02D57815-91ED-43cb-92C2-25804820EDAC}">
              <c15:datalabelsRange>
                <c15:f>'ALM-VAR-EDAD'!$C$37:$C$53</c15:f>
                <c15:dlblRangeCache>
                  <c:ptCount val="17"/>
                  <c:pt idx="0">
                    <c:v>27%</c:v>
                  </c:pt>
                  <c:pt idx="1">
                    <c:v>19%</c:v>
                  </c:pt>
                  <c:pt idx="2">
                    <c:v>8%</c:v>
                  </c:pt>
                  <c:pt idx="3">
                    <c:v>7%</c:v>
                  </c:pt>
                  <c:pt idx="4">
                    <c:v>6%</c:v>
                  </c:pt>
                  <c:pt idx="5">
                    <c:v>6%</c:v>
                  </c:pt>
                  <c:pt idx="6">
                    <c:v>4%</c:v>
                  </c:pt>
                  <c:pt idx="7">
                    <c:v>3%</c:v>
                  </c:pt>
                  <c:pt idx="8">
                    <c:v>3%</c:v>
                  </c:pt>
                  <c:pt idx="9">
                    <c:v>3%</c:v>
                  </c:pt>
                  <c:pt idx="10">
                    <c:v>3%</c:v>
                  </c:pt>
                  <c:pt idx="11">
                    <c:v>2%</c:v>
                  </c:pt>
                  <c:pt idx="12">
                    <c:v>2%</c:v>
                  </c:pt>
                  <c:pt idx="13">
                    <c:v>1%</c:v>
                  </c:pt>
                  <c:pt idx="14">
                    <c:v>1%</c:v>
                  </c:pt>
                  <c:pt idx="15">
                    <c:v>1%</c:v>
                  </c:pt>
                  <c:pt idx="16">
                    <c:v>0,3%</c:v>
                  </c:pt>
                </c15:dlblRangeCache>
              </c15:datalabelsRange>
            </c:ext>
            <c:ext xmlns:c16="http://schemas.microsoft.com/office/drawing/2014/chart" uri="{C3380CC4-5D6E-409C-BE32-E72D297353CC}">
              <c16:uniqueId val="{00000012-1397-40D5-8960-8F1364A5EBDA}"/>
            </c:ext>
          </c:extLst>
        </c:ser>
        <c:dLbls>
          <c:showLegendKey val="0"/>
          <c:showVal val="0"/>
          <c:showCatName val="0"/>
          <c:showSerName val="0"/>
          <c:showPercent val="0"/>
          <c:showBubbleSize val="0"/>
        </c:dLbls>
        <c:gapWidth val="219"/>
        <c:overlap val="-27"/>
        <c:axId val="154698640"/>
        <c:axId val="154717136"/>
      </c:barChart>
      <c:catAx>
        <c:axId val="154698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717136"/>
        <c:crosses val="autoZero"/>
        <c:auto val="1"/>
        <c:lblAlgn val="ctr"/>
        <c:lblOffset val="100"/>
        <c:noMultiLvlLbl val="0"/>
      </c:catAx>
      <c:valAx>
        <c:axId val="154717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698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ALMENDRA: Regadío</a:t>
            </a:r>
          </a:p>
          <a:p>
            <a:pPr>
              <a:defRPr sz="1400" b="0" i="0" u="none" strike="noStrike" kern="1200" spc="0" baseline="0">
                <a:solidFill>
                  <a:sysClr val="windowText" lastClr="000000"/>
                </a:solidFill>
                <a:latin typeface="+mn-lt"/>
                <a:ea typeface="+mn-ea"/>
                <a:cs typeface="+mn-cs"/>
              </a:defRPr>
            </a:pPr>
            <a:r>
              <a:rPr lang="en-US"/>
              <a:t>Plantaciones jovénes por variedad (2019-21)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'ALM-VAR-EDAD'!$A$34</c:f>
              <c:strCache>
                <c:ptCount val="1"/>
                <c:pt idx="0">
                  <c:v>ALMENDRA: Regadío</c:v>
                </c:pt>
              </c:strCache>
            </c:strRef>
          </c:tx>
          <c:spPr>
            <a:solidFill>
              <a:schemeClr val="accent1"/>
            </a:solidFill>
            <a:ln>
              <a:solidFill>
                <a:schemeClr val="accent1">
                  <a:lumMod val="75000"/>
                </a:schemeClr>
              </a:solidFill>
            </a:ln>
            <a:effectLst/>
          </c:spPr>
          <c:invertIfNegative val="0"/>
          <c:dPt>
            <c:idx val="0"/>
            <c:invertIfNegative val="0"/>
            <c:bubble3D val="0"/>
            <c:spPr>
              <a:solidFill>
                <a:schemeClr val="accent1">
                  <a:lumMod val="50000"/>
                </a:schemeClr>
              </a:solidFill>
              <a:ln>
                <a:solidFill>
                  <a:schemeClr val="accent1">
                    <a:lumMod val="75000"/>
                  </a:schemeClr>
                </a:solidFill>
              </a:ln>
              <a:effectLst/>
            </c:spPr>
            <c:extLst>
              <c:ext xmlns:c16="http://schemas.microsoft.com/office/drawing/2014/chart" uri="{C3380CC4-5D6E-409C-BE32-E72D297353CC}">
                <c16:uniqueId val="{00000000-D261-4C9F-9DE1-750C5FF7DB8F}"/>
              </c:ext>
            </c:extLst>
          </c:dPt>
          <c:dPt>
            <c:idx val="1"/>
            <c:invertIfNegative val="0"/>
            <c:bubble3D val="0"/>
            <c:spPr>
              <a:solidFill>
                <a:schemeClr val="accent2">
                  <a:lumMod val="75000"/>
                </a:schemeClr>
              </a:solidFill>
              <a:ln>
                <a:solidFill>
                  <a:schemeClr val="accent1">
                    <a:lumMod val="75000"/>
                  </a:schemeClr>
                </a:solidFill>
              </a:ln>
              <a:effectLst/>
            </c:spPr>
            <c:extLst>
              <c:ext xmlns:c16="http://schemas.microsoft.com/office/drawing/2014/chart" uri="{C3380CC4-5D6E-409C-BE32-E72D297353CC}">
                <c16:uniqueId val="{00000001-D261-4C9F-9DE1-750C5FF7DB8F}"/>
              </c:ext>
            </c:extLst>
          </c:dPt>
          <c:dPt>
            <c:idx val="2"/>
            <c:invertIfNegative val="0"/>
            <c:bubble3D val="0"/>
            <c:spPr>
              <a:solidFill>
                <a:schemeClr val="accent1">
                  <a:lumMod val="50000"/>
                </a:schemeClr>
              </a:solidFill>
              <a:ln>
                <a:solidFill>
                  <a:schemeClr val="accent1">
                    <a:lumMod val="75000"/>
                  </a:schemeClr>
                </a:solidFill>
              </a:ln>
              <a:effectLst/>
            </c:spPr>
            <c:extLst>
              <c:ext xmlns:c16="http://schemas.microsoft.com/office/drawing/2014/chart" uri="{C3380CC4-5D6E-409C-BE32-E72D297353CC}">
                <c16:uniqueId val="{00000002-D261-4C9F-9DE1-750C5FF7DB8F}"/>
              </c:ext>
            </c:extLst>
          </c:dPt>
          <c:dPt>
            <c:idx val="3"/>
            <c:invertIfNegative val="0"/>
            <c:bubble3D val="0"/>
            <c:spPr>
              <a:solidFill>
                <a:schemeClr val="accent2">
                  <a:lumMod val="75000"/>
                </a:schemeClr>
              </a:solidFill>
              <a:ln>
                <a:solidFill>
                  <a:schemeClr val="accent1">
                    <a:lumMod val="75000"/>
                  </a:schemeClr>
                </a:solidFill>
              </a:ln>
              <a:effectLst/>
            </c:spPr>
            <c:extLst>
              <c:ext xmlns:c16="http://schemas.microsoft.com/office/drawing/2014/chart" uri="{C3380CC4-5D6E-409C-BE32-E72D297353CC}">
                <c16:uniqueId val="{00000003-D261-4C9F-9DE1-750C5FF7DB8F}"/>
              </c:ext>
            </c:extLst>
          </c:dPt>
          <c:dPt>
            <c:idx val="4"/>
            <c:invertIfNegative val="0"/>
            <c:bubble3D val="0"/>
            <c:spPr>
              <a:solidFill>
                <a:schemeClr val="accent2">
                  <a:lumMod val="75000"/>
                </a:schemeClr>
              </a:solidFill>
              <a:ln>
                <a:solidFill>
                  <a:schemeClr val="accent1">
                    <a:lumMod val="75000"/>
                  </a:schemeClr>
                </a:solidFill>
              </a:ln>
              <a:effectLst/>
            </c:spPr>
            <c:extLst>
              <c:ext xmlns:c16="http://schemas.microsoft.com/office/drawing/2014/chart" uri="{C3380CC4-5D6E-409C-BE32-E72D297353CC}">
                <c16:uniqueId val="{00000004-D261-4C9F-9DE1-750C5FF7DB8F}"/>
              </c:ext>
            </c:extLst>
          </c:dPt>
          <c:dPt>
            <c:idx val="5"/>
            <c:invertIfNegative val="0"/>
            <c:bubble3D val="0"/>
            <c:spPr>
              <a:solidFill>
                <a:srgbClr val="D7AE85"/>
              </a:solidFill>
              <a:ln>
                <a:solidFill>
                  <a:schemeClr val="accent1">
                    <a:lumMod val="75000"/>
                  </a:schemeClr>
                </a:solidFill>
              </a:ln>
              <a:effectLst/>
            </c:spPr>
            <c:extLst>
              <c:ext xmlns:c16="http://schemas.microsoft.com/office/drawing/2014/chart" uri="{C3380CC4-5D6E-409C-BE32-E72D297353CC}">
                <c16:uniqueId val="{00000005-D261-4C9F-9DE1-750C5FF7DB8F}"/>
              </c:ext>
            </c:extLst>
          </c:dPt>
          <c:dPt>
            <c:idx val="6"/>
            <c:invertIfNegative val="0"/>
            <c:bubble3D val="0"/>
            <c:spPr>
              <a:solidFill>
                <a:srgbClr val="FFC000"/>
              </a:solidFill>
              <a:ln>
                <a:solidFill>
                  <a:schemeClr val="accent1">
                    <a:lumMod val="75000"/>
                  </a:schemeClr>
                </a:solidFill>
              </a:ln>
              <a:effectLst/>
            </c:spPr>
            <c:extLst>
              <c:ext xmlns:c16="http://schemas.microsoft.com/office/drawing/2014/chart" uri="{C3380CC4-5D6E-409C-BE32-E72D297353CC}">
                <c16:uniqueId val="{00000006-D261-4C9F-9DE1-750C5FF7DB8F}"/>
              </c:ext>
            </c:extLst>
          </c:dPt>
          <c:dPt>
            <c:idx val="7"/>
            <c:invertIfNegative val="0"/>
            <c:bubble3D val="0"/>
            <c:spPr>
              <a:solidFill>
                <a:schemeClr val="accent1">
                  <a:lumMod val="50000"/>
                </a:schemeClr>
              </a:solidFill>
              <a:ln>
                <a:solidFill>
                  <a:schemeClr val="accent1">
                    <a:lumMod val="75000"/>
                  </a:schemeClr>
                </a:solidFill>
              </a:ln>
              <a:effectLst/>
            </c:spPr>
            <c:extLst>
              <c:ext xmlns:c16="http://schemas.microsoft.com/office/drawing/2014/chart" uri="{C3380CC4-5D6E-409C-BE32-E72D297353CC}">
                <c16:uniqueId val="{00000007-D261-4C9F-9DE1-750C5FF7DB8F}"/>
              </c:ext>
            </c:extLst>
          </c:dPt>
          <c:dPt>
            <c:idx val="8"/>
            <c:invertIfNegative val="0"/>
            <c:bubble3D val="0"/>
            <c:spPr>
              <a:solidFill>
                <a:schemeClr val="accent2">
                  <a:lumMod val="75000"/>
                </a:schemeClr>
              </a:solidFill>
              <a:ln>
                <a:solidFill>
                  <a:schemeClr val="accent1">
                    <a:lumMod val="75000"/>
                  </a:schemeClr>
                </a:solidFill>
              </a:ln>
              <a:effectLst/>
            </c:spPr>
            <c:extLst>
              <c:ext xmlns:c16="http://schemas.microsoft.com/office/drawing/2014/chart" uri="{C3380CC4-5D6E-409C-BE32-E72D297353CC}">
                <c16:uniqueId val="{00000008-D261-4C9F-9DE1-750C5FF7DB8F}"/>
              </c:ext>
            </c:extLst>
          </c:dPt>
          <c:dPt>
            <c:idx val="9"/>
            <c:invertIfNegative val="0"/>
            <c:bubble3D val="0"/>
            <c:spPr>
              <a:solidFill>
                <a:schemeClr val="accent2">
                  <a:lumMod val="50000"/>
                </a:schemeClr>
              </a:solidFill>
              <a:ln>
                <a:solidFill>
                  <a:schemeClr val="accent1">
                    <a:lumMod val="75000"/>
                  </a:schemeClr>
                </a:solidFill>
              </a:ln>
              <a:effectLst/>
            </c:spPr>
            <c:extLst>
              <c:ext xmlns:c16="http://schemas.microsoft.com/office/drawing/2014/chart" uri="{C3380CC4-5D6E-409C-BE32-E72D297353CC}">
                <c16:uniqueId val="{00000009-D261-4C9F-9DE1-750C5FF7DB8F}"/>
              </c:ext>
            </c:extLst>
          </c:dPt>
          <c:dPt>
            <c:idx val="10"/>
            <c:invertIfNegative val="0"/>
            <c:bubble3D val="0"/>
            <c:spPr>
              <a:solidFill>
                <a:srgbClr val="FFC000"/>
              </a:solidFill>
              <a:ln>
                <a:solidFill>
                  <a:schemeClr val="accent1">
                    <a:lumMod val="75000"/>
                  </a:schemeClr>
                </a:solidFill>
              </a:ln>
              <a:effectLst/>
            </c:spPr>
            <c:extLst>
              <c:ext xmlns:c16="http://schemas.microsoft.com/office/drawing/2014/chart" uri="{C3380CC4-5D6E-409C-BE32-E72D297353CC}">
                <c16:uniqueId val="{0000000A-D261-4C9F-9DE1-750C5FF7DB8F}"/>
              </c:ext>
            </c:extLst>
          </c:dPt>
          <c:dPt>
            <c:idx val="11"/>
            <c:invertIfNegative val="0"/>
            <c:bubble3D val="0"/>
            <c:spPr>
              <a:solidFill>
                <a:srgbClr val="FFC000"/>
              </a:solidFill>
              <a:ln>
                <a:solidFill>
                  <a:schemeClr val="accent1">
                    <a:lumMod val="75000"/>
                  </a:schemeClr>
                </a:solidFill>
              </a:ln>
              <a:effectLst/>
            </c:spPr>
            <c:extLst>
              <c:ext xmlns:c16="http://schemas.microsoft.com/office/drawing/2014/chart" uri="{C3380CC4-5D6E-409C-BE32-E72D297353CC}">
                <c16:uniqueId val="{0000000B-D261-4C9F-9DE1-750C5FF7DB8F}"/>
              </c:ext>
            </c:extLst>
          </c:dPt>
          <c:dPt>
            <c:idx val="12"/>
            <c:invertIfNegative val="0"/>
            <c:bubble3D val="0"/>
            <c:spPr>
              <a:solidFill>
                <a:schemeClr val="accent2">
                  <a:lumMod val="50000"/>
                </a:schemeClr>
              </a:solidFill>
              <a:ln>
                <a:solidFill>
                  <a:schemeClr val="accent1">
                    <a:lumMod val="75000"/>
                  </a:schemeClr>
                </a:solidFill>
              </a:ln>
              <a:effectLst/>
            </c:spPr>
            <c:extLst>
              <c:ext xmlns:c16="http://schemas.microsoft.com/office/drawing/2014/chart" uri="{C3380CC4-5D6E-409C-BE32-E72D297353CC}">
                <c16:uniqueId val="{0000000C-D261-4C9F-9DE1-750C5FF7DB8F}"/>
              </c:ext>
            </c:extLst>
          </c:dPt>
          <c:dPt>
            <c:idx val="13"/>
            <c:invertIfNegative val="0"/>
            <c:bubble3D val="0"/>
            <c:spPr>
              <a:solidFill>
                <a:schemeClr val="accent1">
                  <a:lumMod val="50000"/>
                </a:schemeClr>
              </a:solidFill>
              <a:ln>
                <a:solidFill>
                  <a:schemeClr val="accent1">
                    <a:lumMod val="75000"/>
                  </a:schemeClr>
                </a:solidFill>
              </a:ln>
              <a:effectLst/>
            </c:spPr>
            <c:extLst>
              <c:ext xmlns:c16="http://schemas.microsoft.com/office/drawing/2014/chart" uri="{C3380CC4-5D6E-409C-BE32-E72D297353CC}">
                <c16:uniqueId val="{0000000D-D261-4C9F-9DE1-750C5FF7DB8F}"/>
              </c:ext>
            </c:extLst>
          </c:dPt>
          <c:dLbls>
            <c:dLbl>
              <c:idx val="0"/>
              <c:tx>
                <c:rich>
                  <a:bodyPr/>
                  <a:lstStyle/>
                  <a:p>
                    <a:fld id="{2FF75A11-78D3-4072-8A47-EA01BAEA372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261-4C9F-9DE1-750C5FF7DB8F}"/>
                </c:ext>
              </c:extLst>
            </c:dLbl>
            <c:dLbl>
              <c:idx val="1"/>
              <c:tx>
                <c:rich>
                  <a:bodyPr/>
                  <a:lstStyle/>
                  <a:p>
                    <a:fld id="{44BF9EB0-AE1F-49B9-945B-1CDFBC239BB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261-4C9F-9DE1-750C5FF7DB8F}"/>
                </c:ext>
              </c:extLst>
            </c:dLbl>
            <c:dLbl>
              <c:idx val="2"/>
              <c:tx>
                <c:rich>
                  <a:bodyPr/>
                  <a:lstStyle/>
                  <a:p>
                    <a:fld id="{C3303C2F-427E-4D20-B74C-379BA618A9D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261-4C9F-9DE1-750C5FF7DB8F}"/>
                </c:ext>
              </c:extLst>
            </c:dLbl>
            <c:dLbl>
              <c:idx val="3"/>
              <c:tx>
                <c:rich>
                  <a:bodyPr/>
                  <a:lstStyle/>
                  <a:p>
                    <a:fld id="{FED786A0-F34F-4A3F-ACF0-9199C9CD4AF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61-4C9F-9DE1-750C5FF7DB8F}"/>
                </c:ext>
              </c:extLst>
            </c:dLbl>
            <c:dLbl>
              <c:idx val="4"/>
              <c:tx>
                <c:rich>
                  <a:bodyPr/>
                  <a:lstStyle/>
                  <a:p>
                    <a:fld id="{B92FD7EE-D5F9-49FB-89C2-3F909D54476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61-4C9F-9DE1-750C5FF7DB8F}"/>
                </c:ext>
              </c:extLst>
            </c:dLbl>
            <c:dLbl>
              <c:idx val="5"/>
              <c:tx>
                <c:rich>
                  <a:bodyPr/>
                  <a:lstStyle/>
                  <a:p>
                    <a:fld id="{B3F1C4A2-3877-4D88-B53C-B7C22FC6539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261-4C9F-9DE1-750C5FF7DB8F}"/>
                </c:ext>
              </c:extLst>
            </c:dLbl>
            <c:dLbl>
              <c:idx val="6"/>
              <c:tx>
                <c:rich>
                  <a:bodyPr/>
                  <a:lstStyle/>
                  <a:p>
                    <a:fld id="{27EB918B-ABD1-4CA5-BA86-6741A36668C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261-4C9F-9DE1-750C5FF7DB8F}"/>
                </c:ext>
              </c:extLst>
            </c:dLbl>
            <c:dLbl>
              <c:idx val="7"/>
              <c:tx>
                <c:rich>
                  <a:bodyPr/>
                  <a:lstStyle/>
                  <a:p>
                    <a:fld id="{3A94564E-37B8-4AF7-9945-04606E0C976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61-4C9F-9DE1-750C5FF7DB8F}"/>
                </c:ext>
              </c:extLst>
            </c:dLbl>
            <c:dLbl>
              <c:idx val="8"/>
              <c:tx>
                <c:rich>
                  <a:bodyPr/>
                  <a:lstStyle/>
                  <a:p>
                    <a:fld id="{235C559B-68BA-42A8-ADF0-F515D0225D9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261-4C9F-9DE1-750C5FF7DB8F}"/>
                </c:ext>
              </c:extLst>
            </c:dLbl>
            <c:dLbl>
              <c:idx val="9"/>
              <c:tx>
                <c:rich>
                  <a:bodyPr/>
                  <a:lstStyle/>
                  <a:p>
                    <a:fld id="{0A39AB6A-CFFF-4E43-A345-3265760BB98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261-4C9F-9DE1-750C5FF7DB8F}"/>
                </c:ext>
              </c:extLst>
            </c:dLbl>
            <c:dLbl>
              <c:idx val="10"/>
              <c:tx>
                <c:rich>
                  <a:bodyPr/>
                  <a:lstStyle/>
                  <a:p>
                    <a:fld id="{9F8D8E4E-8671-4804-BD30-231F7A87E25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261-4C9F-9DE1-750C5FF7DB8F}"/>
                </c:ext>
              </c:extLst>
            </c:dLbl>
            <c:dLbl>
              <c:idx val="11"/>
              <c:tx>
                <c:rich>
                  <a:bodyPr/>
                  <a:lstStyle/>
                  <a:p>
                    <a:fld id="{D216F35A-3DA1-42E5-8B08-40B105DB068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261-4C9F-9DE1-750C5FF7DB8F}"/>
                </c:ext>
              </c:extLst>
            </c:dLbl>
            <c:dLbl>
              <c:idx val="12"/>
              <c:tx>
                <c:rich>
                  <a:bodyPr/>
                  <a:lstStyle/>
                  <a:p>
                    <a:fld id="{588F8D57-0D8C-41D1-B7B1-36CB110CD48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261-4C9F-9DE1-750C5FF7DB8F}"/>
                </c:ext>
              </c:extLst>
            </c:dLbl>
            <c:dLbl>
              <c:idx val="13"/>
              <c:tx>
                <c:rich>
                  <a:bodyPr/>
                  <a:lstStyle/>
                  <a:p>
                    <a:fld id="{D0257A61-14C2-4D37-9D03-EA9151E68BB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261-4C9F-9DE1-750C5FF7DB8F}"/>
                </c:ext>
              </c:extLst>
            </c:dLbl>
            <c:dLbl>
              <c:idx val="14"/>
              <c:tx>
                <c:rich>
                  <a:bodyPr/>
                  <a:lstStyle/>
                  <a:p>
                    <a:fld id="{E4A83AB3-02FB-449C-B834-4D10DE27E69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261-4C9F-9DE1-750C5FF7DB8F}"/>
                </c:ext>
              </c:extLst>
            </c:dLbl>
            <c:dLbl>
              <c:idx val="15"/>
              <c:tx>
                <c:rich>
                  <a:bodyPr/>
                  <a:lstStyle/>
                  <a:p>
                    <a:fld id="{765ABD9E-E832-4BF1-80CF-1C75060119A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61-4C9F-9DE1-750C5FF7DB8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'ALM-VAR-EDAD'!$D$37:$D$53</c15:sqref>
                  </c15:fullRef>
                </c:ext>
              </c:extLst>
              <c:f>'ALM-VAR-EDAD'!$D$37:$D$52</c:f>
              <c:strCache>
                <c:ptCount val="16"/>
                <c:pt idx="0">
                  <c:v>LAURANNE/AVIJOR</c:v>
                </c:pt>
                <c:pt idx="1">
                  <c:v>GUARA</c:v>
                </c:pt>
                <c:pt idx="2">
                  <c:v>PENTACEBAS CSIC</c:v>
                </c:pt>
                <c:pt idx="3">
                  <c:v>MARINADA</c:v>
                </c:pt>
                <c:pt idx="4">
                  <c:v>VAIRO</c:v>
                </c:pt>
                <c:pt idx="5">
                  <c:v>SOLETA</c:v>
                </c:pt>
                <c:pt idx="6">
                  <c:v>ISABELONA</c:v>
                </c:pt>
                <c:pt idx="7">
                  <c:v>MARTA</c:v>
                </c:pt>
                <c:pt idx="8">
                  <c:v>CONSTANTI</c:v>
                </c:pt>
                <c:pt idx="9">
                  <c:v>COMUNA</c:v>
                </c:pt>
                <c:pt idx="10">
                  <c:v>ANTOÑETA</c:v>
                </c:pt>
                <c:pt idx="11">
                  <c:v>MARCONA</c:v>
                </c:pt>
                <c:pt idx="12">
                  <c:v>LARGUETA</c:v>
                </c:pt>
                <c:pt idx="13">
                  <c:v>FERRAGNES</c:v>
                </c:pt>
                <c:pt idx="14">
                  <c:v>FERRADUEL</c:v>
                </c:pt>
                <c:pt idx="15">
                  <c:v>DESMAYO ROJO</c:v>
                </c:pt>
              </c:strCache>
            </c:strRef>
          </c:cat>
          <c:val>
            <c:numRef>
              <c:extLst>
                <c:ext xmlns:c15="http://schemas.microsoft.com/office/drawing/2012/chart" uri="{02D57815-91ED-43cb-92C2-25804820EDAC}">
                  <c15:fullRef>
                    <c15:sqref>'ALM-VAR-EDAD'!$E$37:$E$53</c15:sqref>
                  </c15:fullRef>
                </c:ext>
              </c:extLst>
              <c:f>'ALM-VAR-EDAD'!$E$37:$E$52</c:f>
              <c:numCache>
                <c:formatCode>#,##0</c:formatCode>
                <c:ptCount val="16"/>
                <c:pt idx="0">
                  <c:v>15283.53</c:v>
                </c:pt>
                <c:pt idx="1">
                  <c:v>3310.5000000000009</c:v>
                </c:pt>
                <c:pt idx="2">
                  <c:v>3066.0199999999995</c:v>
                </c:pt>
                <c:pt idx="3">
                  <c:v>2809.9400000000005</c:v>
                </c:pt>
                <c:pt idx="4">
                  <c:v>2185.2499999999995</c:v>
                </c:pt>
                <c:pt idx="5">
                  <c:v>1395.7600000000002</c:v>
                </c:pt>
                <c:pt idx="6">
                  <c:v>705.63999999999976</c:v>
                </c:pt>
                <c:pt idx="7">
                  <c:v>531.2700000000001</c:v>
                </c:pt>
                <c:pt idx="8">
                  <c:v>406.72999999999996</c:v>
                </c:pt>
                <c:pt idx="9">
                  <c:v>376.07999999999993</c:v>
                </c:pt>
                <c:pt idx="10">
                  <c:v>293.86</c:v>
                </c:pt>
                <c:pt idx="11">
                  <c:v>189.23999999999998</c:v>
                </c:pt>
                <c:pt idx="12">
                  <c:v>138.38999999999999</c:v>
                </c:pt>
                <c:pt idx="13">
                  <c:v>65.33</c:v>
                </c:pt>
                <c:pt idx="14">
                  <c:v>23.589999999999996</c:v>
                </c:pt>
                <c:pt idx="15">
                  <c:v>12.08</c:v>
                </c:pt>
              </c:numCache>
            </c:numRef>
          </c:val>
          <c:extLst>
            <c:ext xmlns:c15="http://schemas.microsoft.com/office/drawing/2012/chart" uri="{02D57815-91ED-43cb-92C2-25804820EDAC}">
              <c15:datalabelsRange>
                <c15:f>'ALM-VAR-EDAD'!$F$37:$F$53</c15:f>
                <c15:dlblRangeCache>
                  <c:ptCount val="17"/>
                  <c:pt idx="0">
                    <c:v>48%</c:v>
                  </c:pt>
                  <c:pt idx="1">
                    <c:v>10%</c:v>
                  </c:pt>
                  <c:pt idx="2">
                    <c:v>10%</c:v>
                  </c:pt>
                  <c:pt idx="3">
                    <c:v>9%</c:v>
                  </c:pt>
                  <c:pt idx="4">
                    <c:v>7%</c:v>
                  </c:pt>
                  <c:pt idx="5">
                    <c:v>4%</c:v>
                  </c:pt>
                  <c:pt idx="6">
                    <c:v>2%</c:v>
                  </c:pt>
                  <c:pt idx="7">
                    <c:v>2%</c:v>
                  </c:pt>
                  <c:pt idx="8">
                    <c:v>1%</c:v>
                  </c:pt>
                  <c:pt idx="9">
                    <c:v>1%</c:v>
                  </c:pt>
                  <c:pt idx="10">
                    <c:v>1%</c:v>
                  </c:pt>
                  <c:pt idx="11">
                    <c:v>1%</c:v>
                  </c:pt>
                  <c:pt idx="12">
                    <c:v>0%</c:v>
                  </c:pt>
                  <c:pt idx="13">
                    <c:v>0%</c:v>
                  </c:pt>
                  <c:pt idx="14">
                    <c:v>0%</c:v>
                  </c:pt>
                  <c:pt idx="15">
                    <c:v>0%</c:v>
                  </c:pt>
                  <c:pt idx="16">
                    <c:v>0%</c:v>
                  </c:pt>
                </c15:dlblRangeCache>
              </c15:datalabelsRange>
            </c:ext>
            <c:ext xmlns:c16="http://schemas.microsoft.com/office/drawing/2014/chart" uri="{C3380CC4-5D6E-409C-BE32-E72D297353CC}">
              <c16:uniqueId val="{00000011-D261-4C9F-9DE1-750C5FF7DB8F}"/>
            </c:ext>
          </c:extLst>
        </c:ser>
        <c:dLbls>
          <c:showLegendKey val="0"/>
          <c:showVal val="0"/>
          <c:showCatName val="0"/>
          <c:showSerName val="0"/>
          <c:showPercent val="0"/>
          <c:showBubbleSize val="0"/>
        </c:dLbls>
        <c:gapWidth val="219"/>
        <c:overlap val="-27"/>
        <c:axId val="154716048"/>
        <c:axId val="154699184"/>
      </c:barChart>
      <c:catAx>
        <c:axId val="15471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699184"/>
        <c:crosses val="autoZero"/>
        <c:auto val="1"/>
        <c:lblAlgn val="ctr"/>
        <c:lblOffset val="100"/>
        <c:noMultiLvlLbl val="0"/>
      </c:catAx>
      <c:valAx>
        <c:axId val="154699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716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Secano </a:t>
            </a:r>
          </a:p>
          <a:p>
            <a:pPr>
              <a:defRPr sz="1400" b="0" i="0" u="none" strike="noStrike" kern="1200" spc="0" baseline="0">
                <a:solidFill>
                  <a:sysClr val="windowText" lastClr="000000"/>
                </a:solidFill>
                <a:latin typeface="+mn-lt"/>
                <a:ea typeface="+mn-ea"/>
                <a:cs typeface="+mn-cs"/>
              </a:defRPr>
            </a:pPr>
            <a:r>
              <a:rPr lang="en-US"/>
              <a:t>Plantaciones</a:t>
            </a:r>
            <a:r>
              <a:rPr lang="en-US" baseline="0"/>
              <a:t> en producción por variedad (&gt;2018)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9.6588781451178538E-2"/>
          <c:y val="0.21130220984690581"/>
          <c:w val="0.87952413928714934"/>
          <c:h val="0.54102897162660579"/>
        </c:manualLayout>
      </c:layout>
      <c:barChart>
        <c:barDir val="col"/>
        <c:grouping val="clustered"/>
        <c:varyColors val="0"/>
        <c:ser>
          <c:idx val="0"/>
          <c:order val="0"/>
          <c:tx>
            <c:strRef>
              <c:f>'PIS-VAR-EDAD'!$A$7</c:f>
              <c:strCache>
                <c:ptCount val="1"/>
                <c:pt idx="0">
                  <c:v>PISTACHO: Secano</c:v>
                </c:pt>
              </c:strCache>
            </c:strRef>
          </c:tx>
          <c:spPr>
            <a:solidFill>
              <a:srgbClr val="996633"/>
            </a:solidFill>
            <a:ln>
              <a:solidFill>
                <a:srgbClr val="663300"/>
              </a:solidFill>
            </a:ln>
            <a:effectLst/>
          </c:spPr>
          <c:invertIfNegative val="0"/>
          <c:dLbls>
            <c:dLbl>
              <c:idx val="0"/>
              <c:tx>
                <c:rich>
                  <a:bodyPr/>
                  <a:lstStyle/>
                  <a:p>
                    <a:fld id="{B5DD0EA3-5897-43EE-B5A5-52B8A3BB908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F94-4B8F-8666-5E66B1CFE076}"/>
                </c:ext>
              </c:extLst>
            </c:dLbl>
            <c:dLbl>
              <c:idx val="1"/>
              <c:tx>
                <c:rich>
                  <a:bodyPr/>
                  <a:lstStyle/>
                  <a:p>
                    <a:fld id="{FCE40580-D07C-4304-BA38-C81167B12A9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F94-4B8F-8666-5E66B1CFE076}"/>
                </c:ext>
              </c:extLst>
            </c:dLbl>
            <c:dLbl>
              <c:idx val="2"/>
              <c:tx>
                <c:rich>
                  <a:bodyPr/>
                  <a:lstStyle/>
                  <a:p>
                    <a:fld id="{7A5751C3-196B-4FA0-9521-52A1D5868AF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94-4B8F-8666-5E66B1CFE076}"/>
                </c:ext>
              </c:extLst>
            </c:dLbl>
            <c:dLbl>
              <c:idx val="3"/>
              <c:tx>
                <c:rich>
                  <a:bodyPr/>
                  <a:lstStyle/>
                  <a:p>
                    <a:fld id="{EEA358D0-80E1-4BF0-9634-2F2E4D42B8F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94-4B8F-8666-5E66B1CFE076}"/>
                </c:ext>
              </c:extLst>
            </c:dLbl>
            <c:dLbl>
              <c:idx val="4"/>
              <c:tx>
                <c:rich>
                  <a:bodyPr/>
                  <a:lstStyle/>
                  <a:p>
                    <a:fld id="{8154AF10-83BA-4259-A356-B3DCFCD1074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94-4B8F-8666-5E66B1CFE076}"/>
                </c:ext>
              </c:extLst>
            </c:dLbl>
            <c:dLbl>
              <c:idx val="5"/>
              <c:tx>
                <c:rich>
                  <a:bodyPr/>
                  <a:lstStyle/>
                  <a:p>
                    <a:fld id="{FDA90631-C635-4653-BEF1-CF7CD9BFD25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F94-4B8F-8666-5E66B1CFE076}"/>
                </c:ext>
              </c:extLst>
            </c:dLbl>
            <c:dLbl>
              <c:idx val="6"/>
              <c:tx>
                <c:rich>
                  <a:bodyPr/>
                  <a:lstStyle/>
                  <a:p>
                    <a:fld id="{5DE31F6A-58D2-4131-A8EF-E0DBC8B181A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F94-4B8F-8666-5E66B1CFE076}"/>
                </c:ext>
              </c:extLst>
            </c:dLbl>
            <c:dLbl>
              <c:idx val="7"/>
              <c:tx>
                <c:rich>
                  <a:bodyPr/>
                  <a:lstStyle/>
                  <a:p>
                    <a:fld id="{A9C008AC-4CC6-4516-A028-19B9156AC8FB}"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F94-4B8F-8666-5E66B1CFE076}"/>
                </c:ext>
              </c:extLst>
            </c:dLbl>
            <c:dLbl>
              <c:idx val="8"/>
              <c:tx>
                <c:rich>
                  <a:bodyPr/>
                  <a:lstStyle/>
                  <a:p>
                    <a:fld id="{B6DDF42F-CCE1-4E03-A0EB-696D191F336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F94-4B8F-8666-5E66B1CFE076}"/>
                </c:ext>
              </c:extLst>
            </c:dLbl>
            <c:dLbl>
              <c:idx val="9"/>
              <c:tx>
                <c:rich>
                  <a:bodyPr/>
                  <a:lstStyle/>
                  <a:p>
                    <a:fld id="{5B000A57-04D5-4EEA-972D-7F1604120E0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F94-4B8F-8666-5E66B1CFE07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'PIS-VAR-EDAD'!$A$10:$A$19</c:f>
              <c:strCache>
                <c:ptCount val="10"/>
                <c:pt idx="0">
                  <c:v>KERMAN</c:v>
                </c:pt>
                <c:pt idx="1">
                  <c:v>SIRORA</c:v>
                </c:pt>
                <c:pt idx="2">
                  <c:v>LARNAKA</c:v>
                </c:pt>
                <c:pt idx="3">
                  <c:v>AVDAT</c:v>
                </c:pt>
                <c:pt idx="4">
                  <c:v>MATEUR</c:v>
                </c:pt>
                <c:pt idx="5">
                  <c:v>LOST HILLS</c:v>
                </c:pt>
                <c:pt idx="6">
                  <c:v>AEGINA</c:v>
                </c:pt>
                <c:pt idx="7">
                  <c:v>PETER</c:v>
                </c:pt>
                <c:pt idx="8">
                  <c:v>KASTEL</c:v>
                </c:pt>
                <c:pt idx="9">
                  <c:v>GOLDENS HILLS</c:v>
                </c:pt>
              </c:strCache>
            </c:strRef>
          </c:cat>
          <c:val>
            <c:numRef>
              <c:f>'PIS-VAR-EDAD'!$B$10:$B$19</c:f>
              <c:numCache>
                <c:formatCode>#,##0</c:formatCode>
                <c:ptCount val="10"/>
                <c:pt idx="0">
                  <c:v>11809.500000000005</c:v>
                </c:pt>
                <c:pt idx="1">
                  <c:v>1107.6100000000001</c:v>
                </c:pt>
                <c:pt idx="2">
                  <c:v>449.32000000000005</c:v>
                </c:pt>
                <c:pt idx="3">
                  <c:v>234.69</c:v>
                </c:pt>
                <c:pt idx="4">
                  <c:v>168.44000000000003</c:v>
                </c:pt>
                <c:pt idx="5">
                  <c:v>110.51</c:v>
                </c:pt>
                <c:pt idx="6">
                  <c:v>80.13</c:v>
                </c:pt>
                <c:pt idx="7">
                  <c:v>54.72</c:v>
                </c:pt>
                <c:pt idx="8">
                  <c:v>52.809999999999988</c:v>
                </c:pt>
                <c:pt idx="9">
                  <c:v>42.53</c:v>
                </c:pt>
              </c:numCache>
            </c:numRef>
          </c:val>
          <c:extLst>
            <c:ext xmlns:c15="http://schemas.microsoft.com/office/drawing/2012/chart" uri="{02D57815-91ED-43cb-92C2-25804820EDAC}">
              <c15:datalabelsRange>
                <c15:f>'PIS-VAR-EDAD'!$C$10:$C$19</c15:f>
                <c15:dlblRangeCache>
                  <c:ptCount val="10"/>
                  <c:pt idx="0">
                    <c:v>72%</c:v>
                  </c:pt>
                  <c:pt idx="1">
                    <c:v>7%</c:v>
                  </c:pt>
                  <c:pt idx="2">
                    <c:v>3%</c:v>
                  </c:pt>
                  <c:pt idx="3">
                    <c:v>1%</c:v>
                  </c:pt>
                  <c:pt idx="4">
                    <c:v>1%</c:v>
                  </c:pt>
                  <c:pt idx="5">
                    <c:v>1%</c:v>
                  </c:pt>
                  <c:pt idx="6">
                    <c:v>0%</c:v>
                  </c:pt>
                  <c:pt idx="7">
                    <c:v>0%</c:v>
                  </c:pt>
                  <c:pt idx="8">
                    <c:v>0%</c:v>
                  </c:pt>
                  <c:pt idx="9">
                    <c:v>0%</c:v>
                  </c:pt>
                </c15:dlblRangeCache>
              </c15:datalabelsRange>
            </c:ext>
            <c:ext xmlns:c16="http://schemas.microsoft.com/office/drawing/2014/chart" uri="{C3380CC4-5D6E-409C-BE32-E72D297353CC}">
              <c16:uniqueId val="{0000000A-DF94-4B8F-8666-5E66B1CFE076}"/>
            </c:ext>
          </c:extLst>
        </c:ser>
        <c:dLbls>
          <c:showLegendKey val="0"/>
          <c:showVal val="0"/>
          <c:showCatName val="0"/>
          <c:showSerName val="0"/>
          <c:showPercent val="0"/>
          <c:showBubbleSize val="0"/>
        </c:dLbls>
        <c:gapWidth val="140"/>
        <c:overlap val="-27"/>
        <c:axId val="154699728"/>
        <c:axId val="154708432"/>
      </c:barChart>
      <c:catAx>
        <c:axId val="15469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708432"/>
        <c:crosses val="autoZero"/>
        <c:auto val="1"/>
        <c:lblAlgn val="ctr"/>
        <c:lblOffset val="100"/>
        <c:noMultiLvlLbl val="0"/>
      </c:catAx>
      <c:valAx>
        <c:axId val="15470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69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Secano</a:t>
            </a:r>
          </a:p>
          <a:p>
            <a:pPr>
              <a:defRPr sz="1400" b="0" i="0" u="none" strike="noStrike" kern="1200" spc="0" baseline="0">
                <a:solidFill>
                  <a:sysClr val="windowText" lastClr="000000"/>
                </a:solidFill>
                <a:latin typeface="+mn-lt"/>
                <a:ea typeface="+mn-ea"/>
                <a:cs typeface="+mn-cs"/>
              </a:defRPr>
            </a:pPr>
            <a:r>
              <a:rPr lang="en-US"/>
              <a:t>Plantaciones jóvenes por variedad (2018-21)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'PIS-VAR-EDAD'!$A$7</c:f>
              <c:strCache>
                <c:ptCount val="1"/>
                <c:pt idx="0">
                  <c:v>PISTACHO: Secano</c:v>
                </c:pt>
              </c:strCache>
            </c:strRef>
          </c:tx>
          <c:spPr>
            <a:solidFill>
              <a:srgbClr val="CB9661"/>
            </a:solidFill>
            <a:ln>
              <a:solidFill>
                <a:srgbClr val="996633"/>
              </a:solidFill>
            </a:ln>
            <a:effectLst/>
          </c:spPr>
          <c:invertIfNegative val="0"/>
          <c:dLbls>
            <c:dLbl>
              <c:idx val="0"/>
              <c:tx>
                <c:rich>
                  <a:bodyPr/>
                  <a:lstStyle/>
                  <a:p>
                    <a:fld id="{79FCB5F3-14C0-4498-A40D-FAF6D2FEC56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C3A-46C4-ABF3-B210BDCC1E37}"/>
                </c:ext>
              </c:extLst>
            </c:dLbl>
            <c:dLbl>
              <c:idx val="1"/>
              <c:tx>
                <c:rich>
                  <a:bodyPr/>
                  <a:lstStyle/>
                  <a:p>
                    <a:fld id="{C5280C3B-25B6-4330-BF29-F3B6CE88D10D}"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C3A-46C4-ABF3-B210BDCC1E37}"/>
                </c:ext>
              </c:extLst>
            </c:dLbl>
            <c:dLbl>
              <c:idx val="2"/>
              <c:tx>
                <c:rich>
                  <a:bodyPr/>
                  <a:lstStyle/>
                  <a:p>
                    <a:fld id="{C430C3DA-2E1C-4B61-A050-6BB4EE55FE0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C3A-46C4-ABF3-B210BDCC1E37}"/>
                </c:ext>
              </c:extLst>
            </c:dLbl>
            <c:dLbl>
              <c:idx val="3"/>
              <c:tx>
                <c:rich>
                  <a:bodyPr/>
                  <a:lstStyle/>
                  <a:p>
                    <a:fld id="{2AB56CBB-866A-4E62-B938-C683C693C64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C3A-46C4-ABF3-B210BDCC1E37}"/>
                </c:ext>
              </c:extLst>
            </c:dLbl>
            <c:dLbl>
              <c:idx val="4"/>
              <c:tx>
                <c:rich>
                  <a:bodyPr/>
                  <a:lstStyle/>
                  <a:p>
                    <a:fld id="{1D2AF5EF-9FD7-4BFE-8826-028A9CFE60E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C3A-46C4-ABF3-B210BDCC1E37}"/>
                </c:ext>
              </c:extLst>
            </c:dLbl>
            <c:dLbl>
              <c:idx val="5"/>
              <c:tx>
                <c:rich>
                  <a:bodyPr/>
                  <a:lstStyle/>
                  <a:p>
                    <a:fld id="{0BA7BAB0-DCA4-42FF-B63D-378A6A8EB52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C3A-46C4-ABF3-B210BDCC1E37}"/>
                </c:ext>
              </c:extLst>
            </c:dLbl>
            <c:dLbl>
              <c:idx val="6"/>
              <c:tx>
                <c:rich>
                  <a:bodyPr/>
                  <a:lstStyle/>
                  <a:p>
                    <a:fld id="{DCAB58F3-DF8E-488B-B14C-F5EB8B1A1C2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C3A-46C4-ABF3-B210BDCC1E37}"/>
                </c:ext>
              </c:extLst>
            </c:dLbl>
            <c:dLbl>
              <c:idx val="7"/>
              <c:tx>
                <c:rich>
                  <a:bodyPr/>
                  <a:lstStyle/>
                  <a:p>
                    <a:fld id="{49642435-2894-4E1E-B909-E6150830749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C3A-46C4-ABF3-B210BDCC1E37}"/>
                </c:ext>
              </c:extLst>
            </c:dLbl>
            <c:dLbl>
              <c:idx val="8"/>
              <c:tx>
                <c:rich>
                  <a:bodyPr/>
                  <a:lstStyle/>
                  <a:p>
                    <a:fld id="{9B728873-BA93-42F6-881A-5CC2783DFFA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C3A-46C4-ABF3-B210BDCC1E37}"/>
                </c:ext>
              </c:extLst>
            </c:dLbl>
            <c:dLbl>
              <c:idx val="9"/>
              <c:tx>
                <c:rich>
                  <a:bodyPr/>
                  <a:lstStyle/>
                  <a:p>
                    <a:fld id="{404ADD44-1019-4D6A-B20A-72CFD2549E1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C3A-46C4-ABF3-B210BDCC1E37}"/>
                </c:ext>
              </c:extLst>
            </c:dLbl>
            <c:dLbl>
              <c:idx val="10"/>
              <c:tx>
                <c:rich>
                  <a:bodyPr/>
                  <a:lstStyle/>
                  <a:p>
                    <a:fld id="{23768A62-F185-4FB8-A721-5CF9D1268A5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C3A-46C4-ABF3-B210BDCC1E3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'PIS-VAR-EDAD'!$D$10:$D$20</c:f>
              <c:strCache>
                <c:ptCount val="11"/>
                <c:pt idx="0">
                  <c:v>KERMAN</c:v>
                </c:pt>
                <c:pt idx="1">
                  <c:v>SIRORA</c:v>
                </c:pt>
                <c:pt idx="2">
                  <c:v>LARNAKA</c:v>
                </c:pt>
                <c:pt idx="3">
                  <c:v>LOST HILLS</c:v>
                </c:pt>
                <c:pt idx="4">
                  <c:v>AEGINA</c:v>
                </c:pt>
                <c:pt idx="5">
                  <c:v>PETER</c:v>
                </c:pt>
                <c:pt idx="6">
                  <c:v>KASTEL</c:v>
                </c:pt>
                <c:pt idx="7">
                  <c:v>AVDAT</c:v>
                </c:pt>
                <c:pt idx="8">
                  <c:v>MATEUR</c:v>
                </c:pt>
                <c:pt idx="9">
                  <c:v>GOLDENS HILLS</c:v>
                </c:pt>
                <c:pt idx="10">
                  <c:v>ASKAR</c:v>
                </c:pt>
              </c:strCache>
            </c:strRef>
          </c:cat>
          <c:val>
            <c:numRef>
              <c:f>'PIS-VAR-EDAD'!$E$10:$E$20</c:f>
              <c:numCache>
                <c:formatCode>#,##0</c:formatCode>
                <c:ptCount val="11"/>
                <c:pt idx="0">
                  <c:v>17566.660000000003</c:v>
                </c:pt>
                <c:pt idx="1">
                  <c:v>3304.16</c:v>
                </c:pt>
                <c:pt idx="2">
                  <c:v>1374.91</c:v>
                </c:pt>
                <c:pt idx="3">
                  <c:v>394.10999999999996</c:v>
                </c:pt>
                <c:pt idx="4">
                  <c:v>296.70999999999998</c:v>
                </c:pt>
                <c:pt idx="5">
                  <c:v>202.57</c:v>
                </c:pt>
                <c:pt idx="6">
                  <c:v>124.64</c:v>
                </c:pt>
                <c:pt idx="7">
                  <c:v>100.06</c:v>
                </c:pt>
                <c:pt idx="8">
                  <c:v>63.82</c:v>
                </c:pt>
                <c:pt idx="9">
                  <c:v>51.230000000000004</c:v>
                </c:pt>
                <c:pt idx="10">
                  <c:v>11.97</c:v>
                </c:pt>
              </c:numCache>
            </c:numRef>
          </c:val>
          <c:extLst>
            <c:ext xmlns:c15="http://schemas.microsoft.com/office/drawing/2012/chart" uri="{02D57815-91ED-43cb-92C2-25804820EDAC}">
              <c15:datalabelsRange>
                <c15:f>'PIS-VAR-EDAD'!$F$10:$F$20</c15:f>
                <c15:dlblRangeCache>
                  <c:ptCount val="11"/>
                  <c:pt idx="0">
                    <c:v>64%</c:v>
                  </c:pt>
                  <c:pt idx="1">
                    <c:v>12%</c:v>
                  </c:pt>
                  <c:pt idx="2">
                    <c:v>5%</c:v>
                  </c:pt>
                  <c:pt idx="3">
                    <c:v>1%</c:v>
                  </c:pt>
                  <c:pt idx="4">
                    <c:v>1%</c:v>
                  </c:pt>
                  <c:pt idx="5">
                    <c:v>1%</c:v>
                  </c:pt>
                  <c:pt idx="6">
                    <c:v>0%</c:v>
                  </c:pt>
                  <c:pt idx="7">
                    <c:v>0%</c:v>
                  </c:pt>
                  <c:pt idx="8">
                    <c:v>0%</c:v>
                  </c:pt>
                  <c:pt idx="9">
                    <c:v>0%</c:v>
                  </c:pt>
                  <c:pt idx="10">
                    <c:v>0%</c:v>
                  </c:pt>
                </c15:dlblRangeCache>
              </c15:datalabelsRange>
            </c:ext>
            <c:ext xmlns:c16="http://schemas.microsoft.com/office/drawing/2014/chart" uri="{C3380CC4-5D6E-409C-BE32-E72D297353CC}">
              <c16:uniqueId val="{0000000B-CC3A-46C4-ABF3-B210BDCC1E37}"/>
            </c:ext>
          </c:extLst>
        </c:ser>
        <c:dLbls>
          <c:showLegendKey val="0"/>
          <c:showVal val="0"/>
          <c:showCatName val="0"/>
          <c:showSerName val="0"/>
          <c:showPercent val="0"/>
          <c:showBubbleSize val="0"/>
        </c:dLbls>
        <c:gapWidth val="140"/>
        <c:overlap val="-27"/>
        <c:axId val="154700272"/>
        <c:axId val="154700816"/>
      </c:barChart>
      <c:catAx>
        <c:axId val="1547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700816"/>
        <c:crosses val="autoZero"/>
        <c:auto val="1"/>
        <c:lblAlgn val="ctr"/>
        <c:lblOffset val="100"/>
        <c:noMultiLvlLbl val="0"/>
      </c:catAx>
      <c:valAx>
        <c:axId val="154700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70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Regadío</a:t>
            </a:r>
          </a:p>
          <a:p>
            <a:pPr>
              <a:defRPr sz="1400" b="0" i="0" u="none" strike="noStrike" kern="1200" spc="0" baseline="0">
                <a:solidFill>
                  <a:sysClr val="windowText" lastClr="000000"/>
                </a:solidFill>
                <a:latin typeface="+mn-lt"/>
                <a:ea typeface="+mn-ea"/>
                <a:cs typeface="+mn-cs"/>
              </a:defRPr>
            </a:pPr>
            <a:r>
              <a:rPr lang="en-US"/>
              <a:t>Plantaciones en producción por variedad (&gt;2019)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'PIS-VAR-EDAD'!$A$30</c:f>
              <c:strCache>
                <c:ptCount val="1"/>
                <c:pt idx="0">
                  <c:v>PISTACHO: Regadío</c:v>
                </c:pt>
              </c:strCache>
            </c:strRef>
          </c:tx>
          <c:spPr>
            <a:solidFill>
              <a:schemeClr val="accent5">
                <a:lumMod val="75000"/>
              </a:schemeClr>
            </a:solidFill>
            <a:ln>
              <a:solidFill>
                <a:schemeClr val="accent5">
                  <a:lumMod val="50000"/>
                </a:schemeClr>
              </a:solidFill>
            </a:ln>
            <a:effectLst/>
          </c:spPr>
          <c:invertIfNegative val="0"/>
          <c:dLbls>
            <c:dLbl>
              <c:idx val="0"/>
              <c:tx>
                <c:rich>
                  <a:bodyPr/>
                  <a:lstStyle/>
                  <a:p>
                    <a:fld id="{2400C475-5F8C-4AD7-AA1D-AD5D83B436B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439-4336-AA6D-98B171659BAB}"/>
                </c:ext>
              </c:extLst>
            </c:dLbl>
            <c:dLbl>
              <c:idx val="1"/>
              <c:tx>
                <c:rich>
                  <a:bodyPr/>
                  <a:lstStyle/>
                  <a:p>
                    <a:fld id="{74526069-B4C6-4440-B15C-57F55320265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439-4336-AA6D-98B171659BAB}"/>
                </c:ext>
              </c:extLst>
            </c:dLbl>
            <c:dLbl>
              <c:idx val="2"/>
              <c:tx>
                <c:rich>
                  <a:bodyPr/>
                  <a:lstStyle/>
                  <a:p>
                    <a:fld id="{B1FD2866-783F-4672-B7AF-2074E50E492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439-4336-AA6D-98B171659BAB}"/>
                </c:ext>
              </c:extLst>
            </c:dLbl>
            <c:dLbl>
              <c:idx val="3"/>
              <c:tx>
                <c:rich>
                  <a:bodyPr/>
                  <a:lstStyle/>
                  <a:p>
                    <a:fld id="{63E911C3-9F9D-4C86-876E-D826A7250CC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39-4336-AA6D-98B171659BAB}"/>
                </c:ext>
              </c:extLst>
            </c:dLbl>
            <c:dLbl>
              <c:idx val="4"/>
              <c:tx>
                <c:rich>
                  <a:bodyPr/>
                  <a:lstStyle/>
                  <a:p>
                    <a:fld id="{056D0372-B9BA-4CAA-AB60-FACC9C4EA2F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39-4336-AA6D-98B171659BAB}"/>
                </c:ext>
              </c:extLst>
            </c:dLbl>
            <c:dLbl>
              <c:idx val="5"/>
              <c:tx>
                <c:rich>
                  <a:bodyPr/>
                  <a:lstStyle/>
                  <a:p>
                    <a:fld id="{079A393D-6E9D-4497-93E1-9E17119B3D5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439-4336-AA6D-98B171659BAB}"/>
                </c:ext>
              </c:extLst>
            </c:dLbl>
            <c:dLbl>
              <c:idx val="6"/>
              <c:tx>
                <c:rich>
                  <a:bodyPr/>
                  <a:lstStyle/>
                  <a:p>
                    <a:fld id="{60301ADE-B369-4840-8CAD-ABE46F6F101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439-4336-AA6D-98B171659BAB}"/>
                </c:ext>
              </c:extLst>
            </c:dLbl>
            <c:dLbl>
              <c:idx val="7"/>
              <c:tx>
                <c:rich>
                  <a:bodyPr/>
                  <a:lstStyle/>
                  <a:p>
                    <a:fld id="{8850D5BC-D92F-4436-9A8F-B6CF3620482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439-4336-AA6D-98B171659BAB}"/>
                </c:ext>
              </c:extLst>
            </c:dLbl>
            <c:dLbl>
              <c:idx val="8"/>
              <c:tx>
                <c:rich>
                  <a:bodyPr/>
                  <a:lstStyle/>
                  <a:p>
                    <a:fld id="{A0666808-A9A4-4EE4-A212-3826B94C3D3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439-4336-AA6D-98B171659BAB}"/>
                </c:ext>
              </c:extLst>
            </c:dLbl>
            <c:dLbl>
              <c:idx val="9"/>
              <c:tx>
                <c:rich>
                  <a:bodyPr/>
                  <a:lstStyle/>
                  <a:p>
                    <a:fld id="{587C4D63-2AFC-46B2-9C75-C9E2472520E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439-4336-AA6D-98B171659BAB}"/>
                </c:ext>
              </c:extLst>
            </c:dLbl>
            <c:dLbl>
              <c:idx val="10"/>
              <c:tx>
                <c:rich>
                  <a:bodyPr/>
                  <a:lstStyle/>
                  <a:p>
                    <a:fld id="{F986D8F1-7F13-404D-9978-F3FACD4FD72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439-4336-AA6D-98B171659BA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'PIS-VAR-EDAD'!$A$33:$A$43</c:f>
              <c:strCache>
                <c:ptCount val="11"/>
                <c:pt idx="0">
                  <c:v>KERMAN</c:v>
                </c:pt>
                <c:pt idx="1">
                  <c:v>SIRORA</c:v>
                </c:pt>
                <c:pt idx="2">
                  <c:v>MATEUR</c:v>
                </c:pt>
                <c:pt idx="3">
                  <c:v>LARNAKA</c:v>
                </c:pt>
                <c:pt idx="4">
                  <c:v>LOST HILLS</c:v>
                </c:pt>
                <c:pt idx="5">
                  <c:v>AEGINA</c:v>
                </c:pt>
                <c:pt idx="6">
                  <c:v>GOLDENS HILLS</c:v>
                </c:pt>
                <c:pt idx="7">
                  <c:v>AVDAT</c:v>
                </c:pt>
                <c:pt idx="8">
                  <c:v>PETER</c:v>
                </c:pt>
                <c:pt idx="9">
                  <c:v>KASTEL</c:v>
                </c:pt>
                <c:pt idx="10">
                  <c:v>ASKAR</c:v>
                </c:pt>
              </c:strCache>
            </c:strRef>
          </c:cat>
          <c:val>
            <c:numRef>
              <c:f>'PIS-VAR-EDAD'!$B$33:$B$43</c:f>
              <c:numCache>
                <c:formatCode>#,##0</c:formatCode>
                <c:ptCount val="11"/>
                <c:pt idx="0">
                  <c:v>4063.1</c:v>
                </c:pt>
                <c:pt idx="1">
                  <c:v>424.12</c:v>
                </c:pt>
                <c:pt idx="2">
                  <c:v>199.12</c:v>
                </c:pt>
                <c:pt idx="3">
                  <c:v>148.09</c:v>
                </c:pt>
                <c:pt idx="4">
                  <c:v>139.12</c:v>
                </c:pt>
                <c:pt idx="5">
                  <c:v>67.77000000000001</c:v>
                </c:pt>
                <c:pt idx="6">
                  <c:v>54.22</c:v>
                </c:pt>
                <c:pt idx="7">
                  <c:v>49.209999999999994</c:v>
                </c:pt>
                <c:pt idx="8">
                  <c:v>31.939999999999998</c:v>
                </c:pt>
                <c:pt idx="9">
                  <c:v>13.18</c:v>
                </c:pt>
                <c:pt idx="10">
                  <c:v>4.5999999999999996</c:v>
                </c:pt>
              </c:numCache>
            </c:numRef>
          </c:val>
          <c:extLst>
            <c:ext xmlns:c15="http://schemas.microsoft.com/office/drawing/2012/chart" uri="{02D57815-91ED-43cb-92C2-25804820EDAC}">
              <c15:datalabelsRange>
                <c15:f>'PIS-VAR-EDAD'!$C$33:$C$43</c15:f>
                <c15:dlblRangeCache>
                  <c:ptCount val="11"/>
                  <c:pt idx="0">
                    <c:v>69%</c:v>
                  </c:pt>
                  <c:pt idx="1">
                    <c:v>7%</c:v>
                  </c:pt>
                  <c:pt idx="2">
                    <c:v>3%</c:v>
                  </c:pt>
                  <c:pt idx="3">
                    <c:v>3%</c:v>
                  </c:pt>
                  <c:pt idx="4">
                    <c:v>2%</c:v>
                  </c:pt>
                  <c:pt idx="5">
                    <c:v>1%</c:v>
                  </c:pt>
                  <c:pt idx="6">
                    <c:v>1%</c:v>
                  </c:pt>
                  <c:pt idx="7">
                    <c:v>1%</c:v>
                  </c:pt>
                  <c:pt idx="8">
                    <c:v>1%</c:v>
                  </c:pt>
                  <c:pt idx="9">
                    <c:v>0%</c:v>
                  </c:pt>
                  <c:pt idx="10">
                    <c:v>0%</c:v>
                  </c:pt>
                </c15:dlblRangeCache>
              </c15:datalabelsRange>
            </c:ext>
            <c:ext xmlns:c16="http://schemas.microsoft.com/office/drawing/2014/chart" uri="{C3380CC4-5D6E-409C-BE32-E72D297353CC}">
              <c16:uniqueId val="{0000000B-8439-4336-AA6D-98B171659BAB}"/>
            </c:ext>
          </c:extLst>
        </c:ser>
        <c:dLbls>
          <c:showLegendKey val="0"/>
          <c:showVal val="0"/>
          <c:showCatName val="0"/>
          <c:showSerName val="0"/>
          <c:showPercent val="0"/>
          <c:showBubbleSize val="0"/>
        </c:dLbls>
        <c:gapWidth val="219"/>
        <c:overlap val="-27"/>
        <c:axId val="154701904"/>
        <c:axId val="154702992"/>
      </c:barChart>
      <c:catAx>
        <c:axId val="15470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702992"/>
        <c:crosses val="autoZero"/>
        <c:auto val="1"/>
        <c:lblAlgn val="ctr"/>
        <c:lblOffset val="100"/>
        <c:noMultiLvlLbl val="0"/>
      </c:catAx>
      <c:valAx>
        <c:axId val="15470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701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Regadío</a:t>
            </a:r>
          </a:p>
          <a:p>
            <a:pPr>
              <a:defRPr sz="1400" b="0" i="0" u="none" strike="noStrike" kern="1200" spc="0" baseline="0">
                <a:solidFill>
                  <a:sysClr val="windowText" lastClr="000000"/>
                </a:solidFill>
                <a:latin typeface="+mn-lt"/>
                <a:ea typeface="+mn-ea"/>
                <a:cs typeface="+mn-cs"/>
              </a:defRPr>
            </a:pPr>
            <a:r>
              <a:rPr lang="en-US"/>
              <a:t>Plantaciones jovénes por variedad (2019-21)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'PIS-VAR-EDAD'!$A$30</c:f>
              <c:strCache>
                <c:ptCount val="1"/>
                <c:pt idx="0">
                  <c:v>PISTACHO: Regadío</c:v>
                </c:pt>
              </c:strCache>
            </c:strRef>
          </c:tx>
          <c:spPr>
            <a:solidFill>
              <a:schemeClr val="accent1"/>
            </a:solidFill>
            <a:ln>
              <a:solidFill>
                <a:schemeClr val="accent1">
                  <a:lumMod val="75000"/>
                </a:schemeClr>
              </a:solidFill>
            </a:ln>
            <a:effectLst/>
          </c:spPr>
          <c:invertIfNegative val="0"/>
          <c:dLbls>
            <c:dLbl>
              <c:idx val="0"/>
              <c:tx>
                <c:rich>
                  <a:bodyPr/>
                  <a:lstStyle/>
                  <a:p>
                    <a:fld id="{5F847266-3C2B-446F-95A7-7B57CAE6E8D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F6-4320-AFB1-DE0837F6B8A9}"/>
                </c:ext>
              </c:extLst>
            </c:dLbl>
            <c:dLbl>
              <c:idx val="1"/>
              <c:tx>
                <c:rich>
                  <a:bodyPr/>
                  <a:lstStyle/>
                  <a:p>
                    <a:fld id="{0809A731-78C4-4E4D-887C-CF8FCB4221B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F6-4320-AFB1-DE0837F6B8A9}"/>
                </c:ext>
              </c:extLst>
            </c:dLbl>
            <c:dLbl>
              <c:idx val="2"/>
              <c:tx>
                <c:rich>
                  <a:bodyPr/>
                  <a:lstStyle/>
                  <a:p>
                    <a:fld id="{92AF75CA-5EE2-4BAE-8A37-6216F46F1D9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F6-4320-AFB1-DE0837F6B8A9}"/>
                </c:ext>
              </c:extLst>
            </c:dLbl>
            <c:dLbl>
              <c:idx val="3"/>
              <c:tx>
                <c:rich>
                  <a:bodyPr/>
                  <a:lstStyle/>
                  <a:p>
                    <a:fld id="{A8DB3A49-CD65-42C9-99C8-F961C42DA2C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F6-4320-AFB1-DE0837F6B8A9}"/>
                </c:ext>
              </c:extLst>
            </c:dLbl>
            <c:dLbl>
              <c:idx val="4"/>
              <c:tx>
                <c:rich>
                  <a:bodyPr/>
                  <a:lstStyle/>
                  <a:p>
                    <a:fld id="{C7972977-C861-4CAD-928A-785FFA4BD06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F6-4320-AFB1-DE0837F6B8A9}"/>
                </c:ext>
              </c:extLst>
            </c:dLbl>
            <c:dLbl>
              <c:idx val="5"/>
              <c:tx>
                <c:rich>
                  <a:bodyPr/>
                  <a:lstStyle/>
                  <a:p>
                    <a:fld id="{43D3A051-1F98-4D33-A115-70200FF267B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F6-4320-AFB1-DE0837F6B8A9}"/>
                </c:ext>
              </c:extLst>
            </c:dLbl>
            <c:dLbl>
              <c:idx val="6"/>
              <c:tx>
                <c:rich>
                  <a:bodyPr/>
                  <a:lstStyle/>
                  <a:p>
                    <a:fld id="{049995E4-077F-49BA-9CD2-677D6A0617D3}"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F6-4320-AFB1-DE0837F6B8A9}"/>
                </c:ext>
              </c:extLst>
            </c:dLbl>
            <c:dLbl>
              <c:idx val="7"/>
              <c:tx>
                <c:rich>
                  <a:bodyPr/>
                  <a:lstStyle/>
                  <a:p>
                    <a:fld id="{8EEE78AA-55D5-4BC8-9517-35ADEDF1A48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F6-4320-AFB1-DE0837F6B8A9}"/>
                </c:ext>
              </c:extLst>
            </c:dLbl>
            <c:dLbl>
              <c:idx val="8"/>
              <c:tx>
                <c:rich>
                  <a:bodyPr/>
                  <a:lstStyle/>
                  <a:p>
                    <a:fld id="{6F99754F-4B94-4D5E-AF4B-7DAC90FA581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F6-4320-AFB1-DE0837F6B8A9}"/>
                </c:ext>
              </c:extLst>
            </c:dLbl>
            <c:dLbl>
              <c:idx val="9"/>
              <c:tx>
                <c:rich>
                  <a:bodyPr/>
                  <a:lstStyle/>
                  <a:p>
                    <a:fld id="{23057A8E-13D4-4A19-A302-484C5CC2BE8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F6-4320-AFB1-DE0837F6B8A9}"/>
                </c:ext>
              </c:extLst>
            </c:dLbl>
            <c:dLbl>
              <c:idx val="10"/>
              <c:tx>
                <c:rich>
                  <a:bodyPr/>
                  <a:lstStyle/>
                  <a:p>
                    <a:fld id="{8CD00135-BD11-44A4-BFEC-9FE8A70A474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F6-4320-AFB1-DE0837F6B8A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'PIS-VAR-EDAD'!$D$33:$D$43</c:f>
              <c:strCache>
                <c:ptCount val="11"/>
                <c:pt idx="0">
                  <c:v>KERMAN</c:v>
                </c:pt>
                <c:pt idx="1">
                  <c:v>SIRORA</c:v>
                </c:pt>
                <c:pt idx="2">
                  <c:v>LOST HILLS</c:v>
                </c:pt>
                <c:pt idx="3">
                  <c:v>LARNAKA</c:v>
                </c:pt>
                <c:pt idx="4">
                  <c:v>GOLDENS HILLS</c:v>
                </c:pt>
                <c:pt idx="5">
                  <c:v>PETER</c:v>
                </c:pt>
                <c:pt idx="6">
                  <c:v>AEGINA</c:v>
                </c:pt>
                <c:pt idx="7">
                  <c:v>MATEUR</c:v>
                </c:pt>
                <c:pt idx="8">
                  <c:v>ASKAR</c:v>
                </c:pt>
                <c:pt idx="9">
                  <c:v>AVDAT</c:v>
                </c:pt>
                <c:pt idx="10">
                  <c:v>KASTEL</c:v>
                </c:pt>
              </c:strCache>
            </c:strRef>
          </c:cat>
          <c:val>
            <c:numRef>
              <c:f>'PIS-VAR-EDAD'!$E$33:$E$43</c:f>
              <c:numCache>
                <c:formatCode>#,##0</c:formatCode>
                <c:ptCount val="11"/>
                <c:pt idx="0">
                  <c:v>5420.7699999999986</c:v>
                </c:pt>
                <c:pt idx="1">
                  <c:v>1700.8699999999994</c:v>
                </c:pt>
                <c:pt idx="2">
                  <c:v>828.7</c:v>
                </c:pt>
                <c:pt idx="3">
                  <c:v>327.74</c:v>
                </c:pt>
                <c:pt idx="4">
                  <c:v>214.28000000000003</c:v>
                </c:pt>
                <c:pt idx="5">
                  <c:v>93.74</c:v>
                </c:pt>
                <c:pt idx="6">
                  <c:v>80.25</c:v>
                </c:pt>
                <c:pt idx="7">
                  <c:v>17.27</c:v>
                </c:pt>
                <c:pt idx="8">
                  <c:v>9.379999999999999</c:v>
                </c:pt>
                <c:pt idx="9">
                  <c:v>5.45</c:v>
                </c:pt>
                <c:pt idx="10">
                  <c:v>2.13</c:v>
                </c:pt>
              </c:numCache>
            </c:numRef>
          </c:val>
          <c:extLst>
            <c:ext xmlns:c15="http://schemas.microsoft.com/office/drawing/2012/chart" uri="{02D57815-91ED-43cb-92C2-25804820EDAC}">
              <c15:datalabelsRange>
                <c15:f>'PIS-VAR-EDAD'!$F$33:$F$43</c15:f>
                <c15:dlblRangeCache>
                  <c:ptCount val="11"/>
                  <c:pt idx="0">
                    <c:v>56%</c:v>
                  </c:pt>
                  <c:pt idx="1">
                    <c:v>17%</c:v>
                  </c:pt>
                  <c:pt idx="2">
                    <c:v>8%</c:v>
                  </c:pt>
                  <c:pt idx="3">
                    <c:v>3%</c:v>
                  </c:pt>
                  <c:pt idx="4">
                    <c:v>2%</c:v>
                  </c:pt>
                  <c:pt idx="5">
                    <c:v>1%</c:v>
                  </c:pt>
                  <c:pt idx="6">
                    <c:v>1%</c:v>
                  </c:pt>
                  <c:pt idx="7">
                    <c:v>0%</c:v>
                  </c:pt>
                  <c:pt idx="8">
                    <c:v>0%</c:v>
                  </c:pt>
                  <c:pt idx="9">
                    <c:v>0%</c:v>
                  </c:pt>
                  <c:pt idx="10">
                    <c:v>0%</c:v>
                  </c:pt>
                </c15:dlblRangeCache>
              </c15:datalabelsRange>
            </c:ext>
            <c:ext xmlns:c16="http://schemas.microsoft.com/office/drawing/2014/chart" uri="{C3380CC4-5D6E-409C-BE32-E72D297353CC}">
              <c16:uniqueId val="{0000000B-FFF6-4320-AFB1-DE0837F6B8A9}"/>
            </c:ext>
          </c:extLst>
        </c:ser>
        <c:dLbls>
          <c:showLegendKey val="0"/>
          <c:showVal val="0"/>
          <c:showCatName val="0"/>
          <c:showSerName val="0"/>
          <c:showPercent val="0"/>
          <c:showBubbleSize val="0"/>
        </c:dLbls>
        <c:gapWidth val="219"/>
        <c:overlap val="-27"/>
        <c:axId val="154686672"/>
        <c:axId val="154709520"/>
      </c:barChart>
      <c:catAx>
        <c:axId val="15468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crossAx val="154709520"/>
        <c:crosses val="autoZero"/>
        <c:auto val="1"/>
        <c:lblAlgn val="ctr"/>
        <c:lblOffset val="100"/>
        <c:noMultiLvlLbl val="0"/>
      </c:catAx>
      <c:valAx>
        <c:axId val="15470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5468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sz="1400" b="1" i="0" u="sng" baseline="0">
                <a:solidFill>
                  <a:sysClr val="windowText" lastClr="000000"/>
                </a:solidFill>
                <a:effectLst/>
              </a:rPr>
              <a:t>PISTACHO SECANO</a:t>
            </a:r>
          </a:p>
          <a:p>
            <a:pPr>
              <a:defRPr sz="1400" b="0" i="0" u="none" strike="noStrike" kern="1200" spc="0" baseline="0">
                <a:solidFill>
                  <a:sysClr val="windowText" lastClr="000000"/>
                </a:solidFill>
                <a:latin typeface="+mn-lt"/>
                <a:ea typeface="+mn-ea"/>
                <a:cs typeface="+mn-cs"/>
              </a:defRPr>
            </a:pPr>
            <a:r>
              <a:rPr lang="es-ES" sz="1400" b="0" i="0" baseline="0">
                <a:solidFill>
                  <a:sysClr val="windowText" lastClr="000000"/>
                </a:solidFill>
                <a:effectLst/>
              </a:rPr>
              <a:t>Representatividad 2020 vs 2021</a:t>
            </a:r>
            <a:endParaRPr lang="es-E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'PIS-REPR'!$O$11</c:f>
              <c:strCache>
                <c:ptCount val="1"/>
                <c:pt idx="0">
                  <c:v>Representatividad 2020</c:v>
                </c:pt>
              </c:strCache>
            </c:strRef>
          </c:tx>
          <c:spPr>
            <a:solidFill>
              <a:schemeClr val="accent4">
                <a:lumMod val="60000"/>
                <a:lumOff val="40000"/>
              </a:schemeClr>
            </a:solidFill>
            <a:ln>
              <a:noFill/>
            </a:ln>
            <a:effectLst/>
          </c:spPr>
          <c:invertIfNegative val="0"/>
          <c:cat>
            <c:strRef>
              <c:f>'PIS-REPR'!$K$12:$K$16</c:f>
              <c:strCache>
                <c:ptCount val="5"/>
                <c:pt idx="0">
                  <c:v>C.-LA MANCHA</c:v>
                </c:pt>
                <c:pt idx="1">
                  <c:v>ANDALUCÍA</c:v>
                </c:pt>
                <c:pt idx="2">
                  <c:v>C. Y LEÓN</c:v>
                </c:pt>
                <c:pt idx="3">
                  <c:v>EXTREMADURA</c:v>
                </c:pt>
                <c:pt idx="4">
                  <c:v>ARAGÓN</c:v>
                </c:pt>
              </c:strCache>
            </c:strRef>
          </c:cat>
          <c:val>
            <c:numRef>
              <c:f>'PIS-REPR'!$O$12:$O$16</c:f>
              <c:numCache>
                <c:formatCode>0%</c:formatCode>
                <c:ptCount val="5"/>
                <c:pt idx="0">
                  <c:v>1.0338550171420495</c:v>
                </c:pt>
                <c:pt idx="1">
                  <c:v>0.99323478858714342</c:v>
                </c:pt>
                <c:pt idx="2">
                  <c:v>3.8888962472406172</c:v>
                </c:pt>
                <c:pt idx="3">
                  <c:v>2.9179283887468026</c:v>
                </c:pt>
                <c:pt idx="4">
                  <c:v>0.92306024096385553</c:v>
                </c:pt>
              </c:numCache>
            </c:numRef>
          </c:val>
          <c:extLst>
            <c:ext xmlns:c16="http://schemas.microsoft.com/office/drawing/2014/chart" uri="{C3380CC4-5D6E-409C-BE32-E72D297353CC}">
              <c16:uniqueId val="{00000006-2203-4F1F-AA21-198A2F5E518F}"/>
            </c:ext>
          </c:extLst>
        </c:ser>
        <c:ser>
          <c:idx val="1"/>
          <c:order val="1"/>
          <c:tx>
            <c:strRef>
              <c:f>'PIS-REPR'!$N$11</c:f>
              <c:strCache>
                <c:ptCount val="1"/>
                <c:pt idx="0">
                  <c:v>Representatividad 2021</c:v>
                </c:pt>
              </c:strCache>
            </c:strRef>
          </c:tx>
          <c:spPr>
            <a:solidFill>
              <a:schemeClr val="accent4">
                <a:lumMod val="50000"/>
              </a:schemeClr>
            </a:solidFill>
            <a:ln>
              <a:noFill/>
            </a:ln>
            <a:effectLst/>
          </c:spPr>
          <c:invertIfNegative val="0"/>
          <c:cat>
            <c:strRef>
              <c:f>'PIS-REPR'!$K$12:$K$16</c:f>
              <c:strCache>
                <c:ptCount val="5"/>
                <c:pt idx="0">
                  <c:v>C.-LA MANCHA</c:v>
                </c:pt>
                <c:pt idx="1">
                  <c:v>ANDALUCÍA</c:v>
                </c:pt>
                <c:pt idx="2">
                  <c:v>C. Y LEÓN</c:v>
                </c:pt>
                <c:pt idx="3">
                  <c:v>EXTREMADURA</c:v>
                </c:pt>
                <c:pt idx="4">
                  <c:v>ARAGÓN</c:v>
                </c:pt>
              </c:strCache>
            </c:strRef>
          </c:cat>
          <c:val>
            <c:numRef>
              <c:f>'PIS-REPR'!$N$12:$N$16</c:f>
              <c:numCache>
                <c:formatCode>0%</c:formatCode>
                <c:ptCount val="5"/>
                <c:pt idx="0">
                  <c:v>1.0315521969832468</c:v>
                </c:pt>
                <c:pt idx="1">
                  <c:v>1.0109543568464723</c:v>
                </c:pt>
                <c:pt idx="2">
                  <c:v>4.2145905172413789</c:v>
                </c:pt>
                <c:pt idx="3">
                  <c:v>1.1782594417077175</c:v>
                </c:pt>
                <c:pt idx="4">
                  <c:v>0.9568695652173913</c:v>
                </c:pt>
              </c:numCache>
            </c:numRef>
          </c:val>
          <c:extLst>
            <c:ext xmlns:c16="http://schemas.microsoft.com/office/drawing/2014/chart" uri="{C3380CC4-5D6E-409C-BE32-E72D297353CC}">
              <c16:uniqueId val="{00000000-2203-4F1F-AA21-198A2F5E518F}"/>
            </c:ext>
          </c:extLst>
        </c:ser>
        <c:dLbls>
          <c:showLegendKey val="0"/>
          <c:showVal val="0"/>
          <c:showCatName val="0"/>
          <c:showSerName val="0"/>
          <c:showPercent val="0"/>
          <c:showBubbleSize val="0"/>
        </c:dLbls>
        <c:gapWidth val="150"/>
        <c:axId val="97586432"/>
        <c:axId val="97583712"/>
      </c:barChart>
      <c:catAx>
        <c:axId val="97586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3712"/>
        <c:crosses val="autoZero"/>
        <c:auto val="1"/>
        <c:lblAlgn val="ctr"/>
        <c:lblOffset val="100"/>
        <c:noMultiLvlLbl val="0"/>
      </c:catAx>
      <c:valAx>
        <c:axId val="9758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6432"/>
        <c:crosses val="autoZero"/>
        <c:crossBetween val="between"/>
      </c:valAx>
      <c:spPr>
        <a:noFill/>
        <a:ln>
          <a:noFill/>
        </a:ln>
        <a:effectLst/>
      </c:spPr>
    </c:plotArea>
    <c:legend>
      <c:legendPos val="b"/>
      <c:layout>
        <c:manualLayout>
          <c:xMode val="edge"/>
          <c:yMode val="edge"/>
          <c:x val="0.32331405382355827"/>
          <c:y val="0.87304446931519952"/>
          <c:w val="0.65964680093994466"/>
          <c:h val="9.31595202106985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'PIS-REPR'!$F$5</c:f>
              <c:strCache>
                <c:ptCount val="1"/>
                <c:pt idx="0">
                  <c:v>PISTACHO SEC</c:v>
                </c:pt>
              </c:strCache>
            </c:strRef>
          </c:tx>
          <c:spPr>
            <a:solidFill>
              <a:srgbClr val="CB9661"/>
            </a:solidFill>
            <a:ln>
              <a:noFill/>
            </a:ln>
            <a:effectLst/>
            <a:sp3d/>
          </c:spPr>
          <c:invertIfNegative val="0"/>
          <c:dLbls>
            <c:dLbl>
              <c:idx val="0"/>
              <c:tx>
                <c:rich>
                  <a:bodyPr/>
                  <a:lstStyle/>
                  <a:p>
                    <a:fld id="{8D5012E3-CEC6-4B69-8360-27E54EBBEFDF}" type="CELLRANGE">
                      <a:rPr lang="es-ES"/>
                      <a:pPr/>
                      <a:t>[CELLRANGE]</a:t>
                    </a:fld>
                    <a:r>
                      <a:rPr lang="es-ES" baseline="0"/>
                      <a:t> </a:t>
                    </a:r>
                    <a:fld id="{24E72489-DFFD-49C3-8740-304C759CCEC9}" type="SERIESNAME">
                      <a:rPr lang="es-ES" baseline="0"/>
                      <a:pPr/>
                      <a:t>[NOMBRE DE LA SERIE]</a:t>
                    </a:fld>
                    <a:endParaRPr lang="es-ES" baseline="0"/>
                  </a:p>
                </c:rich>
              </c:tx>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043-44AC-8553-3C8D3498DAF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'PIS-REPR'!$G$5</c:f>
              <c:numCache>
                <c:formatCode>#,##0</c:formatCode>
                <c:ptCount val="1"/>
                <c:pt idx="0">
                  <c:v>44022.01</c:v>
                </c:pt>
              </c:numCache>
            </c:numRef>
          </c:val>
          <c:extLst>
            <c:ext xmlns:c15="http://schemas.microsoft.com/office/drawing/2012/chart" uri="{02D57815-91ED-43cb-92C2-25804820EDAC}">
              <c15:datalabelsRange>
                <c15:f>'PIS-REPR'!$H$5:$H$6</c15:f>
                <c15:dlblRangeCache>
                  <c:ptCount val="2"/>
                  <c:pt idx="0">
                    <c:v>74%</c:v>
                  </c:pt>
                  <c:pt idx="1">
                    <c:v>26%</c:v>
                  </c:pt>
                </c15:dlblRangeCache>
              </c15:datalabelsRange>
            </c:ext>
            <c:ext xmlns:c16="http://schemas.microsoft.com/office/drawing/2014/chart" uri="{C3380CC4-5D6E-409C-BE32-E72D297353CC}">
              <c16:uniqueId val="{00000000-3043-44AC-8553-3C8D3498DAF5}"/>
            </c:ext>
          </c:extLst>
        </c:ser>
        <c:ser>
          <c:idx val="1"/>
          <c:order val="1"/>
          <c:tx>
            <c:strRef>
              <c:f>'PIS-REPR'!$F$6</c:f>
              <c:strCache>
                <c:ptCount val="1"/>
                <c:pt idx="0">
                  <c:v>PISTACHO REG</c:v>
                </c:pt>
              </c:strCache>
            </c:strRef>
          </c:tx>
          <c:spPr>
            <a:solidFill>
              <a:schemeClr val="accent5">
                <a:lumMod val="60000"/>
                <a:lumOff val="40000"/>
              </a:schemeClr>
            </a:solidFill>
            <a:ln>
              <a:noFill/>
            </a:ln>
            <a:effectLst/>
            <a:sp3d/>
          </c:spPr>
          <c:invertIfNegative val="0"/>
          <c:dLbls>
            <c:dLbl>
              <c:idx val="0"/>
              <c:tx>
                <c:rich>
                  <a:bodyPr/>
                  <a:lstStyle/>
                  <a:p>
                    <a:fld id="{92011CC1-B1F2-408C-B96A-8B3079FB136C}" type="CELLRANGE">
                      <a:rPr lang="es-ES"/>
                      <a:pPr/>
                      <a:t>[CELLRANGE]</a:t>
                    </a:fld>
                    <a:r>
                      <a:rPr lang="es-ES" baseline="0"/>
                      <a:t> </a:t>
                    </a:r>
                    <a:fld id="{702C07E5-3C93-47E4-B188-42629FB153BA}" type="SERIESNAME">
                      <a:rPr lang="es-ES" baseline="0"/>
                      <a:pPr/>
                      <a:t>[NOMBRE DE LA SERIE]</a:t>
                    </a:fld>
                    <a:endParaRPr lang="es-ES" baseline="0"/>
                  </a:p>
                </c:rich>
              </c:tx>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043-44AC-8553-3C8D3498DAF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'PIS-REPR'!$G$6</c:f>
              <c:numCache>
                <c:formatCode>#,##0</c:formatCode>
                <c:ptCount val="1"/>
                <c:pt idx="0">
                  <c:v>15636.170000000002</c:v>
                </c:pt>
              </c:numCache>
            </c:numRef>
          </c:val>
          <c:extLst>
            <c:ext xmlns:c15="http://schemas.microsoft.com/office/drawing/2012/chart" uri="{02D57815-91ED-43cb-92C2-25804820EDAC}">
              <c15:datalabelsRange>
                <c15:f>'PIS-REPR'!$H$6</c15:f>
                <c15:dlblRangeCache>
                  <c:ptCount val="1"/>
                  <c:pt idx="0">
                    <c:v>26%</c:v>
                  </c:pt>
                </c15:dlblRangeCache>
              </c15:datalabelsRange>
            </c:ext>
            <c:ext xmlns:c16="http://schemas.microsoft.com/office/drawing/2014/chart" uri="{C3380CC4-5D6E-409C-BE32-E72D297353CC}">
              <c16:uniqueId val="{00000001-3043-44AC-8553-3C8D3498DAF5}"/>
            </c:ext>
          </c:extLst>
        </c:ser>
        <c:dLbls>
          <c:showLegendKey val="0"/>
          <c:showVal val="0"/>
          <c:showCatName val="0"/>
          <c:showSerName val="0"/>
          <c:showPercent val="0"/>
          <c:showBubbleSize val="0"/>
        </c:dLbls>
        <c:gapWidth val="150"/>
        <c:shape val="box"/>
        <c:axId val="1591255920"/>
        <c:axId val="1591243024"/>
        <c:axId val="0"/>
      </c:bar3DChart>
      <c:catAx>
        <c:axId val="1591255920"/>
        <c:scaling>
          <c:orientation val="minMax"/>
        </c:scaling>
        <c:delete val="1"/>
        <c:axPos val="l"/>
        <c:numFmt formatCode="General" sourceLinked="1"/>
        <c:majorTickMark val="none"/>
        <c:minorTickMark val="none"/>
        <c:tickLblPos val="nextTo"/>
        <c:crossAx val="1591243024"/>
        <c:crosses val="autoZero"/>
        <c:auto val="1"/>
        <c:lblAlgn val="ctr"/>
        <c:lblOffset val="100"/>
        <c:noMultiLvlLbl val="0"/>
      </c:catAx>
      <c:valAx>
        <c:axId val="1591243024"/>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591255920"/>
        <c:crosses val="autoZero"/>
        <c:crossBetween val="between"/>
      </c:valAx>
      <c:spPr>
        <a:solidFill>
          <a:schemeClr val="accent6">
            <a:lumMod val="20000"/>
            <a:lumOff val="80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Pistacho Regadío: </a:t>
            </a:r>
          </a:p>
          <a:p>
            <a:pPr>
              <a:defRPr sz="1400" b="0" i="0" u="none" strike="noStrike" kern="1200" spc="0" baseline="0">
                <a:solidFill>
                  <a:sysClr val="windowText" lastClr="000000"/>
                </a:solidFill>
                <a:latin typeface="+mn-lt"/>
                <a:ea typeface="+mn-ea"/>
                <a:cs typeface="+mn-cs"/>
              </a:defRPr>
            </a:pPr>
            <a:r>
              <a:rPr lang="es-ES" sz="1400">
                <a:effectLst/>
              </a:rPr>
              <a:t>Representatividad</a:t>
            </a:r>
            <a:r>
              <a:rPr lang="es-ES" sz="1400" baseline="0">
                <a:effectLst/>
              </a:rPr>
              <a:t> 2020 vs 2021</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691028058112453"/>
          <c:y val="0.23841584158415841"/>
          <c:w val="0.8144044582455362"/>
          <c:h val="0.57114004313817213"/>
        </c:manualLayout>
      </c:layout>
      <c:barChart>
        <c:barDir val="col"/>
        <c:grouping val="clustered"/>
        <c:varyColors val="0"/>
        <c:ser>
          <c:idx val="0"/>
          <c:order val="0"/>
          <c:tx>
            <c:strRef>
              <c:f>'PIS-REPR'!$O$74</c:f>
              <c:strCache>
                <c:ptCount val="1"/>
                <c:pt idx="0">
                  <c:v>Representatividad 2020</c:v>
                </c:pt>
              </c:strCache>
            </c:strRef>
          </c:tx>
          <c:spPr>
            <a:solidFill>
              <a:schemeClr val="accent1">
                <a:lumMod val="20000"/>
                <a:lumOff val="80000"/>
              </a:schemeClr>
            </a:solidFill>
            <a:ln>
              <a:noFill/>
            </a:ln>
            <a:effectLst/>
          </c:spPr>
          <c:invertIfNegative val="0"/>
          <c:cat>
            <c:strRef>
              <c:f>'PIS-REPR'!$K$75:$K$79</c:f>
              <c:strCache>
                <c:ptCount val="5"/>
                <c:pt idx="0">
                  <c:v>C.-LA MANCHA</c:v>
                </c:pt>
                <c:pt idx="1">
                  <c:v>ANDALUCIA</c:v>
                </c:pt>
                <c:pt idx="2">
                  <c:v>C. Y LEÓN</c:v>
                </c:pt>
                <c:pt idx="3">
                  <c:v>EXTREMADURA</c:v>
                </c:pt>
                <c:pt idx="4">
                  <c:v>ARAGÓN</c:v>
                </c:pt>
              </c:strCache>
            </c:strRef>
          </c:cat>
          <c:val>
            <c:numRef>
              <c:f>'PIS-REPR'!$O$75:$O$79</c:f>
              <c:numCache>
                <c:formatCode>0%</c:formatCode>
                <c:ptCount val="5"/>
                <c:pt idx="0">
                  <c:v>0.88644693200663371</c:v>
                </c:pt>
                <c:pt idx="1">
                  <c:v>0.76059925093632963</c:v>
                </c:pt>
                <c:pt idx="2">
                  <c:v>0.27336889387984276</c:v>
                </c:pt>
                <c:pt idx="3">
                  <c:v>0.35479933110367895</c:v>
                </c:pt>
                <c:pt idx="4">
                  <c:v>1.0080661577608141</c:v>
                </c:pt>
              </c:numCache>
            </c:numRef>
          </c:val>
          <c:extLst>
            <c:ext xmlns:c16="http://schemas.microsoft.com/office/drawing/2014/chart" uri="{C3380CC4-5D6E-409C-BE32-E72D297353CC}">
              <c16:uniqueId val="{00000006-0C73-421B-8671-669A9A229AF2}"/>
            </c:ext>
          </c:extLst>
        </c:ser>
        <c:ser>
          <c:idx val="1"/>
          <c:order val="1"/>
          <c:tx>
            <c:strRef>
              <c:f>'PIS-REPR'!$N$74</c:f>
              <c:strCache>
                <c:ptCount val="1"/>
                <c:pt idx="0">
                  <c:v>Representatividad 2021</c:v>
                </c:pt>
              </c:strCache>
            </c:strRef>
          </c:tx>
          <c:spPr>
            <a:solidFill>
              <a:srgbClr val="0033CC"/>
            </a:solidFill>
            <a:ln>
              <a:noFill/>
            </a:ln>
            <a:effectLst/>
          </c:spPr>
          <c:invertIfNegative val="0"/>
          <c:cat>
            <c:strRef>
              <c:f>'PIS-REPR'!$K$75:$K$79</c:f>
              <c:strCache>
                <c:ptCount val="5"/>
                <c:pt idx="0">
                  <c:v>C.-LA MANCHA</c:v>
                </c:pt>
                <c:pt idx="1">
                  <c:v>ANDALUCIA</c:v>
                </c:pt>
                <c:pt idx="2">
                  <c:v>C. Y LEÓN</c:v>
                </c:pt>
                <c:pt idx="3">
                  <c:v>EXTREMADURA</c:v>
                </c:pt>
                <c:pt idx="4">
                  <c:v>ARAGÓN</c:v>
                </c:pt>
              </c:strCache>
            </c:strRef>
          </c:cat>
          <c:val>
            <c:numRef>
              <c:f>'PIS-REPR'!$N$75:$N$79</c:f>
              <c:numCache>
                <c:formatCode>0%</c:formatCode>
                <c:ptCount val="5"/>
                <c:pt idx="0">
                  <c:v>0.89769194424757881</c:v>
                </c:pt>
                <c:pt idx="1">
                  <c:v>0.72027041081643262</c:v>
                </c:pt>
                <c:pt idx="2">
                  <c:v>0.28255635491606712</c:v>
                </c:pt>
                <c:pt idx="3">
                  <c:v>1.0702272727272728</c:v>
                </c:pt>
                <c:pt idx="4">
                  <c:v>1.0091322314049589</c:v>
                </c:pt>
              </c:numCache>
            </c:numRef>
          </c:val>
          <c:extLst>
            <c:ext xmlns:c16="http://schemas.microsoft.com/office/drawing/2014/chart" uri="{C3380CC4-5D6E-409C-BE32-E72D297353CC}">
              <c16:uniqueId val="{00000000-0C73-421B-8671-669A9A229AF2}"/>
            </c:ext>
          </c:extLst>
        </c:ser>
        <c:dLbls>
          <c:showLegendKey val="0"/>
          <c:showVal val="0"/>
          <c:showCatName val="0"/>
          <c:showSerName val="0"/>
          <c:showPercent val="0"/>
          <c:showBubbleSize val="0"/>
        </c:dLbls>
        <c:gapWidth val="219"/>
        <c:axId val="97586976"/>
        <c:axId val="97580448"/>
      </c:barChart>
      <c:catAx>
        <c:axId val="97586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0448"/>
        <c:crosses val="autoZero"/>
        <c:auto val="1"/>
        <c:lblAlgn val="ctr"/>
        <c:lblOffset val="100"/>
        <c:noMultiLvlLbl val="0"/>
      </c:catAx>
      <c:valAx>
        <c:axId val="97580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6976"/>
        <c:crosses val="autoZero"/>
        <c:crossBetween val="between"/>
      </c:valAx>
      <c:spPr>
        <a:noFill/>
        <a:ln>
          <a:noFill/>
        </a:ln>
        <a:effectLst/>
      </c:spPr>
    </c:plotArea>
    <c:legend>
      <c:legendPos val="b"/>
      <c:layout>
        <c:manualLayout>
          <c:xMode val="edge"/>
          <c:yMode val="edge"/>
          <c:x val="0.34400348970693523"/>
          <c:y val="0.9169412020783696"/>
          <c:w val="0.57713268084480096"/>
          <c:h val="7.425794547958733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Avellano  Secano:</a:t>
            </a:r>
          </a:p>
          <a:p>
            <a:pPr>
              <a:defRPr sz="1400" b="0" i="0" u="none" strike="noStrike" kern="1200" spc="0" baseline="0">
                <a:solidFill>
                  <a:sysClr val="windowText" lastClr="000000"/>
                </a:solidFill>
                <a:latin typeface="+mn-lt"/>
                <a:ea typeface="+mn-ea"/>
                <a:cs typeface="+mn-cs"/>
              </a:defRPr>
            </a:pPr>
            <a:r>
              <a:rPr lang="es-ES"/>
              <a:t>RSU REGEPA vs SUPERFICIES ANUALES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'AVE-REPR'!$M$11</c:f>
              <c:strCache>
                <c:ptCount val="1"/>
                <c:pt idx="0">
                  <c:v>SUP.ANUALES 2021</c:v>
                </c:pt>
              </c:strCache>
            </c:strRef>
          </c:tx>
          <c:spPr>
            <a:solidFill>
              <a:schemeClr val="accent2">
                <a:shade val="76000"/>
              </a:schemeClr>
            </a:solidFill>
            <a:ln>
              <a:noFill/>
            </a:ln>
            <a:effectLst/>
          </c:spPr>
          <c:invertIfNegative val="0"/>
          <c:cat>
            <c:strRef>
              <c:f>'AVE-REPR'!$K$12:$K$13</c:f>
              <c:strCache>
                <c:ptCount val="2"/>
                <c:pt idx="0">
                  <c:v>CATALUÑA</c:v>
                </c:pt>
                <c:pt idx="1">
                  <c:v>C. VALENCIANA</c:v>
                </c:pt>
              </c:strCache>
            </c:strRef>
          </c:cat>
          <c:val>
            <c:numRef>
              <c:f>'AVE-REPR'!$M$12:$M$13</c:f>
              <c:numCache>
                <c:formatCode>#,##0</c:formatCode>
                <c:ptCount val="2"/>
                <c:pt idx="0">
                  <c:v>3616</c:v>
                </c:pt>
                <c:pt idx="1">
                  <c:v>905</c:v>
                </c:pt>
              </c:numCache>
            </c:numRef>
          </c:val>
          <c:extLst>
            <c:ext xmlns:c16="http://schemas.microsoft.com/office/drawing/2014/chart" uri="{C3380CC4-5D6E-409C-BE32-E72D297353CC}">
              <c16:uniqueId val="{00000000-4B68-4847-A494-7618C0B96354}"/>
            </c:ext>
          </c:extLst>
        </c:ser>
        <c:ser>
          <c:idx val="1"/>
          <c:order val="1"/>
          <c:tx>
            <c:strRef>
              <c:f>'AVE-REPR'!$L$11</c:f>
              <c:strCache>
                <c:ptCount val="1"/>
                <c:pt idx="0">
                  <c:v>RSU REGEPA 2021</c:v>
                </c:pt>
              </c:strCache>
            </c:strRef>
          </c:tx>
          <c:spPr>
            <a:solidFill>
              <a:schemeClr val="accent2">
                <a:tint val="77000"/>
              </a:schemeClr>
            </a:solidFill>
            <a:ln>
              <a:noFill/>
            </a:ln>
            <a:effectLst/>
          </c:spPr>
          <c:invertIfNegative val="0"/>
          <c:dLbls>
            <c:dLbl>
              <c:idx val="0"/>
              <c:layout>
                <c:manualLayout>
                  <c:x val="-2.8043334077408482E-2"/>
                  <c:y val="-0.1091675757452621"/>
                </c:manualLayout>
              </c:layout>
              <c:tx>
                <c:rich>
                  <a:bodyPr/>
                  <a:lstStyle/>
                  <a:p>
                    <a:fld id="{1D5B5757-2AA9-471D-B347-6448405BE79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2A0-4D39-9697-79A8149A1509}"/>
                </c:ext>
              </c:extLst>
            </c:dLbl>
            <c:dLbl>
              <c:idx val="1"/>
              <c:layout>
                <c:manualLayout>
                  <c:x val="-3.3142122091482693E-2"/>
                  <c:y val="-6.450811294038207E-2"/>
                </c:manualLayout>
              </c:layout>
              <c:tx>
                <c:rich>
                  <a:bodyPr/>
                  <a:lstStyle/>
                  <a:p>
                    <a:fld id="{9763B46D-7514-4390-B376-BB6650EAC321}"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2A0-4D39-9697-79A8149A150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'AVE-REPR'!$K$12:$K$13</c:f>
              <c:strCache>
                <c:ptCount val="2"/>
                <c:pt idx="0">
                  <c:v>CATALUÑA</c:v>
                </c:pt>
                <c:pt idx="1">
                  <c:v>C. VALENCIANA</c:v>
                </c:pt>
              </c:strCache>
            </c:strRef>
          </c:cat>
          <c:val>
            <c:numRef>
              <c:f>'AVE-REPR'!$L$12:$L$13</c:f>
              <c:numCache>
                <c:formatCode>#,##0</c:formatCode>
                <c:ptCount val="2"/>
                <c:pt idx="0">
                  <c:v>2671.2499999999955</c:v>
                </c:pt>
                <c:pt idx="1">
                  <c:v>449.85999999999979</c:v>
                </c:pt>
              </c:numCache>
            </c:numRef>
          </c:val>
          <c:extLst>
            <c:ext xmlns:c15="http://schemas.microsoft.com/office/drawing/2012/chart" uri="{02D57815-91ED-43cb-92C2-25804820EDAC}">
              <c15:datalabelsRange>
                <c15:f>'AVE-REPR'!$N$12:$N$13</c15:f>
                <c15:dlblRangeCache>
                  <c:ptCount val="2"/>
                  <c:pt idx="0">
                    <c:v>74%</c:v>
                  </c:pt>
                  <c:pt idx="1">
                    <c:v>50%</c:v>
                  </c:pt>
                </c15:dlblRangeCache>
              </c15:datalabelsRange>
            </c:ext>
            <c:ext xmlns:c16="http://schemas.microsoft.com/office/drawing/2014/chart" uri="{C3380CC4-5D6E-409C-BE32-E72D297353CC}">
              <c16:uniqueId val="{00000002-72A0-4D39-9697-79A8149A1509}"/>
            </c:ext>
          </c:extLst>
        </c:ser>
        <c:dLbls>
          <c:showLegendKey val="0"/>
          <c:showVal val="0"/>
          <c:showCatName val="0"/>
          <c:showSerName val="0"/>
          <c:showPercent val="0"/>
          <c:showBubbleSize val="0"/>
        </c:dLbls>
        <c:gapWidth val="329"/>
        <c:axId val="97577728"/>
        <c:axId val="97575008"/>
      </c:barChart>
      <c:catAx>
        <c:axId val="9757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5008"/>
        <c:crosses val="autoZero"/>
        <c:auto val="1"/>
        <c:lblAlgn val="ctr"/>
        <c:lblOffset val="100"/>
        <c:noMultiLvlLbl val="0"/>
      </c:catAx>
      <c:valAx>
        <c:axId val="9757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7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Avellano Secano:</a:t>
            </a:r>
          </a:p>
          <a:p>
            <a:pPr>
              <a:defRPr sz="1400" b="0" i="0" u="none" strike="noStrike" kern="1200" spc="0" baseline="0">
                <a:solidFill>
                  <a:sysClr val="windowText" lastClr="000000"/>
                </a:solidFill>
                <a:latin typeface="+mn-lt"/>
                <a:ea typeface="+mn-ea"/>
                <a:cs typeface="+mn-cs"/>
              </a:defRPr>
            </a:pPr>
            <a:r>
              <a:rPr lang="es-ES"/>
              <a:t>RSU REGEPA 2021</a:t>
            </a:r>
            <a:r>
              <a:rPr lang="es-ES" baseline="0"/>
              <a:t> </a:t>
            </a:r>
            <a:r>
              <a:rPr lang="es-ES"/>
              <a:t>vs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8488692038495189"/>
          <c:y val="0.25025404157043879"/>
          <c:w val="0.76996041119860015"/>
          <c:h val="0.45284792056882034"/>
        </c:manualLayout>
      </c:layout>
      <c:barChart>
        <c:barDir val="bar"/>
        <c:grouping val="clustered"/>
        <c:varyColors val="0"/>
        <c:ser>
          <c:idx val="0"/>
          <c:order val="0"/>
          <c:tx>
            <c:strRef>
              <c:f>'AVE-REPR'!$R$11</c:f>
              <c:strCache>
                <c:ptCount val="1"/>
                <c:pt idx="0">
                  <c:v>RSU REGEPA 2020</c:v>
                </c:pt>
              </c:strCache>
            </c:strRef>
          </c:tx>
          <c:spPr>
            <a:solidFill>
              <a:schemeClr val="accent2">
                <a:shade val="76000"/>
              </a:schemeClr>
            </a:solidFill>
            <a:ln>
              <a:noFill/>
            </a:ln>
            <a:effectLst/>
          </c:spPr>
          <c:invertIfNegative val="0"/>
          <c:cat>
            <c:strRef>
              <c:f>'AVE-REPR'!$Q$12:$Q$13</c:f>
              <c:strCache>
                <c:ptCount val="2"/>
                <c:pt idx="0">
                  <c:v>CATALUÑA</c:v>
                </c:pt>
                <c:pt idx="1">
                  <c:v>C. VALENCIANA</c:v>
                </c:pt>
              </c:strCache>
            </c:strRef>
          </c:cat>
          <c:val>
            <c:numRef>
              <c:f>'AVE-REPR'!$R$12:$R$13</c:f>
              <c:numCache>
                <c:formatCode>#,##0</c:formatCode>
                <c:ptCount val="2"/>
                <c:pt idx="0">
                  <c:v>2837.7999999999997</c:v>
                </c:pt>
                <c:pt idx="1">
                  <c:v>430.90999999999997</c:v>
                </c:pt>
              </c:numCache>
            </c:numRef>
          </c:val>
          <c:extLst>
            <c:ext xmlns:c16="http://schemas.microsoft.com/office/drawing/2014/chart" uri="{C3380CC4-5D6E-409C-BE32-E72D297353CC}">
              <c16:uniqueId val="{00000000-4B68-4847-A494-7618C0B96354}"/>
            </c:ext>
          </c:extLst>
        </c:ser>
        <c:ser>
          <c:idx val="1"/>
          <c:order val="1"/>
          <c:tx>
            <c:strRef>
              <c:f>'AVE-REPR'!$S$11</c:f>
              <c:strCache>
                <c:ptCount val="1"/>
                <c:pt idx="0">
                  <c:v>RSU REGEPA 2021</c:v>
                </c:pt>
              </c:strCache>
            </c:strRef>
          </c:tx>
          <c:spPr>
            <a:solidFill>
              <a:schemeClr val="accent2">
                <a:tint val="77000"/>
              </a:schemeClr>
            </a:solidFill>
            <a:ln>
              <a:noFill/>
            </a:ln>
            <a:effectLst/>
          </c:spPr>
          <c:invertIfNegative val="0"/>
          <c:dLbls>
            <c:dLbl>
              <c:idx val="0"/>
              <c:layout>
                <c:manualLayout>
                  <c:x val="1.1111111111111112E-2"/>
                  <c:y val="0"/>
                </c:manualLayout>
              </c:layout>
              <c:tx>
                <c:rich>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fld id="{9048BCBA-6C2E-47DD-8F94-19DC41529798}" type="CELLRANGE">
                      <a:rPr lang="en-US"/>
                      <a:pPr>
                        <a:defRPr sz="10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endParaRPr lang="es-ES"/>
                </a:p>
              </c:txPr>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ED6-42EF-B80D-1A88A9DA3466}"/>
                </c:ext>
              </c:extLst>
            </c:dLbl>
            <c:dLbl>
              <c:idx val="1"/>
              <c:tx>
                <c:rich>
                  <a:bodyPr/>
                  <a:lstStyle/>
                  <a:p>
                    <a:fld id="{4FBAA7F5-34E8-41C6-93DE-FBCA3F46467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ED6-42EF-B80D-1A88A9DA346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'AVE-REPR'!$Q$12:$Q$13</c:f>
              <c:strCache>
                <c:ptCount val="2"/>
                <c:pt idx="0">
                  <c:v>CATALUÑA</c:v>
                </c:pt>
                <c:pt idx="1">
                  <c:v>C. VALENCIANA</c:v>
                </c:pt>
              </c:strCache>
            </c:strRef>
          </c:cat>
          <c:val>
            <c:numRef>
              <c:f>'AVE-REPR'!$S$12:$S$13</c:f>
              <c:numCache>
                <c:formatCode>#,##0</c:formatCode>
                <c:ptCount val="2"/>
                <c:pt idx="0">
                  <c:v>2671.2499999999955</c:v>
                </c:pt>
                <c:pt idx="1">
                  <c:v>449.85999999999979</c:v>
                </c:pt>
              </c:numCache>
            </c:numRef>
          </c:val>
          <c:extLst>
            <c:ext xmlns:c15="http://schemas.microsoft.com/office/drawing/2012/chart" uri="{02D57815-91ED-43cb-92C2-25804820EDAC}">
              <c15:datalabelsRange>
                <c15:f>'AVE-REPR'!$T$12:$T$13</c15:f>
                <c15:dlblRangeCache>
                  <c:ptCount val="2"/>
                  <c:pt idx="0">
                    <c:v>-5,9%</c:v>
                  </c:pt>
                  <c:pt idx="1">
                    <c:v>4,4%</c:v>
                  </c:pt>
                </c15:dlblRangeCache>
              </c15:datalabelsRange>
            </c:ext>
            <c:ext xmlns:c16="http://schemas.microsoft.com/office/drawing/2014/chart" uri="{C3380CC4-5D6E-409C-BE32-E72D297353CC}">
              <c16:uniqueId val="{00000002-AED6-42EF-B80D-1A88A9DA3466}"/>
            </c:ext>
          </c:extLst>
        </c:ser>
        <c:dLbls>
          <c:showLegendKey val="0"/>
          <c:showVal val="0"/>
          <c:showCatName val="0"/>
          <c:showSerName val="0"/>
          <c:showPercent val="0"/>
          <c:showBubbleSize val="0"/>
        </c:dLbls>
        <c:gapWidth val="330"/>
        <c:axId val="97578272"/>
        <c:axId val="97578816"/>
      </c:barChart>
      <c:catAx>
        <c:axId val="97578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8816"/>
        <c:crosses val="autoZero"/>
        <c:auto val="1"/>
        <c:lblAlgn val="ctr"/>
        <c:lblOffset val="100"/>
        <c:noMultiLvlLbl val="0"/>
      </c:catAx>
      <c:valAx>
        <c:axId val="9757881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Avellano Regadío: </a:t>
            </a:r>
            <a:r>
              <a:rPr lang="es-ES" u="sng"/>
              <a:t>Cataluña</a:t>
            </a:r>
            <a:r>
              <a:rPr lang="es-ES"/>
              <a:t> </a:t>
            </a:r>
          </a:p>
          <a:p>
            <a:pPr>
              <a:defRPr sz="1400" b="0" i="0" u="none" strike="noStrike" kern="1200" spc="0" baseline="0">
                <a:solidFill>
                  <a:sysClr val="windowText" lastClr="000000"/>
                </a:solidFill>
                <a:latin typeface="+mn-lt"/>
                <a:ea typeface="+mn-ea"/>
                <a:cs typeface="+mn-cs"/>
              </a:defRPr>
            </a:pPr>
            <a:r>
              <a:rPr lang="es-ES"/>
              <a:t>RSU REGEPA VS SUPERFICIE ANUAL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7287769949808907"/>
          <c:y val="0.28723652056448279"/>
          <c:w val="0.79495855781185243"/>
          <c:h val="0.50031349951451409"/>
        </c:manualLayout>
      </c:layout>
      <c:barChart>
        <c:barDir val="col"/>
        <c:grouping val="clustered"/>
        <c:varyColors val="0"/>
        <c:ser>
          <c:idx val="1"/>
          <c:order val="0"/>
          <c:tx>
            <c:strRef>
              <c:f>'AVE-REPR'!$M$67</c:f>
              <c:strCache>
                <c:ptCount val="1"/>
                <c:pt idx="0">
                  <c:v>SUP.ANUALES 2021</c:v>
                </c:pt>
              </c:strCache>
            </c:strRef>
          </c:tx>
          <c:spPr>
            <a:solidFill>
              <a:schemeClr val="accent5">
                <a:shade val="76000"/>
              </a:schemeClr>
            </a:solidFill>
            <a:ln>
              <a:noFill/>
            </a:ln>
            <a:effectLst/>
          </c:spPr>
          <c:invertIfNegative val="0"/>
          <c:cat>
            <c:strRef>
              <c:f>'AVE-REPR'!$K$68</c:f>
              <c:strCache>
                <c:ptCount val="1"/>
                <c:pt idx="0">
                  <c:v>CATALUÑA</c:v>
                </c:pt>
              </c:strCache>
            </c:strRef>
          </c:cat>
          <c:val>
            <c:numRef>
              <c:f>'AVE-REPR'!$M$68</c:f>
              <c:numCache>
                <c:formatCode>#,##0</c:formatCode>
                <c:ptCount val="1"/>
                <c:pt idx="0">
                  <c:v>8323</c:v>
                </c:pt>
              </c:numCache>
            </c:numRef>
          </c:val>
          <c:extLst>
            <c:ext xmlns:c16="http://schemas.microsoft.com/office/drawing/2014/chart" uri="{C3380CC4-5D6E-409C-BE32-E72D297353CC}">
              <c16:uniqueId val="{00000000-564D-44BF-A996-538C08291899}"/>
            </c:ext>
          </c:extLst>
        </c:ser>
        <c:ser>
          <c:idx val="0"/>
          <c:order val="1"/>
          <c:tx>
            <c:strRef>
              <c:f>'AVE-REPR'!$L$67</c:f>
              <c:strCache>
                <c:ptCount val="1"/>
                <c:pt idx="0">
                  <c:v>RSU REGEPA 2021</c:v>
                </c:pt>
              </c:strCache>
            </c:strRef>
          </c:tx>
          <c:spPr>
            <a:solidFill>
              <a:schemeClr val="accent5">
                <a:tint val="77000"/>
              </a:schemeClr>
            </a:solidFill>
            <a:ln>
              <a:noFill/>
            </a:ln>
            <a:effectLst/>
          </c:spPr>
          <c:invertIfNegative val="0"/>
          <c:dLbls>
            <c:dLbl>
              <c:idx val="0"/>
              <c:layout>
                <c:manualLayout>
                  <c:x val="-0.10977242302543508"/>
                  <c:y val="-7.9522846224939867E-2"/>
                </c:manualLayout>
              </c:layout>
              <c:tx>
                <c:rich>
                  <a:bodyPr/>
                  <a:lstStyle/>
                  <a:p>
                    <a:fld id="{20F8D1E5-93E8-4F36-8029-6AF44FB83CD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64D-44BF-A996-538C0829189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'AVE-REPR'!$K$68</c:f>
              <c:strCache>
                <c:ptCount val="1"/>
                <c:pt idx="0">
                  <c:v>CATALUÑA</c:v>
                </c:pt>
              </c:strCache>
            </c:strRef>
          </c:cat>
          <c:val>
            <c:numRef>
              <c:f>'AVE-REPR'!$L$68</c:f>
              <c:numCache>
                <c:formatCode>#,##0</c:formatCode>
                <c:ptCount val="1"/>
                <c:pt idx="0">
                  <c:v>6685.1699999999955</c:v>
                </c:pt>
              </c:numCache>
            </c:numRef>
          </c:val>
          <c:extLst>
            <c:ext xmlns:c15="http://schemas.microsoft.com/office/drawing/2012/chart" uri="{02D57815-91ED-43cb-92C2-25804820EDAC}">
              <c15:datalabelsRange>
                <c15:f>'AVE-REPR'!$N$68</c15:f>
                <c15:dlblRangeCache>
                  <c:ptCount val="1"/>
                  <c:pt idx="0">
                    <c:v>80%</c:v>
                  </c:pt>
                </c15:dlblRangeCache>
              </c15:datalabelsRange>
            </c:ext>
            <c:ext xmlns:c16="http://schemas.microsoft.com/office/drawing/2014/chart" uri="{C3380CC4-5D6E-409C-BE32-E72D297353CC}">
              <c16:uniqueId val="{00000002-2799-4C7E-8D48-E729C06EED58}"/>
            </c:ext>
          </c:extLst>
        </c:ser>
        <c:dLbls>
          <c:showLegendKey val="0"/>
          <c:showVal val="0"/>
          <c:showCatName val="0"/>
          <c:showSerName val="0"/>
          <c:showPercent val="0"/>
          <c:showBubbleSize val="0"/>
        </c:dLbls>
        <c:gapWidth val="219"/>
        <c:overlap val="-27"/>
        <c:axId val="97584256"/>
        <c:axId val="97579360"/>
      </c:barChart>
      <c:catAx>
        <c:axId val="975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9360"/>
        <c:crosses val="autoZero"/>
        <c:auto val="1"/>
        <c:lblAlgn val="ctr"/>
        <c:lblOffset val="100"/>
        <c:noMultiLvlLbl val="0"/>
      </c:catAx>
      <c:valAx>
        <c:axId val="9757936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a:t>
                </a:r>
                <a:r>
                  <a:rPr lang="es-ES" b="1" baseline="0">
                    <a:solidFill>
                      <a:schemeClr val="tx1"/>
                    </a:solidFill>
                  </a:rPr>
                  <a:t> (ha)</a:t>
                </a:r>
                <a:endParaRPr lang="es-ES" b="1">
                  <a:solidFill>
                    <a:schemeClr val="tx1"/>
                  </a:solidFill>
                </a:endParaRPr>
              </a:p>
            </c:rich>
          </c:tx>
          <c:layout>
            <c:manualLayout>
              <c:xMode val="edge"/>
              <c:yMode val="edge"/>
              <c:x val="2.5448957038264955E-2"/>
              <c:y val="0.3315580884127072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4256"/>
        <c:crosses val="autoZero"/>
        <c:crossBetween val="between"/>
      </c:valAx>
      <c:spPr>
        <a:noFill/>
        <a:ln>
          <a:noFill/>
        </a:ln>
        <a:effectLst/>
      </c:spPr>
    </c:plotArea>
    <c:legend>
      <c:legendPos val="b"/>
      <c:layout>
        <c:manualLayout>
          <c:xMode val="edge"/>
          <c:yMode val="edge"/>
          <c:x val="0.24411935350186489"/>
          <c:y val="0.89993312566947381"/>
          <c:w val="0.55269696551089009"/>
          <c:h val="8.94638281672008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Avellano Regadío: </a:t>
            </a:r>
            <a:r>
              <a:rPr lang="es-ES" u="sng"/>
              <a:t>Cataluña</a:t>
            </a:r>
            <a:endParaRPr lang="es-ES"/>
          </a:p>
          <a:p>
            <a:pPr>
              <a:defRPr sz="1400" b="0" i="0" u="none" strike="noStrike" kern="1200" spc="0" baseline="0">
                <a:solidFill>
                  <a:sysClr val="windowText" lastClr="000000"/>
                </a:solidFill>
                <a:latin typeface="+mn-lt"/>
                <a:ea typeface="+mn-ea"/>
                <a:cs typeface="+mn-cs"/>
              </a:defRPr>
            </a:pPr>
            <a:r>
              <a:rPr lang="es-ES"/>
              <a:t>RSU REGEPA 2021 vs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'AVE-REPR'!$Q$67</c:f>
              <c:strCache>
                <c:ptCount val="1"/>
                <c:pt idx="0">
                  <c:v>RSU REGEPA 2020</c:v>
                </c:pt>
              </c:strCache>
            </c:strRef>
          </c:tx>
          <c:spPr>
            <a:solidFill>
              <a:schemeClr val="accent5">
                <a:shade val="76000"/>
              </a:schemeClr>
            </a:solidFill>
            <a:ln>
              <a:noFill/>
            </a:ln>
            <a:effectLst/>
          </c:spPr>
          <c:invertIfNegative val="0"/>
          <c:cat>
            <c:strRef>
              <c:f>'AVE-REPR'!$P$68</c:f>
              <c:strCache>
                <c:ptCount val="1"/>
                <c:pt idx="0">
                  <c:v>CATALUÑA</c:v>
                </c:pt>
              </c:strCache>
            </c:strRef>
          </c:cat>
          <c:val>
            <c:numRef>
              <c:f>'AVE-REPR'!$Q$68</c:f>
              <c:numCache>
                <c:formatCode>#,##0</c:formatCode>
                <c:ptCount val="1"/>
                <c:pt idx="0">
                  <c:v>6869.3400000000047</c:v>
                </c:pt>
              </c:numCache>
            </c:numRef>
          </c:val>
          <c:extLst>
            <c:ext xmlns:c16="http://schemas.microsoft.com/office/drawing/2014/chart" uri="{C3380CC4-5D6E-409C-BE32-E72D297353CC}">
              <c16:uniqueId val="{00000000-FBE3-46E4-80D6-E42433882EAC}"/>
            </c:ext>
          </c:extLst>
        </c:ser>
        <c:ser>
          <c:idx val="1"/>
          <c:order val="1"/>
          <c:tx>
            <c:strRef>
              <c:f>'AVE-REPR'!$R$67</c:f>
              <c:strCache>
                <c:ptCount val="1"/>
                <c:pt idx="0">
                  <c:v>RSU REGEPA 2021</c:v>
                </c:pt>
              </c:strCache>
            </c:strRef>
          </c:tx>
          <c:spPr>
            <a:solidFill>
              <a:schemeClr val="accent5">
                <a:tint val="77000"/>
              </a:schemeClr>
            </a:solidFill>
            <a:ln>
              <a:noFill/>
            </a:ln>
            <a:effectLst/>
          </c:spPr>
          <c:invertIfNegative val="0"/>
          <c:dLbls>
            <c:dLbl>
              <c:idx val="0"/>
              <c:layout>
                <c:manualLayout>
                  <c:x val="-6.1518536506394689E-2"/>
                  <c:y val="-1.0268256171161319E-2"/>
                </c:manualLayout>
              </c:layout>
              <c:tx>
                <c:rich>
                  <a:bodyPr/>
                  <a:lstStyle/>
                  <a:p>
                    <a:fld id="{35B448FB-3F83-4C2E-9C50-4F7E383A1AB1}"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F69-429F-B340-3FE390BD9C7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'AVE-REPR'!$P$68</c:f>
              <c:strCache>
                <c:ptCount val="1"/>
                <c:pt idx="0">
                  <c:v>CATALUÑA</c:v>
                </c:pt>
              </c:strCache>
            </c:strRef>
          </c:cat>
          <c:val>
            <c:numRef>
              <c:f>'AVE-REPR'!$R$68</c:f>
              <c:numCache>
                <c:formatCode>#,##0</c:formatCode>
                <c:ptCount val="1"/>
                <c:pt idx="0">
                  <c:v>6685.1699999999955</c:v>
                </c:pt>
              </c:numCache>
            </c:numRef>
          </c:val>
          <c:extLst>
            <c:ext xmlns:c15="http://schemas.microsoft.com/office/drawing/2012/chart" uri="{02D57815-91ED-43cb-92C2-25804820EDAC}">
              <c15:datalabelsRange>
                <c15:f>'AVE-REPR'!$S$68</c15:f>
                <c15:dlblRangeCache>
                  <c:ptCount val="1"/>
                  <c:pt idx="0">
                    <c:v>-3%</c:v>
                  </c:pt>
                </c15:dlblRangeCache>
              </c15:datalabelsRange>
            </c:ext>
            <c:ext xmlns:c16="http://schemas.microsoft.com/office/drawing/2014/chart" uri="{C3380CC4-5D6E-409C-BE32-E72D297353CC}">
              <c16:uniqueId val="{00000001-CF69-429F-B340-3FE390BD9C7E}"/>
            </c:ext>
          </c:extLst>
        </c:ser>
        <c:dLbls>
          <c:showLegendKey val="0"/>
          <c:showVal val="0"/>
          <c:showCatName val="0"/>
          <c:showSerName val="0"/>
          <c:showPercent val="0"/>
          <c:showBubbleSize val="0"/>
        </c:dLbls>
        <c:gapWidth val="330"/>
        <c:axId val="97579904"/>
        <c:axId val="97589696"/>
      </c:barChart>
      <c:catAx>
        <c:axId val="9757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9696"/>
        <c:crosses val="autoZero"/>
        <c:auto val="1"/>
        <c:lblAlgn val="ctr"/>
        <c:lblOffset val="100"/>
        <c:noMultiLvlLbl val="0"/>
      </c:catAx>
      <c:valAx>
        <c:axId val="975896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9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'AVE-REPR'!$F$5</c:f>
              <c:strCache>
                <c:ptCount val="1"/>
                <c:pt idx="0">
                  <c:v>AVELLANO SEC</c:v>
                </c:pt>
              </c:strCache>
            </c:strRef>
          </c:tx>
          <c:spPr>
            <a:solidFill>
              <a:srgbClr val="AC4F10"/>
            </a:solidFill>
            <a:ln>
              <a:noFill/>
            </a:ln>
            <a:effectLst/>
            <a:sp3d/>
          </c:spPr>
          <c:invertIfNegative val="0"/>
          <c:dLbls>
            <c:dLbl>
              <c:idx val="0"/>
              <c:tx>
                <c:rich>
                  <a:bodyPr/>
                  <a:lstStyle/>
                  <a:p>
                    <a:fld id="{546F615E-4AF1-4354-8E0D-BBB738E0833B}" type="CELLRANGE">
                      <a:rPr lang="es-ES"/>
                      <a:pPr/>
                      <a:t>[CELLRANGE]</a:t>
                    </a:fld>
                    <a:r>
                      <a:rPr lang="es-ES" baseline="0"/>
                      <a:t> </a:t>
                    </a:r>
                    <a:fld id="{798C7522-853B-4AF0-8703-C5C9F2308BD1}" type="SERIESNAME">
                      <a:rPr lang="es-ES" baseline="0"/>
                      <a:pPr/>
                      <a:t>[NOMBRE DE LA SERIE]</a:t>
                    </a:fld>
                    <a:endParaRPr lang="es-ES" baseline="0"/>
                  </a:p>
                </c:rich>
              </c:tx>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A7C-4EA9-86E8-E7A257920D9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'AVE-REPR'!$G$5</c:f>
              <c:numCache>
                <c:formatCode>#,##0</c:formatCode>
                <c:ptCount val="1"/>
                <c:pt idx="0">
                  <c:v>3168.979999999995</c:v>
                </c:pt>
              </c:numCache>
            </c:numRef>
          </c:val>
          <c:extLst>
            <c:ext xmlns:c15="http://schemas.microsoft.com/office/drawing/2012/chart" uri="{02D57815-91ED-43cb-92C2-25804820EDAC}">
              <c15:datalabelsRange>
                <c15:f>'AVE-REPR'!$H$5</c15:f>
                <c15:dlblRangeCache>
                  <c:ptCount val="1"/>
                  <c:pt idx="0">
                    <c:v>32%</c:v>
                  </c:pt>
                </c15:dlblRangeCache>
              </c15:datalabelsRange>
            </c:ext>
            <c:ext xmlns:c16="http://schemas.microsoft.com/office/drawing/2014/chart" uri="{C3380CC4-5D6E-409C-BE32-E72D297353CC}">
              <c16:uniqueId val="{00000001-1A7C-4EA9-86E8-E7A257920D99}"/>
            </c:ext>
          </c:extLst>
        </c:ser>
        <c:ser>
          <c:idx val="1"/>
          <c:order val="1"/>
          <c:tx>
            <c:strRef>
              <c:f>'AVE-REPR'!$F$6</c:f>
              <c:strCache>
                <c:ptCount val="1"/>
                <c:pt idx="0">
                  <c:v>AVELLANO REG</c:v>
                </c:pt>
              </c:strCache>
            </c:strRef>
          </c:tx>
          <c:spPr>
            <a:solidFill>
              <a:schemeClr val="accent5">
                <a:lumMod val="60000"/>
                <a:lumOff val="40000"/>
              </a:schemeClr>
            </a:solidFill>
            <a:ln>
              <a:noFill/>
            </a:ln>
            <a:effectLst/>
            <a:sp3d/>
          </c:spPr>
          <c:invertIfNegative val="0"/>
          <c:dLbls>
            <c:dLbl>
              <c:idx val="0"/>
              <c:tx>
                <c:rich>
                  <a:bodyPr/>
                  <a:lstStyle/>
                  <a:p>
                    <a:fld id="{6B1E63C8-D044-4E89-8253-D9A27EF1FE99}" type="CELLRANGE">
                      <a:rPr lang="es-ES"/>
                      <a:pPr/>
                      <a:t>[CELLRANGE]</a:t>
                    </a:fld>
                    <a:r>
                      <a:rPr lang="es-ES" baseline="0"/>
                      <a:t> </a:t>
                    </a:r>
                    <a:fld id="{59E7D343-075A-4BBE-B077-C9140EE84349}" type="SERIESNAME">
                      <a:rPr lang="es-ES" baseline="0"/>
                      <a:pPr/>
                      <a:t>[NOMBRE DE LA SERIE]</a:t>
                    </a:fld>
                    <a:endParaRPr lang="es-ES" baseline="0"/>
                  </a:p>
                </c:rich>
              </c:tx>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A7C-4EA9-86E8-E7A257920D9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'AVE-REPR'!$G$6</c:f>
              <c:numCache>
                <c:formatCode>#,##0</c:formatCode>
                <c:ptCount val="1"/>
                <c:pt idx="0">
                  <c:v>6742.1799999999957</c:v>
                </c:pt>
              </c:numCache>
            </c:numRef>
          </c:val>
          <c:extLst>
            <c:ext xmlns:c15="http://schemas.microsoft.com/office/drawing/2012/chart" uri="{02D57815-91ED-43cb-92C2-25804820EDAC}">
              <c15:datalabelsRange>
                <c15:f>'AVE-REPR'!$H$6</c15:f>
                <c15:dlblRangeCache>
                  <c:ptCount val="1"/>
                  <c:pt idx="0">
                    <c:v>68%</c:v>
                  </c:pt>
                </c15:dlblRangeCache>
              </c15:datalabelsRange>
            </c:ext>
            <c:ext xmlns:c16="http://schemas.microsoft.com/office/drawing/2014/chart" uri="{C3380CC4-5D6E-409C-BE32-E72D297353CC}">
              <c16:uniqueId val="{00000003-1A7C-4EA9-86E8-E7A257920D99}"/>
            </c:ext>
          </c:extLst>
        </c:ser>
        <c:dLbls>
          <c:showLegendKey val="0"/>
          <c:showVal val="0"/>
          <c:showCatName val="0"/>
          <c:showSerName val="0"/>
          <c:showPercent val="0"/>
          <c:showBubbleSize val="0"/>
        </c:dLbls>
        <c:gapWidth val="150"/>
        <c:shape val="box"/>
        <c:axId val="1591255920"/>
        <c:axId val="1591243024"/>
        <c:axId val="0"/>
      </c:bar3DChart>
      <c:catAx>
        <c:axId val="1591255920"/>
        <c:scaling>
          <c:orientation val="minMax"/>
        </c:scaling>
        <c:delete val="1"/>
        <c:axPos val="l"/>
        <c:numFmt formatCode="General" sourceLinked="1"/>
        <c:majorTickMark val="none"/>
        <c:minorTickMark val="none"/>
        <c:tickLblPos val="nextTo"/>
        <c:crossAx val="1591243024"/>
        <c:crosses val="autoZero"/>
        <c:auto val="1"/>
        <c:lblAlgn val="ctr"/>
        <c:lblOffset val="100"/>
        <c:noMultiLvlLbl val="0"/>
      </c:catAx>
      <c:valAx>
        <c:axId val="1591243024"/>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591255920"/>
        <c:crosses val="autoZero"/>
        <c:crossBetween val="between"/>
      </c:valAx>
      <c:spPr>
        <a:solidFill>
          <a:schemeClr val="accent2">
            <a:lumMod val="40000"/>
            <a:lumOff val="60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Avellano  Secano:</a:t>
            </a:r>
          </a:p>
          <a:p>
            <a:pPr>
              <a:defRPr sz="1400" b="0" i="0" u="none" strike="noStrike" kern="1200" spc="0" baseline="0">
                <a:solidFill>
                  <a:sysClr val="windowText" lastClr="000000"/>
                </a:solidFill>
                <a:latin typeface="+mn-lt"/>
                <a:ea typeface="+mn-ea"/>
                <a:cs typeface="+mn-cs"/>
              </a:defRPr>
            </a:pPr>
            <a:r>
              <a:rPr lang="es-ES"/>
              <a:t>Representatividad 2020 vs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'AVE-REPR'!$O$11</c:f>
              <c:strCache>
                <c:ptCount val="1"/>
                <c:pt idx="0">
                  <c:v>Representatividad 2020</c:v>
                </c:pt>
              </c:strCache>
            </c:strRef>
          </c:tx>
          <c:spPr>
            <a:solidFill>
              <a:schemeClr val="accent4">
                <a:lumMod val="60000"/>
                <a:lumOff val="40000"/>
              </a:schemeClr>
            </a:solidFill>
            <a:ln>
              <a:noFill/>
            </a:ln>
            <a:effectLst/>
          </c:spPr>
          <c:invertIfNegative val="0"/>
          <c:cat>
            <c:strRef>
              <c:f>'AVE-REPR'!$K$12:$K$13</c:f>
              <c:strCache>
                <c:ptCount val="2"/>
                <c:pt idx="0">
                  <c:v>CATALUÑA</c:v>
                </c:pt>
                <c:pt idx="1">
                  <c:v>C. VALENCIANA</c:v>
                </c:pt>
              </c:strCache>
            </c:strRef>
          </c:cat>
          <c:val>
            <c:numRef>
              <c:f>'AVE-REPR'!$O$12:$O$13</c:f>
              <c:numCache>
                <c:formatCode>0%</c:formatCode>
                <c:ptCount val="2"/>
                <c:pt idx="0">
                  <c:v>0.77769251849821863</c:v>
                </c:pt>
                <c:pt idx="1">
                  <c:v>0.46185423365487671</c:v>
                </c:pt>
              </c:numCache>
            </c:numRef>
          </c:val>
          <c:extLst>
            <c:ext xmlns:c16="http://schemas.microsoft.com/office/drawing/2014/chart" uri="{C3380CC4-5D6E-409C-BE32-E72D297353CC}">
              <c16:uniqueId val="{00000003-9151-4995-9F00-804C460CAE1E}"/>
            </c:ext>
          </c:extLst>
        </c:ser>
        <c:ser>
          <c:idx val="0"/>
          <c:order val="1"/>
          <c:tx>
            <c:strRef>
              <c:f>'AVE-REPR'!$N$11</c:f>
              <c:strCache>
                <c:ptCount val="1"/>
                <c:pt idx="0">
                  <c:v>Representatividad 2021</c:v>
                </c:pt>
              </c:strCache>
            </c:strRef>
          </c:tx>
          <c:spPr>
            <a:solidFill>
              <a:schemeClr val="accent4">
                <a:lumMod val="75000"/>
              </a:schemeClr>
            </a:solidFill>
            <a:ln>
              <a:noFill/>
            </a:ln>
            <a:effectLst/>
          </c:spPr>
          <c:invertIfNegative val="0"/>
          <c:cat>
            <c:strRef>
              <c:f>'AVE-REPR'!$K$12:$K$13</c:f>
              <c:strCache>
                <c:ptCount val="2"/>
                <c:pt idx="0">
                  <c:v>CATALUÑA</c:v>
                </c:pt>
                <c:pt idx="1">
                  <c:v>C. VALENCIANA</c:v>
                </c:pt>
              </c:strCache>
            </c:strRef>
          </c:cat>
          <c:val>
            <c:numRef>
              <c:f>'AVE-REPR'!$N$12:$N$13</c:f>
              <c:numCache>
                <c:formatCode>0%</c:formatCode>
                <c:ptCount val="2"/>
                <c:pt idx="0">
                  <c:v>0.73873064159291912</c:v>
                </c:pt>
                <c:pt idx="1">
                  <c:v>0.49708287292817654</c:v>
                </c:pt>
              </c:numCache>
            </c:numRef>
          </c:val>
          <c:extLst>
            <c:ext xmlns:c16="http://schemas.microsoft.com/office/drawing/2014/chart" uri="{C3380CC4-5D6E-409C-BE32-E72D297353CC}">
              <c16:uniqueId val="{00000000-9151-4995-9F00-804C460CAE1E}"/>
            </c:ext>
          </c:extLst>
        </c:ser>
        <c:dLbls>
          <c:showLegendKey val="0"/>
          <c:showVal val="0"/>
          <c:showCatName val="0"/>
          <c:showSerName val="0"/>
          <c:showPercent val="0"/>
          <c:showBubbleSize val="0"/>
        </c:dLbls>
        <c:gapWidth val="329"/>
        <c:axId val="97577728"/>
        <c:axId val="97575008"/>
      </c:barChart>
      <c:catAx>
        <c:axId val="9757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5008"/>
        <c:crosses val="autoZero"/>
        <c:auto val="1"/>
        <c:lblAlgn val="ctr"/>
        <c:lblOffset val="100"/>
        <c:noMultiLvlLbl val="0"/>
      </c:catAx>
      <c:valAx>
        <c:axId val="97575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7728"/>
        <c:crosses val="autoZero"/>
        <c:crossBetween val="between"/>
      </c:valAx>
      <c:spPr>
        <a:noFill/>
        <a:ln>
          <a:noFill/>
        </a:ln>
        <a:effectLst/>
      </c:spPr>
    </c:plotArea>
    <c:legend>
      <c:legendPos val="b"/>
      <c:layout>
        <c:manualLayout>
          <c:xMode val="edge"/>
          <c:yMode val="edge"/>
          <c:x val="0.38012096353381264"/>
          <c:y val="0.88087429542899176"/>
          <c:w val="0.56563367983248547"/>
          <c:h val="8.787977945789550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1400" b="1" i="0" u="none" strike="noStrike" kern="1200" spc="0" baseline="0">
                <a:solidFill>
                  <a:sysClr val="windowText" lastClr="000000">
                    <a:lumMod val="65000"/>
                    <a:lumOff val="35000"/>
                  </a:sysClr>
                </a:solidFill>
                <a:latin typeface="+mn-lt"/>
                <a:ea typeface="+mn-ea"/>
                <a:cs typeface="+mn-cs"/>
              </a:defRPr>
            </a:pPr>
            <a:r>
              <a:rPr lang="es-ES" sz="1400" b="1" i="0" u="none" strike="noStrike" kern="1200" spc="0" baseline="0">
                <a:solidFill>
                  <a:sysClr val="windowText" lastClr="000000">
                    <a:lumMod val="65000"/>
                    <a:lumOff val="35000"/>
                  </a:sysClr>
                </a:solidFill>
                <a:latin typeface="+mn-lt"/>
                <a:ea typeface="+mn-ea"/>
                <a:cs typeface="+mn-cs"/>
              </a:rPr>
              <a:t>Frutos Secos: </a:t>
            </a:r>
          </a:p>
          <a:p>
            <a:pPr algn="ctr" rtl="0">
              <a:defRPr lang="es-ES" sz="1400" b="1" i="0" u="none" strike="noStrike" kern="1200" spc="0" baseline="0">
                <a:solidFill>
                  <a:sysClr val="windowText" lastClr="000000">
                    <a:lumMod val="65000"/>
                    <a:lumOff val="35000"/>
                  </a:sysClr>
                </a:solidFill>
                <a:latin typeface="+mn-lt"/>
                <a:ea typeface="+mn-ea"/>
                <a:cs typeface="+mn-cs"/>
              </a:defRPr>
            </a:pPr>
            <a:r>
              <a:rPr lang="es-ES" sz="1400" b="0" i="0" u="none" strike="noStrike" kern="1200" spc="0" baseline="0">
                <a:solidFill>
                  <a:sysClr val="windowText" lastClr="000000">
                    <a:lumMod val="65000"/>
                    <a:lumOff val="35000"/>
                  </a:sysClr>
                </a:solidFill>
                <a:latin typeface="+mn-lt"/>
                <a:ea typeface="+mn-ea"/>
                <a:cs typeface="+mn-cs"/>
              </a:rPr>
              <a:t>Representatividad RSU REGEPA 2020 vs 2021 por regiones</a:t>
            </a:r>
          </a:p>
        </c:rich>
      </c:tx>
      <c:overlay val="0"/>
      <c:spPr>
        <a:noFill/>
        <a:ln>
          <a:noFill/>
        </a:ln>
        <a:effectLst/>
      </c:spPr>
      <c:txPr>
        <a:bodyPr rot="0" spcFirstLastPara="1" vertOverflow="ellipsis" vert="horz" wrap="square" anchor="ctr" anchorCtr="1"/>
        <a:lstStyle/>
        <a:p>
          <a:pPr algn="ctr" rtl="0">
            <a:defRPr lang="es-ES" sz="1400" b="1" i="0" u="none" strike="noStrike" kern="1200" spc="0" baseline="0">
              <a:solidFill>
                <a:sysClr val="windowText" lastClr="000000">
                  <a:lumMod val="65000"/>
                  <a:lumOff val="35000"/>
                </a:sysClr>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2020</c:v>
          </c:tx>
          <c:spPr>
            <a:solidFill>
              <a:schemeClr val="accent2">
                <a:lumMod val="60000"/>
                <a:lumOff val="40000"/>
              </a:schemeClr>
            </a:solidFill>
            <a:ln>
              <a:solidFill>
                <a:srgbClr val="663300"/>
              </a:solidFill>
            </a:ln>
            <a:effectLst/>
            <a:sp3d>
              <a:contourClr>
                <a:srgbClr val="663300"/>
              </a:contourClr>
            </a:sp3d>
          </c:spPr>
          <c:invertIfNegative val="0"/>
          <c:dLbls>
            <c:dLbl>
              <c:idx val="0"/>
              <c:layout>
                <c:manualLayout>
                  <c:x val="-2.2941973967182138E-3"/>
                  <c:y val="0.22062837179065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DE-4BA4-B41D-4800A8158485}"/>
                </c:ext>
              </c:extLst>
            </c:dLbl>
            <c:dLbl>
              <c:idx val="1"/>
              <c:layout>
                <c:manualLayout>
                  <c:x val="-2.2941973967182559E-3"/>
                  <c:y val="0.27481779644099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DE-4BA4-B41D-4800A8158485}"/>
                </c:ext>
              </c:extLst>
            </c:dLbl>
            <c:dLbl>
              <c:idx val="2"/>
              <c:layout>
                <c:manualLayout>
                  <c:x val="0"/>
                  <c:y val="0.16643894714031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DE-4BA4-B41D-4800A8158485}"/>
                </c:ext>
              </c:extLst>
            </c:dLbl>
            <c:dLbl>
              <c:idx val="3"/>
              <c:layout>
                <c:manualLayout>
                  <c:x val="-2.294197396718298E-3"/>
                  <c:y val="0.259335103683753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DE-4BA4-B41D-4800A8158485}"/>
                </c:ext>
              </c:extLst>
            </c:dLbl>
            <c:dLbl>
              <c:idx val="4"/>
              <c:layout>
                <c:manualLayout>
                  <c:x val="0"/>
                  <c:y val="0.243852410926514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DE-4BA4-B41D-4800A8158485}"/>
                </c:ext>
              </c:extLst>
            </c:dLbl>
            <c:dLbl>
              <c:idx val="5"/>
              <c:layout>
                <c:manualLayout>
                  <c:x val="0"/>
                  <c:y val="0.21288702541203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DE-4BA4-B41D-4800A8158485}"/>
                </c:ext>
              </c:extLst>
            </c:dLbl>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'FRUTOS SECOS TOTAL'!$A$29:$A$37</c15:sqref>
                  </c15:fullRef>
                </c:ext>
              </c:extLst>
              <c:f>'FRUTOS SECOS TOTAL'!$A$29:$A$34</c:f>
              <c:strCache>
                <c:ptCount val="6"/>
                <c:pt idx="0">
                  <c:v>ANDALUCÍA</c:v>
                </c:pt>
                <c:pt idx="1">
                  <c:v>C.-LA MANCHA</c:v>
                </c:pt>
                <c:pt idx="2">
                  <c:v>C. VALENCIANA</c:v>
                </c:pt>
                <c:pt idx="3">
                  <c:v>ARAGÓN</c:v>
                </c:pt>
                <c:pt idx="4">
                  <c:v>MURCIA</c:v>
                </c:pt>
                <c:pt idx="5">
                  <c:v>CATALUÑA</c:v>
                </c:pt>
              </c:strCache>
            </c:strRef>
          </c:cat>
          <c:val>
            <c:numRef>
              <c:extLst>
                <c:ext xmlns:c15="http://schemas.microsoft.com/office/drawing/2012/chart" uri="{02D57815-91ED-43cb-92C2-25804820EDAC}">
                  <c15:fullRef>
                    <c15:sqref>'FRUTOS SECOS TOTAL'!$P$44:$P$52</c15:sqref>
                  </c15:fullRef>
                </c:ext>
              </c:extLst>
              <c:f>'FRUTOS SECOS TOTAL'!$P$44:$P$49</c:f>
              <c:numCache>
                <c:formatCode>0%</c:formatCode>
                <c:ptCount val="6"/>
                <c:pt idx="0">
                  <c:v>0.73365633261198049</c:v>
                </c:pt>
                <c:pt idx="1">
                  <c:v>1.0040069685156947</c:v>
                </c:pt>
                <c:pt idx="2">
                  <c:v>0.62449712197719831</c:v>
                </c:pt>
                <c:pt idx="3">
                  <c:v>0.92915095660289271</c:v>
                </c:pt>
                <c:pt idx="4">
                  <c:v>0.9630579157030924</c:v>
                </c:pt>
                <c:pt idx="5">
                  <c:v>0.82141320248531779</c:v>
                </c:pt>
              </c:numCache>
            </c:numRef>
          </c:val>
          <c:extLst>
            <c:ext xmlns:c16="http://schemas.microsoft.com/office/drawing/2014/chart" uri="{C3380CC4-5D6E-409C-BE32-E72D297353CC}">
              <c16:uniqueId val="{00000001-7DDE-4BA4-B41D-4800A8158485}"/>
            </c:ext>
          </c:extLst>
        </c:ser>
        <c:ser>
          <c:idx val="0"/>
          <c:order val="1"/>
          <c:tx>
            <c:v>2021</c:v>
          </c:tx>
          <c:spPr>
            <a:solidFill>
              <a:schemeClr val="accent2">
                <a:lumMod val="50000"/>
              </a:schemeClr>
            </a:solidFill>
            <a:ln>
              <a:noFill/>
            </a:ln>
            <a:effectLst/>
            <a:sp3d/>
          </c:spPr>
          <c:invertIfNegative val="0"/>
          <c:dLbls>
            <c:dLbl>
              <c:idx val="0"/>
              <c:layout>
                <c:manualLayout>
                  <c:x val="-2.2941973967182559E-3"/>
                  <c:y val="0.201275005844107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DE-4BA4-B41D-4800A8158485}"/>
                </c:ext>
              </c:extLst>
            </c:dLbl>
            <c:dLbl>
              <c:idx val="1"/>
              <c:layout>
                <c:manualLayout>
                  <c:x val="-2.2941973967182138E-3"/>
                  <c:y val="0.267076450062372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DE-4BA4-B41D-4800A8158485}"/>
                </c:ext>
              </c:extLst>
            </c:dLbl>
            <c:dLbl>
              <c:idx val="2"/>
              <c:layout>
                <c:manualLayout>
                  <c:x val="-8.4119599456210047E-17"/>
                  <c:y val="0.16256827395100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DE-4BA4-B41D-4800A8158485}"/>
                </c:ext>
              </c:extLst>
            </c:dLbl>
            <c:dLbl>
              <c:idx val="3"/>
              <c:layout>
                <c:manualLayout>
                  <c:x val="0"/>
                  <c:y val="0.247723084115823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DE-4BA4-B41D-4800A8158485}"/>
                </c:ext>
              </c:extLst>
            </c:dLbl>
            <c:dLbl>
              <c:idx val="4"/>
              <c:layout>
                <c:manualLayout>
                  <c:x val="-2.2941973967183821E-3"/>
                  <c:y val="0.239981737737204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DE-4BA4-B41D-4800A8158485}"/>
                </c:ext>
              </c:extLst>
            </c:dLbl>
            <c:dLbl>
              <c:idx val="5"/>
              <c:layout>
                <c:manualLayout>
                  <c:x val="2.2941973967182138E-3"/>
                  <c:y val="0.193533659465487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DE-4BA4-B41D-4800A8158485}"/>
                </c:ext>
              </c:extLst>
            </c:dLbl>
            <c:spPr>
              <a:noFill/>
              <a:ln>
                <a:noFill/>
              </a:ln>
              <a:effectLst/>
            </c:spPr>
            <c:txPr>
              <a:bodyPr rot="-540000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'FRUTOS SECOS TOTAL'!$A$29:$A$37</c15:sqref>
                  </c15:fullRef>
                </c:ext>
              </c:extLst>
              <c:f>'FRUTOS SECOS TOTAL'!$A$29:$A$34</c:f>
              <c:strCache>
                <c:ptCount val="6"/>
                <c:pt idx="0">
                  <c:v>ANDALUCÍA</c:v>
                </c:pt>
                <c:pt idx="1">
                  <c:v>C.-LA MANCHA</c:v>
                </c:pt>
                <c:pt idx="2">
                  <c:v>C. VALENCIANA</c:v>
                </c:pt>
                <c:pt idx="3">
                  <c:v>ARAGÓN</c:v>
                </c:pt>
                <c:pt idx="4">
                  <c:v>MURCIA</c:v>
                </c:pt>
                <c:pt idx="5">
                  <c:v>CATALUÑA</c:v>
                </c:pt>
              </c:strCache>
            </c:strRef>
          </c:cat>
          <c:val>
            <c:numRef>
              <c:extLst>
                <c:ext xmlns:c15="http://schemas.microsoft.com/office/drawing/2012/chart" uri="{02D57815-91ED-43cb-92C2-25804820EDAC}">
                  <c15:fullRef>
                    <c15:sqref>'FRUTOS SECOS TOTAL'!$P$29:$P$37</c15:sqref>
                  </c15:fullRef>
                </c:ext>
              </c:extLst>
              <c:f>'FRUTOS SECOS TOTAL'!$P$29:$P$34</c:f>
              <c:numCache>
                <c:formatCode>0%</c:formatCode>
                <c:ptCount val="6"/>
                <c:pt idx="0">
                  <c:v>0.75139334835282179</c:v>
                </c:pt>
                <c:pt idx="1">
                  <c:v>0.99932798646498455</c:v>
                </c:pt>
                <c:pt idx="2">
                  <c:v>0.65512712121260253</c:v>
                </c:pt>
                <c:pt idx="3">
                  <c:v>0.93313943096329011</c:v>
                </c:pt>
                <c:pt idx="4">
                  <c:v>0.96538738344244612</c:v>
                </c:pt>
                <c:pt idx="5">
                  <c:v>0.77964051915302135</c:v>
                </c:pt>
              </c:numCache>
            </c:numRef>
          </c:val>
          <c:extLst>
            <c:ext xmlns:c16="http://schemas.microsoft.com/office/drawing/2014/chart" uri="{C3380CC4-5D6E-409C-BE32-E72D297353CC}">
              <c16:uniqueId val="{00000000-7DDE-4BA4-B41D-4800A8158485}"/>
            </c:ext>
          </c:extLst>
        </c:ser>
        <c:dLbls>
          <c:showLegendKey val="0"/>
          <c:showVal val="0"/>
          <c:showCatName val="0"/>
          <c:showSerName val="0"/>
          <c:showPercent val="0"/>
          <c:showBubbleSize val="0"/>
        </c:dLbls>
        <c:gapWidth val="150"/>
        <c:shape val="box"/>
        <c:axId val="1118859487"/>
        <c:axId val="1118859903"/>
        <c:axId val="0"/>
      </c:bar3DChart>
      <c:catAx>
        <c:axId val="11188594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18859903"/>
        <c:crosses val="autoZero"/>
        <c:auto val="1"/>
        <c:lblAlgn val="ctr"/>
        <c:lblOffset val="100"/>
        <c:noMultiLvlLbl val="0"/>
      </c:catAx>
      <c:valAx>
        <c:axId val="11188599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18859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Algarrobo Secano: </a:t>
            </a:r>
            <a:r>
              <a:rPr lang="es-ES"/>
              <a:t>RSU REGEPA 2021 vs ESYRCE 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'ALG-REPR'!$M$11</c:f>
              <c:strCache>
                <c:ptCount val="1"/>
                <c:pt idx="0">
                  <c:v>SUP.ANUALES 2021 (ESYRCE)</c:v>
                </c:pt>
              </c:strCache>
            </c:strRef>
          </c:tx>
          <c:spPr>
            <a:solidFill>
              <a:schemeClr val="accent2">
                <a:shade val="76000"/>
              </a:schemeClr>
            </a:solidFill>
            <a:ln>
              <a:noFill/>
            </a:ln>
            <a:effectLst/>
          </c:spPr>
          <c:invertIfNegative val="0"/>
          <c:cat>
            <c:strRef>
              <c:f>'ALG-REPR'!$K$12:$K$16</c:f>
              <c:strCache>
                <c:ptCount val="5"/>
                <c:pt idx="0">
                  <c:v>C. VALENCIANA</c:v>
                </c:pt>
                <c:pt idx="1">
                  <c:v>CATALUÑA</c:v>
                </c:pt>
                <c:pt idx="2">
                  <c:v>ISLAS BALEARES</c:v>
                </c:pt>
                <c:pt idx="3">
                  <c:v>ANDALUCÍA</c:v>
                </c:pt>
                <c:pt idx="4">
                  <c:v>MURCIA</c:v>
                </c:pt>
              </c:strCache>
            </c:strRef>
          </c:cat>
          <c:val>
            <c:numRef>
              <c:f>'ALG-REPR'!$M$12:$M$16</c:f>
              <c:numCache>
                <c:formatCode>#,##0</c:formatCode>
                <c:ptCount val="5"/>
                <c:pt idx="0">
                  <c:v>16019.4</c:v>
                </c:pt>
                <c:pt idx="1">
                  <c:v>6696.9539000000004</c:v>
                </c:pt>
                <c:pt idx="2">
                  <c:v>14245.410099999999</c:v>
                </c:pt>
                <c:pt idx="3">
                  <c:v>2041.8217</c:v>
                </c:pt>
                <c:pt idx="4">
                  <c:v>1747.4893</c:v>
                </c:pt>
              </c:numCache>
            </c:numRef>
          </c:val>
          <c:extLst>
            <c:ext xmlns:c16="http://schemas.microsoft.com/office/drawing/2014/chart" uri="{C3380CC4-5D6E-409C-BE32-E72D297353CC}">
              <c16:uniqueId val="{00000001-DFE6-460C-A92B-00A5E0C8FC10}"/>
            </c:ext>
          </c:extLst>
        </c:ser>
        <c:ser>
          <c:idx val="0"/>
          <c:order val="1"/>
          <c:tx>
            <c:strRef>
              <c:f>'ALG-REPR'!$L$11</c:f>
              <c:strCache>
                <c:ptCount val="1"/>
                <c:pt idx="0">
                  <c:v>RSU REGEPA 2021</c:v>
                </c:pt>
              </c:strCache>
            </c:strRef>
          </c:tx>
          <c:spPr>
            <a:solidFill>
              <a:schemeClr val="accent2">
                <a:tint val="77000"/>
              </a:schemeClr>
            </a:solidFill>
            <a:ln>
              <a:noFill/>
            </a:ln>
            <a:effectLst/>
          </c:spPr>
          <c:invertIfNegative val="0"/>
          <c:dLbls>
            <c:dLbl>
              <c:idx val="0"/>
              <c:tx>
                <c:rich>
                  <a:bodyPr/>
                  <a:lstStyle/>
                  <a:p>
                    <a:fld id="{C3C1C8A9-15C3-4673-BF69-334D96423BC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B0C-4040-B6F5-4D9D8818BE65}"/>
                </c:ext>
              </c:extLst>
            </c:dLbl>
            <c:dLbl>
              <c:idx val="1"/>
              <c:tx>
                <c:rich>
                  <a:bodyPr/>
                  <a:lstStyle/>
                  <a:p>
                    <a:fld id="{1F0404F3-54FE-4C90-B1B6-3D07B6BFBE2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B0C-4040-B6F5-4D9D8818BE65}"/>
                </c:ext>
              </c:extLst>
            </c:dLbl>
            <c:dLbl>
              <c:idx val="2"/>
              <c:tx>
                <c:rich>
                  <a:bodyPr/>
                  <a:lstStyle/>
                  <a:p>
                    <a:fld id="{3B4162F9-7D49-4815-8EC5-B14572FB778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B0C-4040-B6F5-4D9D8818BE65}"/>
                </c:ext>
              </c:extLst>
            </c:dLbl>
            <c:dLbl>
              <c:idx val="3"/>
              <c:tx>
                <c:rich>
                  <a:bodyPr/>
                  <a:lstStyle/>
                  <a:p>
                    <a:fld id="{ED6CEBC1-03BF-46E9-93E7-3BFA532D978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B0C-4040-B6F5-4D9D8818BE65}"/>
                </c:ext>
              </c:extLst>
            </c:dLbl>
            <c:dLbl>
              <c:idx val="4"/>
              <c:tx>
                <c:rich>
                  <a:bodyPr/>
                  <a:lstStyle/>
                  <a:p>
                    <a:fld id="{4D9C1E08-9F85-4A00-A9DB-5ECA6D8038A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B0C-4040-B6F5-4D9D8818BE6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'ALG-REPR'!$K$12:$K$16</c:f>
              <c:strCache>
                <c:ptCount val="5"/>
                <c:pt idx="0">
                  <c:v>C. VALENCIANA</c:v>
                </c:pt>
                <c:pt idx="1">
                  <c:v>CATALUÑA</c:v>
                </c:pt>
                <c:pt idx="2">
                  <c:v>ISLAS BALEARES</c:v>
                </c:pt>
                <c:pt idx="3">
                  <c:v>ANDALUCÍA</c:v>
                </c:pt>
                <c:pt idx="4">
                  <c:v>MURCIA</c:v>
                </c:pt>
              </c:strCache>
            </c:strRef>
          </c:cat>
          <c:val>
            <c:numRef>
              <c:f>'ALG-REPR'!$L$12:$L$16</c:f>
              <c:numCache>
                <c:formatCode>#,##0</c:formatCode>
                <c:ptCount val="5"/>
                <c:pt idx="0">
                  <c:v>7601.6</c:v>
                </c:pt>
                <c:pt idx="1">
                  <c:v>3622.090000000007</c:v>
                </c:pt>
                <c:pt idx="2">
                  <c:v>2551.31</c:v>
                </c:pt>
                <c:pt idx="3">
                  <c:v>1048.7899999999997</c:v>
                </c:pt>
                <c:pt idx="4">
                  <c:v>712.47</c:v>
                </c:pt>
              </c:numCache>
            </c:numRef>
          </c:val>
          <c:extLst>
            <c:ext xmlns:c15="http://schemas.microsoft.com/office/drawing/2012/chart" uri="{02D57815-91ED-43cb-92C2-25804820EDAC}">
              <c15:datalabelsRange>
                <c15:f>'ALG-REPR'!$N$12:$N$16</c15:f>
                <c15:dlblRangeCache>
                  <c:ptCount val="5"/>
                  <c:pt idx="0">
                    <c:v>47%</c:v>
                  </c:pt>
                  <c:pt idx="1">
                    <c:v>54%</c:v>
                  </c:pt>
                  <c:pt idx="2">
                    <c:v>18%</c:v>
                  </c:pt>
                  <c:pt idx="3">
                    <c:v>51%</c:v>
                  </c:pt>
                  <c:pt idx="4">
                    <c:v>41%</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7587520"/>
        <c:axId val="97580992"/>
      </c:barChart>
      <c:catAx>
        <c:axId val="9758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0992"/>
        <c:crosses val="autoZero"/>
        <c:auto val="1"/>
        <c:lblAlgn val="ctr"/>
        <c:lblOffset val="100"/>
        <c:noMultiLvlLbl val="0"/>
      </c:catAx>
      <c:valAx>
        <c:axId val="9758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7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Algarrobo Secano: </a:t>
            </a:r>
            <a:r>
              <a:rPr lang="es-ES"/>
              <a:t>RSU REGEPA 2021 vs 2020</a:t>
            </a:r>
          </a:p>
        </c:rich>
      </c:tx>
      <c:layout>
        <c:manualLayout>
          <c:xMode val="edge"/>
          <c:yMode val="edge"/>
          <c:x val="0.17041034896615007"/>
          <c:y val="2.77777198380003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9772030947028235"/>
          <c:y val="0.16375275938189846"/>
          <c:w val="0.75305836611563248"/>
          <c:h val="0.57011732804922555"/>
        </c:manualLayout>
      </c:layout>
      <c:barChart>
        <c:barDir val="bar"/>
        <c:grouping val="clustered"/>
        <c:varyColors val="0"/>
        <c:ser>
          <c:idx val="1"/>
          <c:order val="0"/>
          <c:tx>
            <c:strRef>
              <c:f>'ALG-REPR'!$R$11</c:f>
              <c:strCache>
                <c:ptCount val="1"/>
                <c:pt idx="0">
                  <c:v>RSU REGEPA 2020</c:v>
                </c:pt>
              </c:strCache>
            </c:strRef>
          </c:tx>
          <c:spPr>
            <a:solidFill>
              <a:schemeClr val="accent2">
                <a:shade val="76000"/>
              </a:schemeClr>
            </a:solidFill>
            <a:ln>
              <a:noFill/>
            </a:ln>
            <a:effectLst/>
          </c:spPr>
          <c:invertIfNegative val="0"/>
          <c:cat>
            <c:strRef>
              <c:f>'ALG-REPR'!$Q$12:$Q$16</c:f>
              <c:strCache>
                <c:ptCount val="5"/>
                <c:pt idx="0">
                  <c:v>C. VALENCIANA</c:v>
                </c:pt>
                <c:pt idx="1">
                  <c:v>CATALUÑA</c:v>
                </c:pt>
                <c:pt idx="2">
                  <c:v>ISLAS BALEARES</c:v>
                </c:pt>
                <c:pt idx="3">
                  <c:v>ANDALUCÍA</c:v>
                </c:pt>
                <c:pt idx="4">
                  <c:v>MURCIA</c:v>
                </c:pt>
              </c:strCache>
            </c:strRef>
          </c:cat>
          <c:val>
            <c:numRef>
              <c:f>'ALG-REPR'!$R$12:$R$16</c:f>
              <c:numCache>
                <c:formatCode>#,##0</c:formatCode>
                <c:ptCount val="5"/>
                <c:pt idx="0">
                  <c:v>6962.6600000000026</c:v>
                </c:pt>
                <c:pt idx="1">
                  <c:v>3616.1200000000008</c:v>
                </c:pt>
                <c:pt idx="2">
                  <c:v>2038.2100000000003</c:v>
                </c:pt>
                <c:pt idx="3">
                  <c:v>1015.86</c:v>
                </c:pt>
                <c:pt idx="4">
                  <c:v>734.82</c:v>
                </c:pt>
              </c:numCache>
            </c:numRef>
          </c:val>
          <c:extLst>
            <c:ext xmlns:c16="http://schemas.microsoft.com/office/drawing/2014/chart" uri="{C3380CC4-5D6E-409C-BE32-E72D297353CC}">
              <c16:uniqueId val="{00000001-DFE6-460C-A92B-00A5E0C8FC10}"/>
            </c:ext>
          </c:extLst>
        </c:ser>
        <c:ser>
          <c:idx val="0"/>
          <c:order val="1"/>
          <c:tx>
            <c:strRef>
              <c:f>'ALG-REPR'!$S$11</c:f>
              <c:strCache>
                <c:ptCount val="1"/>
                <c:pt idx="0">
                  <c:v>RSU REGEPA 2021</c:v>
                </c:pt>
              </c:strCache>
            </c:strRef>
          </c:tx>
          <c:spPr>
            <a:solidFill>
              <a:schemeClr val="accent2">
                <a:tint val="77000"/>
              </a:schemeClr>
            </a:solidFill>
            <a:ln>
              <a:noFill/>
            </a:ln>
            <a:effectLst/>
          </c:spPr>
          <c:invertIfNegative val="0"/>
          <c:dLbls>
            <c:dLbl>
              <c:idx val="0"/>
              <c:tx>
                <c:rich>
                  <a:bodyPr/>
                  <a:lstStyle/>
                  <a:p>
                    <a:fld id="{2233EC2D-BF39-4E5F-BA33-7B61A7C228A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34A-4C75-9022-F9E820030EE6}"/>
                </c:ext>
              </c:extLst>
            </c:dLbl>
            <c:dLbl>
              <c:idx val="1"/>
              <c:tx>
                <c:rich>
                  <a:bodyPr/>
                  <a:lstStyle/>
                  <a:p>
                    <a:fld id="{1A49FDB5-2DD5-4619-8372-D8C7361CA66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34A-4C75-9022-F9E820030EE6}"/>
                </c:ext>
              </c:extLst>
            </c:dLbl>
            <c:dLbl>
              <c:idx val="2"/>
              <c:tx>
                <c:rich>
                  <a:bodyPr/>
                  <a:lstStyle/>
                  <a:p>
                    <a:fld id="{A6616DFD-1703-4AB1-90AE-34E1BFE7532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34A-4C75-9022-F9E820030EE6}"/>
                </c:ext>
              </c:extLst>
            </c:dLbl>
            <c:dLbl>
              <c:idx val="3"/>
              <c:tx>
                <c:rich>
                  <a:bodyPr/>
                  <a:lstStyle/>
                  <a:p>
                    <a:fld id="{4C2F64B1-94B3-4062-9827-6415E6A6EE1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34A-4C75-9022-F9E820030EE6}"/>
                </c:ext>
              </c:extLst>
            </c:dLbl>
            <c:dLbl>
              <c:idx val="4"/>
              <c:tx>
                <c:rich>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fld id="{00F80AEF-F8A9-45B4-9480-DFCCE3BAB558}" type="CELLRANGE">
                      <a:rPr lang="es-ES"/>
                      <a:pPr>
                        <a:defRPr sz="11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34A-4C75-9022-F9E820030EE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'ALG-REPR'!$Q$12:$Q$16</c:f>
              <c:strCache>
                <c:ptCount val="5"/>
                <c:pt idx="0">
                  <c:v>C. VALENCIANA</c:v>
                </c:pt>
                <c:pt idx="1">
                  <c:v>CATALUÑA</c:v>
                </c:pt>
                <c:pt idx="2">
                  <c:v>ISLAS BALEARES</c:v>
                </c:pt>
                <c:pt idx="3">
                  <c:v>ANDALUCÍA</c:v>
                </c:pt>
                <c:pt idx="4">
                  <c:v>MURCIA</c:v>
                </c:pt>
              </c:strCache>
            </c:strRef>
          </c:cat>
          <c:val>
            <c:numRef>
              <c:f>'ALG-REPR'!$S$12:$S$16</c:f>
              <c:numCache>
                <c:formatCode>#,##0</c:formatCode>
                <c:ptCount val="5"/>
                <c:pt idx="0">
                  <c:v>7601.6</c:v>
                </c:pt>
                <c:pt idx="1">
                  <c:v>3622.090000000007</c:v>
                </c:pt>
                <c:pt idx="2">
                  <c:v>2551.31</c:v>
                </c:pt>
                <c:pt idx="3">
                  <c:v>1048.7899999999997</c:v>
                </c:pt>
                <c:pt idx="4">
                  <c:v>712.47</c:v>
                </c:pt>
              </c:numCache>
            </c:numRef>
          </c:val>
          <c:extLst>
            <c:ext xmlns:c15="http://schemas.microsoft.com/office/drawing/2012/chart" uri="{02D57815-91ED-43cb-92C2-25804820EDAC}">
              <c15:datalabelsRange>
                <c15:f>'ALG-REPR'!$T$12:$T$16</c15:f>
                <c15:dlblRangeCache>
                  <c:ptCount val="5"/>
                  <c:pt idx="0">
                    <c:v>9,2%</c:v>
                  </c:pt>
                  <c:pt idx="1">
                    <c:v>0,2%</c:v>
                  </c:pt>
                  <c:pt idx="2">
                    <c:v>25,2%</c:v>
                  </c:pt>
                  <c:pt idx="3">
                    <c:v>3,2%</c:v>
                  </c:pt>
                  <c:pt idx="4">
                    <c:v>-3,0%</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7575552"/>
        <c:axId val="97588608"/>
      </c:barChart>
      <c:catAx>
        <c:axId val="975755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8608"/>
        <c:crosses val="autoZero"/>
        <c:auto val="1"/>
        <c:lblAlgn val="ctr"/>
        <c:lblOffset val="100"/>
        <c:noMultiLvlLbl val="0"/>
      </c:catAx>
      <c:valAx>
        <c:axId val="97588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 (ha)</a:t>
                </a:r>
              </a:p>
            </c:rich>
          </c:tx>
          <c:layout>
            <c:manualLayout>
              <c:xMode val="edge"/>
              <c:yMode val="edge"/>
              <c:x val="0.47932523062610166"/>
              <c:y val="0.8142156402635101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sz="1400" b="1" i="0" baseline="0">
                <a:solidFill>
                  <a:sysClr val="windowText" lastClr="000000"/>
                </a:solidFill>
                <a:effectLst/>
              </a:rPr>
              <a:t>Algarrobo Secano: </a:t>
            </a:r>
            <a:r>
              <a:rPr lang="es-ES" sz="1400" b="0" i="0" baseline="0">
                <a:solidFill>
                  <a:sysClr val="windowText" lastClr="000000"/>
                </a:solidFill>
                <a:effectLst/>
              </a:rPr>
              <a:t>Distribución autonómica de la superficie plantada</a:t>
            </a:r>
            <a:endParaRPr lang="es-ES" sz="14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01-AB82-4144-A86D-53A298ED977E}"/>
              </c:ext>
            </c:extLst>
          </c:dPt>
          <c:dPt>
            <c:idx val="1"/>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3-77F0-4276-A5C7-1800EB4E5FD8}"/>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77F0-4276-A5C7-1800EB4E5FD8}"/>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77F0-4276-A5C7-1800EB4E5FD8}"/>
              </c:ext>
            </c:extLst>
          </c:dPt>
          <c:dPt>
            <c:idx val="4"/>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9-77F0-4276-A5C7-1800EB4E5FD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('ALG-EDAD'!$A$180,'ALG-EDAD'!$A$189,'ALG-EDAD'!$A$192,'ALG-EDAD'!$A$196,'ALG-EDAD'!$A$200,'ALG-EDAD'!$A$202,'ALG-EDAD'!$A$204)</c15:sqref>
                  </c15:fullRef>
                </c:ext>
              </c:extLst>
              <c:f>('ALG-EDAD'!$A$180,'ALG-EDAD'!$A$192,'ALG-EDAD'!$A$196,'ALG-EDAD'!$A$202,'ALG-EDAD'!$A$204)</c:f>
              <c:strCache>
                <c:ptCount val="5"/>
                <c:pt idx="0">
                  <c:v>ANDALUCÍA</c:v>
                </c:pt>
                <c:pt idx="1">
                  <c:v>C. VALENCIANA</c:v>
                </c:pt>
                <c:pt idx="2">
                  <c:v>CATALUÑA</c:v>
                </c:pt>
                <c:pt idx="3">
                  <c:v>ISLAS BALEARES</c:v>
                </c:pt>
                <c:pt idx="4">
                  <c:v>MURCIA</c:v>
                </c:pt>
              </c:strCache>
            </c:strRef>
          </c:cat>
          <c:val>
            <c:numRef>
              <c:extLst>
                <c:ext xmlns:c15="http://schemas.microsoft.com/office/drawing/2012/chart" uri="{02D57815-91ED-43cb-92C2-25804820EDAC}">
                  <c15:fullRef>
                    <c15:sqref>('ALG-EDAD'!$AA$180,'ALG-EDAD'!$AA$189,'ALG-EDAD'!$AA$192,'ALG-EDAD'!$AA$196,'ALG-EDAD'!$AA$200,'ALG-EDAD'!$AA$202,'ALG-EDAD'!$AA$204)</c15:sqref>
                  </c15:fullRef>
                </c:ext>
              </c:extLst>
              <c:f>('ALG-EDAD'!$AA$180,'ALG-EDAD'!$AA$192,'ALG-EDAD'!$AA$196,'ALG-EDAD'!$AA$202,'ALG-EDAD'!$AA$204)</c:f>
              <c:numCache>
                <c:formatCode>0%</c:formatCode>
                <c:ptCount val="5"/>
                <c:pt idx="0">
                  <c:v>0.22673977882156243</c:v>
                </c:pt>
                <c:pt idx="1">
                  <c:v>0.12522581879237424</c:v>
                </c:pt>
                <c:pt idx="2">
                  <c:v>0.17566753806153607</c:v>
                </c:pt>
                <c:pt idx="3">
                  <c:v>0.29071291435534491</c:v>
                </c:pt>
                <c:pt idx="4">
                  <c:v>0.18142016110178316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solidFill>
                <a:latin typeface="+mn-lt"/>
                <a:ea typeface="+mn-ea"/>
                <a:cs typeface="+mn-cs"/>
              </a:defRPr>
            </a:pPr>
            <a:r>
              <a:rPr lang="es-ES" b="1"/>
              <a:t>Algarrobo Regadío: </a:t>
            </a:r>
            <a:r>
              <a:rPr lang="es-ES"/>
              <a:t>RSU REGEPA 2021 vs ESYRCE 2021</a:t>
            </a:r>
          </a:p>
        </c:rich>
      </c:tx>
      <c:layout>
        <c:manualLayout>
          <c:xMode val="edge"/>
          <c:yMode val="edge"/>
          <c:x val="0.14066019417475728"/>
          <c:y val="2.2522522522522521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'ALG-REPR'!$M$46</c:f>
              <c:strCache>
                <c:ptCount val="1"/>
                <c:pt idx="0">
                  <c:v>SUP.ANUALES 2021 (ESYRCE)</c:v>
                </c:pt>
              </c:strCache>
            </c:strRef>
          </c:tx>
          <c:spPr>
            <a:solidFill>
              <a:schemeClr val="accent5">
                <a:shade val="76000"/>
              </a:schemeClr>
            </a:solidFill>
            <a:ln>
              <a:noFill/>
            </a:ln>
            <a:effectLst/>
          </c:spPr>
          <c:invertIfNegative val="0"/>
          <c:cat>
            <c:strRef>
              <c:f>'ALG-REPR'!$K$47:$K$51</c:f>
              <c:strCache>
                <c:ptCount val="5"/>
                <c:pt idx="0">
                  <c:v>C. VALENCIANA</c:v>
                </c:pt>
                <c:pt idx="1">
                  <c:v>CATALUÑA</c:v>
                </c:pt>
                <c:pt idx="2">
                  <c:v>ISLAS BALEARES</c:v>
                </c:pt>
                <c:pt idx="3">
                  <c:v>ANDALUCÍA</c:v>
                </c:pt>
                <c:pt idx="4">
                  <c:v>MURCIA</c:v>
                </c:pt>
              </c:strCache>
            </c:strRef>
          </c:cat>
          <c:val>
            <c:numRef>
              <c:f>'ALG-REPR'!$M$47:$M$51</c:f>
              <c:numCache>
                <c:formatCode>#,##0</c:formatCode>
                <c:ptCount val="5"/>
                <c:pt idx="0">
                  <c:v>216.5848</c:v>
                </c:pt>
                <c:pt idx="1">
                  <c:v>863.76559999999995</c:v>
                </c:pt>
                <c:pt idx="2">
                  <c:v>60.749600000000001</c:v>
                </c:pt>
                <c:pt idx="3">
                  <c:v>276.02539999999999</c:v>
                </c:pt>
                <c:pt idx="4">
                  <c:v>69.402799999999999</c:v>
                </c:pt>
              </c:numCache>
            </c:numRef>
          </c:val>
          <c:extLst>
            <c:ext xmlns:c16="http://schemas.microsoft.com/office/drawing/2014/chart" uri="{C3380CC4-5D6E-409C-BE32-E72D297353CC}">
              <c16:uniqueId val="{00000001-863A-4A46-94DD-1ADCEF890BF5}"/>
            </c:ext>
          </c:extLst>
        </c:ser>
        <c:ser>
          <c:idx val="0"/>
          <c:order val="1"/>
          <c:tx>
            <c:strRef>
              <c:f>'ALG-REPR'!$L$46</c:f>
              <c:strCache>
                <c:ptCount val="1"/>
                <c:pt idx="0">
                  <c:v>RSU REGEPA 2021</c:v>
                </c:pt>
              </c:strCache>
            </c:strRef>
          </c:tx>
          <c:spPr>
            <a:solidFill>
              <a:schemeClr val="accent5">
                <a:tint val="77000"/>
              </a:schemeClr>
            </a:solidFill>
            <a:ln>
              <a:noFill/>
            </a:ln>
            <a:effectLst/>
          </c:spPr>
          <c:invertIfNegative val="0"/>
          <c:dLbls>
            <c:dLbl>
              <c:idx val="0"/>
              <c:tx>
                <c:rich>
                  <a:bodyPr/>
                  <a:lstStyle/>
                  <a:p>
                    <a:fld id="{D7C3D2FF-60E5-4FB7-9152-8C4F72231EA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242-48A2-AE0B-B14135AEFFB0}"/>
                </c:ext>
              </c:extLst>
            </c:dLbl>
            <c:dLbl>
              <c:idx val="1"/>
              <c:tx>
                <c:rich>
                  <a:bodyPr/>
                  <a:lstStyle/>
                  <a:p>
                    <a:fld id="{430190DF-3531-4807-B392-A377C9B62ED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42-48A2-AE0B-B14135AEFFB0}"/>
                </c:ext>
              </c:extLst>
            </c:dLbl>
            <c:dLbl>
              <c:idx val="2"/>
              <c:tx>
                <c:rich>
                  <a:bodyPr/>
                  <a:lstStyle/>
                  <a:p>
                    <a:fld id="{7BF8A8E6-AC00-4B3B-B515-7C35C7A26D3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42-48A2-AE0B-B14135AEFFB0}"/>
                </c:ext>
              </c:extLst>
            </c:dLbl>
            <c:dLbl>
              <c:idx val="3"/>
              <c:tx>
                <c:rich>
                  <a:bodyPr/>
                  <a:lstStyle/>
                  <a:p>
                    <a:fld id="{6352AE2C-259D-4C35-BFAC-6B15563D5F4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42-48A2-AE0B-B14135AEFFB0}"/>
                </c:ext>
              </c:extLst>
            </c:dLbl>
            <c:dLbl>
              <c:idx val="4"/>
              <c:tx>
                <c:rich>
                  <a:bodyPr/>
                  <a:lstStyle/>
                  <a:p>
                    <a:fld id="{285FEB40-9118-46BF-B523-D87C15F8B73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42-48A2-AE0B-B14135AEFFB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'ALG-REPR'!$K$47:$K$51</c:f>
              <c:strCache>
                <c:ptCount val="5"/>
                <c:pt idx="0">
                  <c:v>C. VALENCIANA</c:v>
                </c:pt>
                <c:pt idx="1">
                  <c:v>CATALUÑA</c:v>
                </c:pt>
                <c:pt idx="2">
                  <c:v>ISLAS BALEARES</c:v>
                </c:pt>
                <c:pt idx="3">
                  <c:v>ANDALUCÍA</c:v>
                </c:pt>
                <c:pt idx="4">
                  <c:v>MURCIA</c:v>
                </c:pt>
              </c:strCache>
            </c:strRef>
          </c:cat>
          <c:val>
            <c:numRef>
              <c:f>'ALG-REPR'!$L$47:$L$51</c:f>
              <c:numCache>
                <c:formatCode>#,##0</c:formatCode>
                <c:ptCount val="5"/>
                <c:pt idx="0">
                  <c:v>136.87000000000003</c:v>
                </c:pt>
                <c:pt idx="1">
                  <c:v>443.97000000000014</c:v>
                </c:pt>
                <c:pt idx="2">
                  <c:v>16.91</c:v>
                </c:pt>
                <c:pt idx="3">
                  <c:v>103.41</c:v>
                </c:pt>
                <c:pt idx="4">
                  <c:v>72.670000000000016</c:v>
                </c:pt>
              </c:numCache>
            </c:numRef>
          </c:val>
          <c:extLst>
            <c:ext xmlns:c15="http://schemas.microsoft.com/office/drawing/2012/chart" uri="{02D57815-91ED-43cb-92C2-25804820EDAC}">
              <c15:datalabelsRange>
                <c15:f>'ALG-REPR'!$N$47:$N$51</c15:f>
                <c15:dlblRangeCache>
                  <c:ptCount val="5"/>
                  <c:pt idx="0">
                    <c:v>63%</c:v>
                  </c:pt>
                  <c:pt idx="1">
                    <c:v>51%</c:v>
                  </c:pt>
                  <c:pt idx="2">
                    <c:v>28%</c:v>
                  </c:pt>
                  <c:pt idx="3">
                    <c:v>37%</c:v>
                  </c:pt>
                  <c:pt idx="4">
                    <c:v>105%</c:v>
                  </c:pt>
                </c15:dlblRangeCache>
              </c15:datalabelsRange>
            </c:ext>
            <c:ext xmlns:c16="http://schemas.microsoft.com/office/drawing/2014/chart" uri="{C3380CC4-5D6E-409C-BE32-E72D297353CC}">
              <c16:uniqueId val="{00000000-863A-4A46-94DD-1ADCEF890BF5}"/>
            </c:ext>
          </c:extLst>
        </c:ser>
        <c:dLbls>
          <c:showLegendKey val="0"/>
          <c:showVal val="0"/>
          <c:showCatName val="0"/>
          <c:showSerName val="0"/>
          <c:showPercent val="0"/>
          <c:showBubbleSize val="0"/>
        </c:dLbls>
        <c:gapWidth val="219"/>
        <c:axId val="97581536"/>
        <c:axId val="97576096"/>
      </c:barChart>
      <c:catAx>
        <c:axId val="97581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6096"/>
        <c:crosses val="autoZero"/>
        <c:auto val="1"/>
        <c:lblAlgn val="ctr"/>
        <c:lblOffset val="100"/>
        <c:noMultiLvlLbl val="0"/>
      </c:catAx>
      <c:valAx>
        <c:axId val="97576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solidFill>
                <a:latin typeface="+mn-lt"/>
                <a:ea typeface="+mn-ea"/>
                <a:cs typeface="+mn-cs"/>
              </a:defRPr>
            </a:pPr>
            <a:r>
              <a:rPr lang="es-ES" b="1"/>
              <a:t>Algarrobo Regadío: </a:t>
            </a:r>
            <a:r>
              <a:rPr lang="es-ES"/>
              <a:t>RSU REGEPA 2021 vs 2020</a:t>
            </a:r>
          </a:p>
        </c:rich>
      </c:tx>
      <c:layout>
        <c:manualLayout>
          <c:xMode val="edge"/>
          <c:yMode val="edge"/>
          <c:x val="0.14066019417475728"/>
          <c:y val="2.2522522522522521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8658912864899521"/>
          <c:y val="0.16878270762229808"/>
          <c:w val="0.77819458636372751"/>
          <c:h val="0.56229788682558024"/>
        </c:manualLayout>
      </c:layout>
      <c:barChart>
        <c:barDir val="bar"/>
        <c:grouping val="clustered"/>
        <c:varyColors val="0"/>
        <c:ser>
          <c:idx val="1"/>
          <c:order val="0"/>
          <c:tx>
            <c:strRef>
              <c:f>'ALG-REPR'!$R$46</c:f>
              <c:strCache>
                <c:ptCount val="1"/>
                <c:pt idx="0">
                  <c:v>RSU REGEPA 2020</c:v>
                </c:pt>
              </c:strCache>
            </c:strRef>
          </c:tx>
          <c:spPr>
            <a:solidFill>
              <a:schemeClr val="accent5">
                <a:shade val="76000"/>
              </a:schemeClr>
            </a:solidFill>
            <a:ln>
              <a:noFill/>
            </a:ln>
            <a:effectLst/>
          </c:spPr>
          <c:invertIfNegative val="0"/>
          <c:cat>
            <c:strRef>
              <c:f>'ALG-REPR'!$Q$47:$Q$51</c:f>
              <c:strCache>
                <c:ptCount val="5"/>
                <c:pt idx="0">
                  <c:v>C. VALENCIANA</c:v>
                </c:pt>
                <c:pt idx="1">
                  <c:v>CATALUÑA</c:v>
                </c:pt>
                <c:pt idx="2">
                  <c:v>ISLAS BALEARES</c:v>
                </c:pt>
                <c:pt idx="3">
                  <c:v>ANDALUCÍA</c:v>
                </c:pt>
                <c:pt idx="4">
                  <c:v>MURCIA</c:v>
                </c:pt>
              </c:strCache>
            </c:strRef>
          </c:cat>
          <c:val>
            <c:numRef>
              <c:f>'ALG-REPR'!$R$47:$R$51</c:f>
              <c:numCache>
                <c:formatCode>#,##0</c:formatCode>
                <c:ptCount val="5"/>
                <c:pt idx="0">
                  <c:v>98.739999999999966</c:v>
                </c:pt>
                <c:pt idx="1">
                  <c:v>420.49000000000007</c:v>
                </c:pt>
                <c:pt idx="2">
                  <c:v>17.899999999999999</c:v>
                </c:pt>
                <c:pt idx="3">
                  <c:v>100.14</c:v>
                </c:pt>
                <c:pt idx="4">
                  <c:v>78.29000000000002</c:v>
                </c:pt>
              </c:numCache>
            </c:numRef>
          </c:val>
          <c:extLst>
            <c:ext xmlns:c16="http://schemas.microsoft.com/office/drawing/2014/chart" uri="{C3380CC4-5D6E-409C-BE32-E72D297353CC}">
              <c16:uniqueId val="{00000001-863A-4A46-94DD-1ADCEF890BF5}"/>
            </c:ext>
          </c:extLst>
        </c:ser>
        <c:ser>
          <c:idx val="0"/>
          <c:order val="1"/>
          <c:tx>
            <c:strRef>
              <c:f>'ALG-REPR'!$S$46</c:f>
              <c:strCache>
                <c:ptCount val="1"/>
                <c:pt idx="0">
                  <c:v>RSU REGEPA 2021</c:v>
                </c:pt>
              </c:strCache>
            </c:strRef>
          </c:tx>
          <c:spPr>
            <a:solidFill>
              <a:schemeClr val="accent5">
                <a:tint val="77000"/>
              </a:schemeClr>
            </a:solidFill>
            <a:ln>
              <a:noFill/>
            </a:ln>
            <a:effectLst/>
          </c:spPr>
          <c:invertIfNegative val="0"/>
          <c:dLbls>
            <c:dLbl>
              <c:idx val="0"/>
              <c:tx>
                <c:rich>
                  <a:bodyPr/>
                  <a:lstStyle/>
                  <a:p>
                    <a:fld id="{7756EAC6-C2BD-4F7A-B7E0-4445E7520F75}"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A27-4E39-A12F-8F1B31ED0B85}"/>
                </c:ext>
              </c:extLst>
            </c:dLbl>
            <c:dLbl>
              <c:idx val="1"/>
              <c:tx>
                <c:rich>
                  <a:bodyPr/>
                  <a:lstStyle/>
                  <a:p>
                    <a:fld id="{364CB0CC-2E5B-4F86-8D89-C26C3D60E8F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A27-4E39-A12F-8F1B31ED0B85}"/>
                </c:ext>
              </c:extLst>
            </c:dLbl>
            <c:dLbl>
              <c:idx val="2"/>
              <c:tx>
                <c:rich>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fld id="{DC1932AA-1D60-4073-AA31-B7B45048433E}" type="CELLRANGE">
                      <a:rPr lang="es-ES"/>
                      <a:pPr>
                        <a:defRPr sz="11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s-E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A27-4E39-A12F-8F1B31ED0B85}"/>
                </c:ext>
              </c:extLst>
            </c:dLbl>
            <c:dLbl>
              <c:idx val="3"/>
              <c:tx>
                <c:rich>
                  <a:bodyPr/>
                  <a:lstStyle/>
                  <a:p>
                    <a:fld id="{A22D6230-A2D7-442D-83EF-499847E3D28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A27-4E39-A12F-8F1B31ED0B85}"/>
                </c:ext>
              </c:extLst>
            </c:dLbl>
            <c:dLbl>
              <c:idx val="4"/>
              <c:tx>
                <c:rich>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fld id="{2095F93D-BE47-4EDA-A030-C333D7BFD7A3}" type="CELLRANGE">
                      <a:rPr lang="es-ES"/>
                      <a:pPr>
                        <a:defRPr sz="11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s-ES"/>
                </a:p>
              </c:txPr>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A27-4E39-A12F-8F1B31ED0B8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'ALG-REPR'!$Q$47:$Q$51</c:f>
              <c:strCache>
                <c:ptCount val="5"/>
                <c:pt idx="0">
                  <c:v>C. VALENCIANA</c:v>
                </c:pt>
                <c:pt idx="1">
                  <c:v>CATALUÑA</c:v>
                </c:pt>
                <c:pt idx="2">
                  <c:v>ISLAS BALEARES</c:v>
                </c:pt>
                <c:pt idx="3">
                  <c:v>ANDALUCÍA</c:v>
                </c:pt>
                <c:pt idx="4">
                  <c:v>MURCIA</c:v>
                </c:pt>
              </c:strCache>
            </c:strRef>
          </c:cat>
          <c:val>
            <c:numRef>
              <c:f>'ALG-REPR'!$S$47:$S$51</c:f>
              <c:numCache>
                <c:formatCode>#,##0</c:formatCode>
                <c:ptCount val="5"/>
                <c:pt idx="0">
                  <c:v>136.87000000000003</c:v>
                </c:pt>
                <c:pt idx="1">
                  <c:v>443.97000000000014</c:v>
                </c:pt>
                <c:pt idx="2">
                  <c:v>16.91</c:v>
                </c:pt>
                <c:pt idx="3">
                  <c:v>103.41</c:v>
                </c:pt>
                <c:pt idx="4">
                  <c:v>72.670000000000016</c:v>
                </c:pt>
              </c:numCache>
            </c:numRef>
          </c:val>
          <c:extLst>
            <c:ext xmlns:c15="http://schemas.microsoft.com/office/drawing/2012/chart" uri="{02D57815-91ED-43cb-92C2-25804820EDAC}">
              <c15:datalabelsRange>
                <c15:f>'ALG-REPR'!$T$47:$T$51</c15:f>
                <c15:dlblRangeCache>
                  <c:ptCount val="5"/>
                  <c:pt idx="0">
                    <c:v>39%</c:v>
                  </c:pt>
                  <c:pt idx="1">
                    <c:v>6%</c:v>
                  </c:pt>
                  <c:pt idx="2">
                    <c:v>-6%</c:v>
                  </c:pt>
                  <c:pt idx="3">
                    <c:v>3%</c:v>
                  </c:pt>
                  <c:pt idx="4">
                    <c:v>-7%</c:v>
                  </c:pt>
                </c15:dlblRangeCache>
              </c15:datalabelsRange>
            </c:ext>
            <c:ext xmlns:c16="http://schemas.microsoft.com/office/drawing/2014/chart" uri="{C3380CC4-5D6E-409C-BE32-E72D297353CC}">
              <c16:uniqueId val="{00000000-863A-4A46-94DD-1ADCEF890BF5}"/>
            </c:ext>
          </c:extLst>
        </c:ser>
        <c:dLbls>
          <c:showLegendKey val="0"/>
          <c:showVal val="0"/>
          <c:showCatName val="0"/>
          <c:showSerName val="0"/>
          <c:showPercent val="0"/>
          <c:showBubbleSize val="0"/>
        </c:dLbls>
        <c:gapWidth val="150"/>
        <c:axId val="97584800"/>
        <c:axId val="97576640"/>
      </c:barChart>
      <c:catAx>
        <c:axId val="975848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6640"/>
        <c:crosses val="autoZero"/>
        <c:auto val="1"/>
        <c:lblAlgn val="ctr"/>
        <c:lblOffset val="100"/>
        <c:noMultiLvlLbl val="0"/>
      </c:catAx>
      <c:valAx>
        <c:axId val="975766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Algarrobo Secano: </a:t>
            </a:r>
            <a:r>
              <a:rPr lang="es-ES"/>
              <a:t>Representatividad 2020 vs 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'ALG-REPR'!$O$11</c:f>
              <c:strCache>
                <c:ptCount val="1"/>
                <c:pt idx="0">
                  <c:v>Representatividad 2020</c:v>
                </c:pt>
              </c:strCache>
            </c:strRef>
          </c:tx>
          <c:spPr>
            <a:solidFill>
              <a:schemeClr val="accent4">
                <a:lumMod val="40000"/>
                <a:lumOff val="60000"/>
              </a:schemeClr>
            </a:solidFill>
            <a:ln>
              <a:noFill/>
            </a:ln>
            <a:effectLst/>
          </c:spPr>
          <c:invertIfNegative val="0"/>
          <c:cat>
            <c:strRef>
              <c:f>'ALG-REPR'!$K$12:$K$16</c:f>
              <c:strCache>
                <c:ptCount val="5"/>
                <c:pt idx="0">
                  <c:v>C. VALENCIANA</c:v>
                </c:pt>
                <c:pt idx="1">
                  <c:v>CATALUÑA</c:v>
                </c:pt>
                <c:pt idx="2">
                  <c:v>ISLAS BALEARES</c:v>
                </c:pt>
                <c:pt idx="3">
                  <c:v>ANDALUCÍA</c:v>
                </c:pt>
                <c:pt idx="4">
                  <c:v>MURCIA</c:v>
                </c:pt>
              </c:strCache>
            </c:strRef>
          </c:cat>
          <c:val>
            <c:numRef>
              <c:f>'ALG-REPR'!$O$12:$O$16</c:f>
              <c:numCache>
                <c:formatCode>0%</c:formatCode>
                <c:ptCount val="5"/>
                <c:pt idx="0">
                  <c:v>0.43457541484645662</c:v>
                </c:pt>
                <c:pt idx="1">
                  <c:v>0.53669743595223651</c:v>
                </c:pt>
                <c:pt idx="2">
                  <c:v>0.14066965341940529</c:v>
                </c:pt>
                <c:pt idx="3">
                  <c:v>0.44703297736214015</c:v>
                </c:pt>
                <c:pt idx="4">
                  <c:v>0.41635059709668526</c:v>
                </c:pt>
              </c:numCache>
            </c:numRef>
          </c:val>
          <c:extLst>
            <c:ext xmlns:c16="http://schemas.microsoft.com/office/drawing/2014/chart" uri="{C3380CC4-5D6E-409C-BE32-E72D297353CC}">
              <c16:uniqueId val="{00000006-39A7-4999-9795-7AF0024734C2}"/>
            </c:ext>
          </c:extLst>
        </c:ser>
        <c:ser>
          <c:idx val="1"/>
          <c:order val="1"/>
          <c:tx>
            <c:strRef>
              <c:f>'ALG-REPR'!$N$11</c:f>
              <c:strCache>
                <c:ptCount val="1"/>
                <c:pt idx="0">
                  <c:v>Representatividad 2021</c:v>
                </c:pt>
              </c:strCache>
            </c:strRef>
          </c:tx>
          <c:spPr>
            <a:solidFill>
              <a:schemeClr val="accent4">
                <a:lumMod val="75000"/>
              </a:schemeClr>
            </a:solidFill>
            <a:ln>
              <a:noFill/>
            </a:ln>
            <a:effectLst/>
          </c:spPr>
          <c:invertIfNegative val="0"/>
          <c:cat>
            <c:strRef>
              <c:f>'ALG-REPR'!$K$12:$K$16</c:f>
              <c:strCache>
                <c:ptCount val="5"/>
                <c:pt idx="0">
                  <c:v>C. VALENCIANA</c:v>
                </c:pt>
                <c:pt idx="1">
                  <c:v>CATALUÑA</c:v>
                </c:pt>
                <c:pt idx="2">
                  <c:v>ISLAS BALEARES</c:v>
                </c:pt>
                <c:pt idx="3">
                  <c:v>ANDALUCÍA</c:v>
                </c:pt>
                <c:pt idx="4">
                  <c:v>MURCIA</c:v>
                </c:pt>
              </c:strCache>
            </c:strRef>
          </c:cat>
          <c:val>
            <c:numRef>
              <c:f>'ALG-REPR'!$N$12:$N$16</c:f>
              <c:numCache>
                <c:formatCode>0%</c:formatCode>
                <c:ptCount val="5"/>
                <c:pt idx="0">
                  <c:v>0.47452463887536367</c:v>
                </c:pt>
                <c:pt idx="1">
                  <c:v>0.54085634365797364</c:v>
                </c:pt>
                <c:pt idx="2">
                  <c:v>0.17909698507029995</c:v>
                </c:pt>
                <c:pt idx="3">
                  <c:v>0.51365405706090783</c:v>
                </c:pt>
                <c:pt idx="4">
                  <c:v>0.40771065093216885</c:v>
                </c:pt>
              </c:numCache>
            </c:numRef>
          </c:val>
          <c:extLst>
            <c:ext xmlns:c16="http://schemas.microsoft.com/office/drawing/2014/chart" uri="{C3380CC4-5D6E-409C-BE32-E72D297353CC}">
              <c16:uniqueId val="{00000000-39A7-4999-9795-7AF0024734C2}"/>
            </c:ext>
          </c:extLst>
        </c:ser>
        <c:dLbls>
          <c:showLegendKey val="0"/>
          <c:showVal val="0"/>
          <c:showCatName val="0"/>
          <c:showSerName val="0"/>
          <c:showPercent val="0"/>
          <c:showBubbleSize val="0"/>
        </c:dLbls>
        <c:gapWidth val="150"/>
        <c:axId val="97587520"/>
        <c:axId val="97580992"/>
      </c:barChart>
      <c:catAx>
        <c:axId val="9758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0992"/>
        <c:crosses val="autoZero"/>
        <c:auto val="1"/>
        <c:lblAlgn val="ctr"/>
        <c:lblOffset val="100"/>
        <c:noMultiLvlLbl val="0"/>
      </c:catAx>
      <c:valAx>
        <c:axId val="9758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7520"/>
        <c:crosses val="autoZero"/>
        <c:crossBetween val="between"/>
      </c:valAx>
      <c:spPr>
        <a:noFill/>
        <a:ln>
          <a:noFill/>
        </a:ln>
        <a:effectLst/>
      </c:spPr>
    </c:plotArea>
    <c:legend>
      <c:legendPos val="b"/>
      <c:layout>
        <c:manualLayout>
          <c:xMode val="edge"/>
          <c:yMode val="edge"/>
          <c:x val="0.35254887139107616"/>
          <c:y val="0.86736045494313208"/>
          <c:w val="0.62023559055118105"/>
          <c:h val="9.375065616797900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'ALG-REPR'!$F$5</c:f>
              <c:strCache>
                <c:ptCount val="1"/>
                <c:pt idx="0">
                  <c:v>ALGARROBO SEC</c:v>
                </c:pt>
              </c:strCache>
            </c:strRef>
          </c:tx>
          <c:spPr>
            <a:solidFill>
              <a:srgbClr val="AC4F10"/>
            </a:solidFill>
            <a:ln>
              <a:noFill/>
            </a:ln>
            <a:effectLst/>
            <a:sp3d/>
          </c:spPr>
          <c:invertIfNegative val="0"/>
          <c:dLbls>
            <c:dLbl>
              <c:idx val="0"/>
              <c:tx>
                <c:rich>
                  <a:bodyPr/>
                  <a:lstStyle/>
                  <a:p>
                    <a:fld id="{6F451FBF-3D43-4EC8-9EE9-4908DACD85D2}" type="CELLRANGE">
                      <a:rPr lang="es-ES"/>
                      <a:pPr/>
                      <a:t>[CELLRANGE]</a:t>
                    </a:fld>
                    <a:r>
                      <a:rPr lang="es-ES" baseline="0"/>
                      <a:t> </a:t>
                    </a:r>
                    <a:fld id="{324A2BB8-94EC-4F59-93D6-42AD44BD5B41}" type="SERIESNAME">
                      <a:rPr lang="es-ES" baseline="0"/>
                      <a:pPr/>
                      <a:t>[NOMBRE DE LA SERIE]</a:t>
                    </a:fld>
                    <a:endParaRPr lang="es-ES" baseline="0"/>
                  </a:p>
                </c:rich>
              </c:tx>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80A-4533-B530-84A436AD9A6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'ALG-REPR'!$G$4</c:f>
              <c:strCache>
                <c:ptCount val="1"/>
                <c:pt idx="0">
                  <c:v>RSU - REGEPA 2021</c:v>
                </c:pt>
              </c:strCache>
            </c:strRef>
          </c:cat>
          <c:val>
            <c:numRef>
              <c:f>'ALG-REPR'!$G$5</c:f>
              <c:numCache>
                <c:formatCode>#,##0</c:formatCode>
                <c:ptCount val="1"/>
                <c:pt idx="0">
                  <c:v>15539.720000000005</c:v>
                </c:pt>
              </c:numCache>
            </c:numRef>
          </c:val>
          <c:extLst>
            <c:ext xmlns:c15="http://schemas.microsoft.com/office/drawing/2012/chart" uri="{02D57815-91ED-43cb-92C2-25804820EDAC}">
              <c15:datalabelsRange>
                <c15:f>'ALG-REPR'!$H$5</c15:f>
                <c15:dlblRangeCache>
                  <c:ptCount val="1"/>
                  <c:pt idx="0">
                    <c:v>95%</c:v>
                  </c:pt>
                </c15:dlblRangeCache>
              </c15:datalabelsRange>
            </c:ext>
            <c:ext xmlns:c16="http://schemas.microsoft.com/office/drawing/2014/chart" uri="{C3380CC4-5D6E-409C-BE32-E72D297353CC}">
              <c16:uniqueId val="{00000001-980A-4533-B530-84A436AD9A60}"/>
            </c:ext>
          </c:extLst>
        </c:ser>
        <c:ser>
          <c:idx val="1"/>
          <c:order val="1"/>
          <c:tx>
            <c:strRef>
              <c:f>'ALG-REPR'!$F$6</c:f>
              <c:strCache>
                <c:ptCount val="1"/>
                <c:pt idx="0">
                  <c:v>ALGARROBO REG</c:v>
                </c:pt>
              </c:strCache>
            </c:strRef>
          </c:tx>
          <c:spPr>
            <a:solidFill>
              <a:schemeClr val="accent5">
                <a:lumMod val="60000"/>
                <a:lumOff val="40000"/>
              </a:schemeClr>
            </a:solidFill>
            <a:ln>
              <a:noFill/>
            </a:ln>
            <a:effectLst/>
            <a:sp3d/>
          </c:spPr>
          <c:invertIfNegative val="0"/>
          <c:dLbls>
            <c:dLbl>
              <c:idx val="0"/>
              <c:layout>
                <c:manualLayout>
                  <c:x val="0.16455696202531644"/>
                  <c:y val="-2.7627304042831834E-2"/>
                </c:manualLayout>
              </c:layout>
              <c:tx>
                <c:rich>
                  <a:bodyPr/>
                  <a:lstStyle/>
                  <a:p>
                    <a:fld id="{C1043A98-856A-4CC8-ACFE-3D6B306231AF}" type="CELLRANGE">
                      <a:rPr lang="en-US" baseline="0"/>
                      <a:pPr/>
                      <a:t>[CELLRANGE]</a:t>
                    </a:fld>
                    <a:r>
                      <a:rPr lang="en-US" baseline="0"/>
                      <a:t> </a:t>
                    </a:r>
                    <a:fld id="{FD09CB2A-3A3C-43BE-BC25-C8943F22A2E0}" type="SERIESNAME">
                      <a:rPr lang="en-US" baseline="0"/>
                      <a:pPr/>
                      <a:t>[NOMBRE DE LA SERIE]</a:t>
                    </a:fld>
                    <a:endParaRPr lang="en-US" baseline="0"/>
                  </a:p>
                </c:rich>
              </c:tx>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80A-4533-B530-84A436AD9A6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'ALG-REPR'!$G$4</c:f>
              <c:strCache>
                <c:ptCount val="1"/>
                <c:pt idx="0">
                  <c:v>RSU - REGEPA 2021</c:v>
                </c:pt>
              </c:strCache>
            </c:strRef>
          </c:cat>
          <c:val>
            <c:numRef>
              <c:f>'ALG-REPR'!$G$6</c:f>
              <c:numCache>
                <c:formatCode>#,##0</c:formatCode>
                <c:ptCount val="1"/>
                <c:pt idx="0">
                  <c:v>774.40000000000032</c:v>
                </c:pt>
              </c:numCache>
            </c:numRef>
          </c:val>
          <c:extLst>
            <c:ext xmlns:c15="http://schemas.microsoft.com/office/drawing/2012/chart" uri="{02D57815-91ED-43cb-92C2-25804820EDAC}">
              <c15:datalabelsRange>
                <c15:f>'ALG-REPR'!$H$6</c15:f>
                <c15:dlblRangeCache>
                  <c:ptCount val="1"/>
                  <c:pt idx="0">
                    <c:v>5%</c:v>
                  </c:pt>
                </c15:dlblRangeCache>
              </c15:datalabelsRange>
            </c:ext>
            <c:ext xmlns:c16="http://schemas.microsoft.com/office/drawing/2014/chart" uri="{C3380CC4-5D6E-409C-BE32-E72D297353CC}">
              <c16:uniqueId val="{00000003-980A-4533-B530-84A436AD9A60}"/>
            </c:ext>
          </c:extLst>
        </c:ser>
        <c:dLbls>
          <c:showLegendKey val="0"/>
          <c:showVal val="0"/>
          <c:showCatName val="0"/>
          <c:showSerName val="0"/>
          <c:showPercent val="0"/>
          <c:showBubbleSize val="0"/>
        </c:dLbls>
        <c:gapWidth val="150"/>
        <c:shape val="box"/>
        <c:axId val="1591255920"/>
        <c:axId val="1591243024"/>
        <c:axId val="0"/>
      </c:bar3DChart>
      <c:catAx>
        <c:axId val="1591255920"/>
        <c:scaling>
          <c:orientation val="minMax"/>
        </c:scaling>
        <c:delete val="1"/>
        <c:axPos val="l"/>
        <c:numFmt formatCode="General" sourceLinked="1"/>
        <c:majorTickMark val="none"/>
        <c:minorTickMark val="none"/>
        <c:tickLblPos val="nextTo"/>
        <c:crossAx val="1591243024"/>
        <c:crosses val="autoZero"/>
        <c:auto val="1"/>
        <c:lblAlgn val="ctr"/>
        <c:lblOffset val="100"/>
        <c:noMultiLvlLbl val="0"/>
      </c:catAx>
      <c:valAx>
        <c:axId val="1591243024"/>
        <c:scaling>
          <c:orientation val="minMax"/>
          <c:min val="0"/>
        </c:scaling>
        <c:delete val="1"/>
        <c:axPos val="b"/>
        <c:majorGridlines>
          <c:spPr>
            <a:ln w="9525" cap="flat" cmpd="sng" algn="ctr">
              <a:noFill/>
              <a:round/>
            </a:ln>
            <a:effectLst/>
          </c:spPr>
        </c:majorGridlines>
        <c:numFmt formatCode="#,##0" sourceLinked="1"/>
        <c:majorTickMark val="out"/>
        <c:minorTickMark val="none"/>
        <c:tickLblPos val="nextTo"/>
        <c:crossAx val="1591255920"/>
        <c:crosses val="autoZero"/>
        <c:crossBetween val="between"/>
      </c:valAx>
      <c:spPr>
        <a:solidFill>
          <a:schemeClr val="accent4">
            <a:lumMod val="40000"/>
            <a:lumOff val="60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lgn="ctr" rtl="0">
              <a:defRPr sz="1400" b="0" i="0" u="none" strike="noStrike" kern="1200" spc="0" baseline="0">
                <a:solidFill>
                  <a:sysClr val="windowText" lastClr="000000"/>
                </a:solidFill>
                <a:latin typeface="+mn-lt"/>
                <a:ea typeface="+mn-ea"/>
                <a:cs typeface="+mn-cs"/>
              </a:defRPr>
            </a:pPr>
            <a:r>
              <a:rPr lang="es-ES" b="1"/>
              <a:t>Algarrobo Regadío: </a:t>
            </a:r>
            <a:r>
              <a:rPr lang="es-ES" b="0"/>
              <a:t>Representatividad</a:t>
            </a:r>
            <a:r>
              <a:rPr lang="es-ES" b="0" baseline="0"/>
              <a:t> 2020 vs 2021</a:t>
            </a:r>
            <a:endParaRPr lang="es-ES"/>
          </a:p>
        </c:rich>
      </c:tx>
      <c:layout>
        <c:manualLayout>
          <c:xMode val="edge"/>
          <c:yMode val="edge"/>
          <c:x val="0.14066019417475728"/>
          <c:y val="2.2522522522522521E-2"/>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'ALG-REPR'!$O$46</c:f>
              <c:strCache>
                <c:ptCount val="1"/>
                <c:pt idx="0">
                  <c:v>Representatividad 2020</c:v>
                </c:pt>
              </c:strCache>
            </c:strRef>
          </c:tx>
          <c:spPr>
            <a:solidFill>
              <a:schemeClr val="accent1">
                <a:lumMod val="20000"/>
                <a:lumOff val="80000"/>
              </a:schemeClr>
            </a:solidFill>
            <a:ln>
              <a:noFill/>
            </a:ln>
            <a:effectLst/>
          </c:spPr>
          <c:invertIfNegative val="0"/>
          <c:cat>
            <c:strRef>
              <c:f>'ALG-REPR'!$K$47:$K$51</c:f>
              <c:strCache>
                <c:ptCount val="5"/>
                <c:pt idx="0">
                  <c:v>C. VALENCIANA</c:v>
                </c:pt>
                <c:pt idx="1">
                  <c:v>CATALUÑA</c:v>
                </c:pt>
                <c:pt idx="2">
                  <c:v>ISLAS BALEARES</c:v>
                </c:pt>
                <c:pt idx="3">
                  <c:v>ANDALUCÍA</c:v>
                </c:pt>
                <c:pt idx="4">
                  <c:v>MURCIA</c:v>
                </c:pt>
              </c:strCache>
            </c:strRef>
          </c:cat>
          <c:val>
            <c:numRef>
              <c:f>'ALG-REPR'!$O$47:$O$51</c:f>
              <c:numCache>
                <c:formatCode>0%</c:formatCode>
                <c:ptCount val="5"/>
                <c:pt idx="0">
                  <c:v>0.48657532086424515</c:v>
                </c:pt>
                <c:pt idx="1">
                  <c:v>0.50932036031426731</c:v>
                </c:pt>
                <c:pt idx="2">
                  <c:v>0.15557614452763083</c:v>
                </c:pt>
                <c:pt idx="3">
                  <c:v>2.7520212818582053</c:v>
                </c:pt>
                <c:pt idx="4">
                  <c:v>1.5075164009080917</c:v>
                </c:pt>
              </c:numCache>
            </c:numRef>
          </c:val>
          <c:extLst>
            <c:ext xmlns:c16="http://schemas.microsoft.com/office/drawing/2014/chart" uri="{C3380CC4-5D6E-409C-BE32-E72D297353CC}">
              <c16:uniqueId val="{00000006-E95D-432B-9CF1-8114A0A26B84}"/>
            </c:ext>
          </c:extLst>
        </c:ser>
        <c:ser>
          <c:idx val="1"/>
          <c:order val="1"/>
          <c:tx>
            <c:strRef>
              <c:f>'ALG-REPR'!$N$46</c:f>
              <c:strCache>
                <c:ptCount val="1"/>
                <c:pt idx="0">
                  <c:v>Representatividad 2021</c:v>
                </c:pt>
              </c:strCache>
            </c:strRef>
          </c:tx>
          <c:spPr>
            <a:solidFill>
              <a:srgbClr val="0033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'ALG-REPR'!$K$47:$K$51</c:f>
              <c:strCache>
                <c:ptCount val="5"/>
                <c:pt idx="0">
                  <c:v>C. VALENCIANA</c:v>
                </c:pt>
                <c:pt idx="1">
                  <c:v>CATALUÑA</c:v>
                </c:pt>
                <c:pt idx="2">
                  <c:v>ISLAS BALEARES</c:v>
                </c:pt>
                <c:pt idx="3">
                  <c:v>ANDALUCÍA</c:v>
                </c:pt>
                <c:pt idx="4">
                  <c:v>MURCIA</c:v>
                </c:pt>
              </c:strCache>
            </c:strRef>
          </c:cat>
          <c:val>
            <c:numRef>
              <c:f>'ALG-REPR'!$N$47:$N$51</c:f>
              <c:numCache>
                <c:formatCode>0%</c:formatCode>
                <c:ptCount val="5"/>
                <c:pt idx="0">
                  <c:v>0.6319464708511402</c:v>
                </c:pt>
                <c:pt idx="1">
                  <c:v>0.51399361122971343</c:v>
                </c:pt>
                <c:pt idx="2">
                  <c:v>0.27835574226003135</c:v>
                </c:pt>
                <c:pt idx="3">
                  <c:v>0.37463943535631139</c:v>
                </c:pt>
                <c:pt idx="4">
                  <c:v>1.047075910481998</c:v>
                </c:pt>
              </c:numCache>
            </c:numRef>
          </c:val>
          <c:extLst>
            <c:ext xmlns:c16="http://schemas.microsoft.com/office/drawing/2014/chart" uri="{C3380CC4-5D6E-409C-BE32-E72D297353CC}">
              <c16:uniqueId val="{00000000-E95D-432B-9CF1-8114A0A26B84}"/>
            </c:ext>
          </c:extLst>
        </c:ser>
        <c:dLbls>
          <c:showLegendKey val="0"/>
          <c:showVal val="0"/>
          <c:showCatName val="0"/>
          <c:showSerName val="0"/>
          <c:showPercent val="0"/>
          <c:showBubbleSize val="0"/>
        </c:dLbls>
        <c:gapWidth val="219"/>
        <c:axId val="97581536"/>
        <c:axId val="97576096"/>
      </c:barChart>
      <c:catAx>
        <c:axId val="97581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6096"/>
        <c:crosses val="autoZero"/>
        <c:auto val="1"/>
        <c:lblAlgn val="ctr"/>
        <c:lblOffset val="100"/>
        <c:noMultiLvlLbl val="0"/>
      </c:catAx>
      <c:valAx>
        <c:axId val="97576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Superficie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Nogal: </a:t>
            </a:r>
            <a:r>
              <a:rPr lang="es-ES"/>
              <a:t>RSU REGEPA  vs SUPERFICIES ANUALES (2021)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552807727187666"/>
          <c:y val="0.17359176256814052"/>
          <c:w val="0.83700624259261924"/>
          <c:h val="0.52258462884447132"/>
        </c:manualLayout>
      </c:layout>
      <c:barChart>
        <c:barDir val="col"/>
        <c:grouping val="clustered"/>
        <c:varyColors val="0"/>
        <c:ser>
          <c:idx val="1"/>
          <c:order val="0"/>
          <c:tx>
            <c:strRef>
              <c:f>'NOG-REPR'!$M$10</c:f>
              <c:strCache>
                <c:ptCount val="1"/>
                <c:pt idx="0">
                  <c:v>SUP.ANUALES 2021</c:v>
                </c:pt>
              </c:strCache>
            </c:strRef>
          </c:tx>
          <c:spPr>
            <a:solidFill>
              <a:srgbClr val="663300"/>
            </a:solidFill>
            <a:ln>
              <a:solidFill>
                <a:schemeClr val="tx1"/>
              </a:solidFill>
            </a:ln>
            <a:effectLst/>
          </c:spPr>
          <c:invertIfNegative val="0"/>
          <c:cat>
            <c:strRef>
              <c:f>'NOG-REPR'!$K$11:$K$17</c:f>
              <c:strCache>
                <c:ptCount val="7"/>
                <c:pt idx="0">
                  <c:v>EXTREMADURA</c:v>
                </c:pt>
                <c:pt idx="1">
                  <c:v>C.-LA MANCHA</c:v>
                </c:pt>
                <c:pt idx="2">
                  <c:v>ANDALUCÍA</c:v>
                </c:pt>
                <c:pt idx="3">
                  <c:v>CATALUÑA</c:v>
                </c:pt>
                <c:pt idx="4">
                  <c:v>ARAGÓN</c:v>
                </c:pt>
                <c:pt idx="5">
                  <c:v>C. VALENCIANA</c:v>
                </c:pt>
                <c:pt idx="6">
                  <c:v>C. Y LEÓN</c:v>
                </c:pt>
              </c:strCache>
            </c:strRef>
          </c:cat>
          <c:val>
            <c:numRef>
              <c:f>'NOG-REPR'!$M$11:$M$17</c:f>
              <c:numCache>
                <c:formatCode>#,##0</c:formatCode>
                <c:ptCount val="7"/>
                <c:pt idx="0">
                  <c:v>2220</c:v>
                </c:pt>
                <c:pt idx="1">
                  <c:v>1883</c:v>
                </c:pt>
                <c:pt idx="2">
                  <c:v>2450</c:v>
                </c:pt>
                <c:pt idx="3">
                  <c:v>1187</c:v>
                </c:pt>
                <c:pt idx="4">
                  <c:v>1310</c:v>
                </c:pt>
                <c:pt idx="5">
                  <c:v>1119</c:v>
                </c:pt>
                <c:pt idx="6">
                  <c:v>790</c:v>
                </c:pt>
              </c:numCache>
            </c:numRef>
          </c:val>
          <c:extLst>
            <c:ext xmlns:c16="http://schemas.microsoft.com/office/drawing/2014/chart" uri="{C3380CC4-5D6E-409C-BE32-E72D297353CC}">
              <c16:uniqueId val="{00000001-DFE6-460C-A92B-00A5E0C8FC10}"/>
            </c:ext>
          </c:extLst>
        </c:ser>
        <c:ser>
          <c:idx val="0"/>
          <c:order val="1"/>
          <c:tx>
            <c:strRef>
              <c:f>'NOG-REPR'!$L$10</c:f>
              <c:strCache>
                <c:ptCount val="1"/>
                <c:pt idx="0">
                  <c:v>RSU REGEPA 2021</c:v>
                </c:pt>
              </c:strCache>
            </c:strRef>
          </c:tx>
          <c:spPr>
            <a:solidFill>
              <a:srgbClr val="CB9661"/>
            </a:solidFill>
            <a:ln>
              <a:solidFill>
                <a:sysClr val="windowText" lastClr="000000"/>
              </a:solidFill>
            </a:ln>
            <a:effectLst/>
          </c:spPr>
          <c:invertIfNegative val="0"/>
          <c:dLbls>
            <c:dLbl>
              <c:idx val="0"/>
              <c:tx>
                <c:rich>
                  <a:bodyPr/>
                  <a:lstStyle/>
                  <a:p>
                    <a:fld id="{62A72FA8-4BE7-4020-9EDE-9FC749E0925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91A-4362-B1D1-A4AFD57A2B7A}"/>
                </c:ext>
              </c:extLst>
            </c:dLbl>
            <c:dLbl>
              <c:idx val="1"/>
              <c:tx>
                <c:rich>
                  <a:bodyPr/>
                  <a:lstStyle/>
                  <a:p>
                    <a:fld id="{EBB35D1C-67D3-46B3-AF43-0FCEEFFFB82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91A-4362-B1D1-A4AFD57A2B7A}"/>
                </c:ext>
              </c:extLst>
            </c:dLbl>
            <c:dLbl>
              <c:idx val="2"/>
              <c:layout>
                <c:manualLayout>
                  <c:x val="1.5841992077934759E-2"/>
                  <c:y val="0"/>
                </c:manualLayout>
              </c:layout>
              <c:tx>
                <c:rich>
                  <a:bodyPr/>
                  <a:lstStyle/>
                  <a:p>
                    <a:fld id="{CEDAD110-D079-4896-BF49-9FCB868B966C}"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91A-4362-B1D1-A4AFD57A2B7A}"/>
                </c:ext>
              </c:extLst>
            </c:dLbl>
            <c:dLbl>
              <c:idx val="3"/>
              <c:tx>
                <c:rich>
                  <a:bodyPr/>
                  <a:lstStyle/>
                  <a:p>
                    <a:fld id="{B0016661-BEED-4D3F-92D7-790FC378E0E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1A-4362-B1D1-A4AFD57A2B7A}"/>
                </c:ext>
              </c:extLst>
            </c:dLbl>
            <c:dLbl>
              <c:idx val="4"/>
              <c:tx>
                <c:rich>
                  <a:bodyPr/>
                  <a:lstStyle/>
                  <a:p>
                    <a:fld id="{860DF16A-D35A-4796-9018-A9F96B71A00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1A-4362-B1D1-A4AFD57A2B7A}"/>
                </c:ext>
              </c:extLst>
            </c:dLbl>
            <c:dLbl>
              <c:idx val="5"/>
              <c:layout>
                <c:manualLayout>
                  <c:x val="9.0525669016768406E-3"/>
                  <c:y val="-1.2820512820512898E-2"/>
                </c:manualLayout>
              </c:layout>
              <c:tx>
                <c:rich>
                  <a:bodyPr/>
                  <a:lstStyle/>
                  <a:p>
                    <a:fld id="{E7B7667A-A186-4A8D-8989-D9478FB618B5}"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1A-4362-B1D1-A4AFD57A2B7A}"/>
                </c:ext>
              </c:extLst>
            </c:dLbl>
            <c:dLbl>
              <c:idx val="6"/>
              <c:layout>
                <c:manualLayout>
                  <c:x val="1.1315708627096258E-2"/>
                  <c:y val="-8.5470085470086259E-3"/>
                </c:manualLayout>
              </c:layout>
              <c:tx>
                <c:rich>
                  <a:bodyPr/>
                  <a:lstStyle/>
                  <a:p>
                    <a:fld id="{8F197DC1-2361-4CED-AD99-6811DDA1C7B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1A-4362-B1D1-A4AFD57A2B7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'NOG-REPR'!$K$11:$K$17</c:f>
              <c:strCache>
                <c:ptCount val="7"/>
                <c:pt idx="0">
                  <c:v>EXTREMADURA</c:v>
                </c:pt>
                <c:pt idx="1">
                  <c:v>C.-LA MANCHA</c:v>
                </c:pt>
                <c:pt idx="2">
                  <c:v>ANDALUCÍA</c:v>
                </c:pt>
                <c:pt idx="3">
                  <c:v>CATALUÑA</c:v>
                </c:pt>
                <c:pt idx="4">
                  <c:v>ARAGÓN</c:v>
                </c:pt>
                <c:pt idx="5">
                  <c:v>C. VALENCIANA</c:v>
                </c:pt>
                <c:pt idx="6">
                  <c:v>C. Y LEÓN</c:v>
                </c:pt>
              </c:strCache>
            </c:strRef>
          </c:cat>
          <c:val>
            <c:numRef>
              <c:f>'NOG-REPR'!$L$11:$L$17</c:f>
              <c:numCache>
                <c:formatCode>#,##0</c:formatCode>
                <c:ptCount val="7"/>
                <c:pt idx="0">
                  <c:v>2479.64</c:v>
                </c:pt>
                <c:pt idx="1">
                  <c:v>1914.63</c:v>
                </c:pt>
                <c:pt idx="2">
                  <c:v>1055.6200000000001</c:v>
                </c:pt>
                <c:pt idx="3">
                  <c:v>1137.23</c:v>
                </c:pt>
                <c:pt idx="4">
                  <c:v>1280.2299999999998</c:v>
                </c:pt>
                <c:pt idx="5">
                  <c:v>743.1400000000001</c:v>
                </c:pt>
                <c:pt idx="6">
                  <c:v>574.71</c:v>
                </c:pt>
              </c:numCache>
            </c:numRef>
          </c:val>
          <c:extLst>
            <c:ext xmlns:c15="http://schemas.microsoft.com/office/drawing/2012/chart" uri="{02D57815-91ED-43cb-92C2-25804820EDAC}">
              <c15:datalabelsRange>
                <c15:f>'NOG-REPR'!$N$11:$N$17</c15:f>
                <c15:dlblRangeCache>
                  <c:ptCount val="7"/>
                  <c:pt idx="0">
                    <c:v>112%</c:v>
                  </c:pt>
                  <c:pt idx="1">
                    <c:v>102%</c:v>
                  </c:pt>
                  <c:pt idx="2">
                    <c:v>43%</c:v>
                  </c:pt>
                  <c:pt idx="3">
                    <c:v>96%</c:v>
                  </c:pt>
                  <c:pt idx="4">
                    <c:v>98%</c:v>
                  </c:pt>
                  <c:pt idx="5">
                    <c:v>66%</c:v>
                  </c:pt>
                  <c:pt idx="6">
                    <c:v>73%</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7582624"/>
        <c:axId val="97577184"/>
      </c:barChart>
      <c:catAx>
        <c:axId val="97582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7184"/>
        <c:crosses val="autoZero"/>
        <c:auto val="1"/>
        <c:lblAlgn val="ctr"/>
        <c:lblOffset val="100"/>
        <c:noMultiLvlLbl val="0"/>
      </c:catAx>
      <c:valAx>
        <c:axId val="97577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4713517300282622E-2"/>
              <c:y val="0.3605784373107207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2624"/>
        <c:crosses val="autoZero"/>
        <c:crossBetween val="between"/>
      </c:valAx>
      <c:spPr>
        <a:noFill/>
        <a:ln>
          <a:noFill/>
        </a:ln>
        <a:effectLst/>
      </c:spPr>
    </c:plotArea>
    <c:legend>
      <c:legendPos val="b"/>
      <c:layout>
        <c:manualLayout>
          <c:xMode val="edge"/>
          <c:yMode val="edge"/>
          <c:x val="0.23605001621988261"/>
          <c:y val="0.92113193129339843"/>
          <c:w val="0.52789996756023472"/>
          <c:h val="7.886806870660155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Nogal:</a:t>
            </a:r>
            <a:r>
              <a:rPr lang="es-ES" b="1" baseline="0"/>
              <a:t> </a:t>
            </a:r>
            <a:r>
              <a:rPr lang="es-ES"/>
              <a:t>RSU REGEPA 2021 vs 2020</a:t>
            </a:r>
          </a:p>
        </c:rich>
      </c:tx>
      <c:layout>
        <c:manualLayout>
          <c:xMode val="edge"/>
          <c:yMode val="edge"/>
          <c:x val="0.2665064434513254"/>
          <c:y val="2.77776530675324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7129393960890027"/>
          <c:y val="0.16375275938189846"/>
          <c:w val="0.779484807642288"/>
          <c:h val="0.59204703963011474"/>
        </c:manualLayout>
      </c:layout>
      <c:barChart>
        <c:barDir val="bar"/>
        <c:grouping val="clustered"/>
        <c:varyColors val="0"/>
        <c:ser>
          <c:idx val="1"/>
          <c:order val="0"/>
          <c:tx>
            <c:strRef>
              <c:f>'NOG-REPR'!$R$10</c:f>
              <c:strCache>
                <c:ptCount val="1"/>
                <c:pt idx="0">
                  <c:v>RSU REGEPA 2020</c:v>
                </c:pt>
              </c:strCache>
            </c:strRef>
          </c:tx>
          <c:spPr>
            <a:solidFill>
              <a:srgbClr val="663300"/>
            </a:solidFill>
            <a:ln>
              <a:noFill/>
            </a:ln>
            <a:effectLst/>
          </c:spPr>
          <c:invertIfNegative val="0"/>
          <c:cat>
            <c:strRef>
              <c:f>'NOG-REPR'!$Q$11:$Q$17</c:f>
              <c:strCache>
                <c:ptCount val="7"/>
                <c:pt idx="0">
                  <c:v>EXTREMADURA</c:v>
                </c:pt>
                <c:pt idx="1">
                  <c:v>C.-LA MANCHA</c:v>
                </c:pt>
                <c:pt idx="2">
                  <c:v>ANDALUCÍA</c:v>
                </c:pt>
                <c:pt idx="3">
                  <c:v>CATALUÑA</c:v>
                </c:pt>
                <c:pt idx="4">
                  <c:v>ARAGÓN</c:v>
                </c:pt>
                <c:pt idx="5">
                  <c:v>C. VALENCIANA</c:v>
                </c:pt>
                <c:pt idx="6">
                  <c:v>C. Y LEÓN</c:v>
                </c:pt>
              </c:strCache>
            </c:strRef>
          </c:cat>
          <c:val>
            <c:numRef>
              <c:f>'NOG-REPR'!$R$11:$R$17</c:f>
              <c:numCache>
                <c:formatCode>#,##0</c:formatCode>
                <c:ptCount val="7"/>
                <c:pt idx="0">
                  <c:v>2366.79</c:v>
                </c:pt>
                <c:pt idx="1">
                  <c:v>1762.77</c:v>
                </c:pt>
                <c:pt idx="2">
                  <c:v>1332.3400000000001</c:v>
                </c:pt>
                <c:pt idx="3">
                  <c:v>1177.9599999999998</c:v>
                </c:pt>
                <c:pt idx="4">
                  <c:v>1095.4599999999998</c:v>
                </c:pt>
                <c:pt idx="5">
                  <c:v>719.19</c:v>
                </c:pt>
                <c:pt idx="6">
                  <c:v>522.12</c:v>
                </c:pt>
              </c:numCache>
            </c:numRef>
          </c:val>
          <c:extLst>
            <c:ext xmlns:c16="http://schemas.microsoft.com/office/drawing/2014/chart" uri="{C3380CC4-5D6E-409C-BE32-E72D297353CC}">
              <c16:uniqueId val="{00000001-DFE6-460C-A92B-00A5E0C8FC10}"/>
            </c:ext>
          </c:extLst>
        </c:ser>
        <c:ser>
          <c:idx val="0"/>
          <c:order val="1"/>
          <c:tx>
            <c:strRef>
              <c:f>'NOG-REPR'!$S$10</c:f>
              <c:strCache>
                <c:ptCount val="1"/>
                <c:pt idx="0">
                  <c:v>RSU REGEPA 2021 </c:v>
                </c:pt>
              </c:strCache>
            </c:strRef>
          </c:tx>
          <c:spPr>
            <a:solidFill>
              <a:srgbClr val="CB9661"/>
            </a:solidFill>
            <a:ln>
              <a:solidFill>
                <a:sysClr val="windowText" lastClr="000000"/>
              </a:solidFill>
            </a:ln>
            <a:effectLst/>
          </c:spPr>
          <c:invertIfNegative val="0"/>
          <c:dLbls>
            <c:dLbl>
              <c:idx val="0"/>
              <c:tx>
                <c:rich>
                  <a:bodyPr/>
                  <a:lstStyle/>
                  <a:p>
                    <a:fld id="{7A08D906-DC95-493A-BE8C-B998343826E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32B-4B64-83D9-6A90A421A3B3}"/>
                </c:ext>
              </c:extLst>
            </c:dLbl>
            <c:dLbl>
              <c:idx val="1"/>
              <c:tx>
                <c:rich>
                  <a:bodyPr/>
                  <a:lstStyle/>
                  <a:p>
                    <a:fld id="{C2C0BCD9-9082-47CB-9707-DB01FAC0D4C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32B-4B64-83D9-6A90A421A3B3}"/>
                </c:ext>
              </c:extLst>
            </c:dLbl>
            <c:dLbl>
              <c:idx val="2"/>
              <c:layout>
                <c:manualLayout>
                  <c:x val="5.6042031523642732E-2"/>
                  <c:y val="-7.7847649883434352E-17"/>
                </c:manualLayout>
              </c:layout>
              <c:tx>
                <c:rich>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fld id="{566B9AC9-EF24-4D62-A2B8-5472074FE18E}" type="CELLRANGE">
                      <a:rPr lang="en-US"/>
                      <a:pPr>
                        <a:defRPr sz="11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32B-4B64-83D9-6A90A421A3B3}"/>
                </c:ext>
              </c:extLst>
            </c:dLbl>
            <c:dLbl>
              <c:idx val="3"/>
              <c:tx>
                <c:rich>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fld id="{32F21C35-E3FC-4996-BF70-1713F0D78E29}" type="CELLRANGE">
                      <a:rPr lang="es-ES"/>
                      <a:pPr>
                        <a:defRPr sz="11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2B-4B64-83D9-6A90A421A3B3}"/>
                </c:ext>
              </c:extLst>
            </c:dLbl>
            <c:dLbl>
              <c:idx val="4"/>
              <c:tx>
                <c:rich>
                  <a:bodyPr/>
                  <a:lstStyle/>
                  <a:p>
                    <a:fld id="{678EF620-EEDA-4F36-8F90-F4C06FB1981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2B-4B64-83D9-6A90A421A3B3}"/>
                </c:ext>
              </c:extLst>
            </c:dLbl>
            <c:dLbl>
              <c:idx val="5"/>
              <c:tx>
                <c:rich>
                  <a:bodyPr/>
                  <a:lstStyle/>
                  <a:p>
                    <a:fld id="{D1C46205-AF5B-48ED-8FE1-371A2C70EAD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2B-4B64-83D9-6A90A421A3B3}"/>
                </c:ext>
              </c:extLst>
            </c:dLbl>
            <c:dLbl>
              <c:idx val="6"/>
              <c:tx>
                <c:rich>
                  <a:bodyPr/>
                  <a:lstStyle/>
                  <a:p>
                    <a:fld id="{4E1C20AA-8416-4746-9FFF-1F9F26048D5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2B-4B64-83D9-6A90A421A3B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'NOG-REPR'!$Q$11:$Q$17</c:f>
              <c:strCache>
                <c:ptCount val="7"/>
                <c:pt idx="0">
                  <c:v>EXTREMADURA</c:v>
                </c:pt>
                <c:pt idx="1">
                  <c:v>C.-LA MANCHA</c:v>
                </c:pt>
                <c:pt idx="2">
                  <c:v>ANDALUCÍA</c:v>
                </c:pt>
                <c:pt idx="3">
                  <c:v>CATALUÑA</c:v>
                </c:pt>
                <c:pt idx="4">
                  <c:v>ARAGÓN</c:v>
                </c:pt>
                <c:pt idx="5">
                  <c:v>C. VALENCIANA</c:v>
                </c:pt>
                <c:pt idx="6">
                  <c:v>C. Y LEÓN</c:v>
                </c:pt>
              </c:strCache>
            </c:strRef>
          </c:cat>
          <c:val>
            <c:numRef>
              <c:f>'NOG-REPR'!$S$11:$S$17</c:f>
              <c:numCache>
                <c:formatCode>#,##0</c:formatCode>
                <c:ptCount val="7"/>
                <c:pt idx="0">
                  <c:v>2479.64</c:v>
                </c:pt>
                <c:pt idx="1">
                  <c:v>1914.63</c:v>
                </c:pt>
                <c:pt idx="2">
                  <c:v>1055.6200000000001</c:v>
                </c:pt>
                <c:pt idx="3">
                  <c:v>1137.23</c:v>
                </c:pt>
                <c:pt idx="4">
                  <c:v>1280.2299999999998</c:v>
                </c:pt>
                <c:pt idx="5">
                  <c:v>743.1400000000001</c:v>
                </c:pt>
                <c:pt idx="6">
                  <c:v>574.71</c:v>
                </c:pt>
              </c:numCache>
            </c:numRef>
          </c:val>
          <c:extLst>
            <c:ext xmlns:c15="http://schemas.microsoft.com/office/drawing/2012/chart" uri="{02D57815-91ED-43cb-92C2-25804820EDAC}">
              <c15:datalabelsRange>
                <c15:f>'NOG-REPR'!$T$11:$T$17</c15:f>
                <c15:dlblRangeCache>
                  <c:ptCount val="7"/>
                  <c:pt idx="0">
                    <c:v>5%</c:v>
                  </c:pt>
                  <c:pt idx="1">
                    <c:v>9%</c:v>
                  </c:pt>
                  <c:pt idx="2">
                    <c:v>-21%</c:v>
                  </c:pt>
                  <c:pt idx="3">
                    <c:v>-3%</c:v>
                  </c:pt>
                  <c:pt idx="4">
                    <c:v>17%</c:v>
                  </c:pt>
                  <c:pt idx="5">
                    <c:v>3%</c:v>
                  </c:pt>
                  <c:pt idx="6">
                    <c:v>10%</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7583168"/>
        <c:axId val="97585344"/>
      </c:barChart>
      <c:catAx>
        <c:axId val="97583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5344"/>
        <c:crosses val="autoZero"/>
        <c:auto val="1"/>
        <c:lblAlgn val="ctr"/>
        <c:lblOffset val="100"/>
        <c:noMultiLvlLbl val="0"/>
      </c:catAx>
      <c:valAx>
        <c:axId val="975853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b="1">
                    <a:solidFill>
                      <a:schemeClr val="tx1"/>
                    </a:solidFill>
                  </a:rPr>
                  <a:t>Superficie (ha)</a:t>
                </a:r>
              </a:p>
            </c:rich>
          </c:tx>
          <c:layout>
            <c:manualLayout>
              <c:xMode val="edge"/>
              <c:yMode val="edge"/>
              <c:x val="0.4288747960558984"/>
              <c:y val="0.831759624340508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3168"/>
        <c:crosses val="autoZero"/>
        <c:crossBetween val="between"/>
      </c:valAx>
      <c:spPr>
        <a:noFill/>
        <a:ln>
          <a:noFill/>
        </a:ln>
        <a:effectLst/>
      </c:spPr>
    </c:plotArea>
    <c:legend>
      <c:legendPos val="b"/>
      <c:layout>
        <c:manualLayout>
          <c:xMode val="edge"/>
          <c:yMode val="edge"/>
          <c:x val="0.2437021588517651"/>
          <c:y val="0.91801874636733449"/>
          <c:w val="0.51259549313092623"/>
          <c:h val="8.1981253632665549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1" i="0" baseline="0">
                <a:effectLst/>
              </a:rPr>
              <a:t>Frutos Secos: </a:t>
            </a:r>
            <a:endParaRPr lang="es-ES" sz="1400">
              <a:effectLst/>
            </a:endParaRPr>
          </a:p>
          <a:p>
            <a:pPr>
              <a:defRPr sz="1400" b="0" i="0" u="none" strike="noStrike" kern="1200" spc="0" baseline="0">
                <a:solidFill>
                  <a:schemeClr val="tx1">
                    <a:lumMod val="65000"/>
                    <a:lumOff val="35000"/>
                  </a:schemeClr>
                </a:solidFill>
                <a:latin typeface="+mn-lt"/>
                <a:ea typeface="+mn-ea"/>
                <a:cs typeface="+mn-cs"/>
              </a:defRPr>
            </a:pPr>
            <a:r>
              <a:rPr lang="es-ES" sz="1400" b="0" i="0" baseline="0">
                <a:effectLst/>
              </a:rPr>
              <a:t>Variación de superficies 2021 vs 2020: RSU REGEPA y Superficies Anuales</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RSU REGEPA 2021 vs 2020</c:v>
          </c:tx>
          <c:spPr>
            <a:solidFill>
              <a:schemeClr val="accent6">
                <a:lumMod val="50000"/>
              </a:schemeClr>
            </a:solidFill>
            <a:ln>
              <a:noFill/>
            </a:ln>
            <a:effectLst/>
          </c:spPr>
          <c:invertIfNegative val="0"/>
          <c:dPt>
            <c:idx val="2"/>
            <c:invertIfNegative val="0"/>
            <c:bubble3D val="0"/>
            <c:spPr>
              <a:solidFill>
                <a:srgbClr val="C00000"/>
              </a:solidFill>
              <a:ln>
                <a:noFill/>
              </a:ln>
              <a:effectLst/>
            </c:spPr>
            <c:extLst>
              <c:ext xmlns:c16="http://schemas.microsoft.com/office/drawing/2014/chart" uri="{C3380CC4-5D6E-409C-BE32-E72D297353CC}">
                <c16:uniqueId val="{00000003-BE70-4DAC-8458-FCB76BB4B21A}"/>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TOTAL'!$A$6:$A$11</c:f>
              <c:strCache>
                <c:ptCount val="6"/>
                <c:pt idx="0">
                  <c:v>ALMENDRO</c:v>
                </c:pt>
                <c:pt idx="1">
                  <c:v>PISTACHO</c:v>
                </c:pt>
                <c:pt idx="2">
                  <c:v>AVELLANO</c:v>
                </c:pt>
                <c:pt idx="3">
                  <c:v>ALGARROBO</c:v>
                </c:pt>
                <c:pt idx="4">
                  <c:v>CASTAÑO </c:v>
                </c:pt>
                <c:pt idx="5">
                  <c:v>NOGAL</c:v>
                </c:pt>
              </c:strCache>
            </c:strRef>
          </c:cat>
          <c:val>
            <c:numRef>
              <c:f>'FRUTOS SECOS TOTAL'!$F$6:$F$11</c:f>
              <c:numCache>
                <c:formatCode>0%</c:formatCode>
                <c:ptCount val="6"/>
                <c:pt idx="0">
                  <c:v>4.9002078014668271E-2</c:v>
                </c:pt>
                <c:pt idx="1">
                  <c:v>0.23671424478733716</c:v>
                </c:pt>
                <c:pt idx="2">
                  <c:v>-3.0487643832482036E-2</c:v>
                </c:pt>
                <c:pt idx="3">
                  <c:v>8.1329799185926532E-2</c:v>
                </c:pt>
                <c:pt idx="4">
                  <c:v>5.802658249392767E-2</c:v>
                </c:pt>
                <c:pt idx="5">
                  <c:v>3.7009118006413377E-2</c:v>
                </c:pt>
              </c:numCache>
            </c:numRef>
          </c:val>
          <c:extLst>
            <c:ext xmlns:c16="http://schemas.microsoft.com/office/drawing/2014/chart" uri="{C3380CC4-5D6E-409C-BE32-E72D297353CC}">
              <c16:uniqueId val="{00000000-BE70-4DAC-8458-FCB76BB4B21A}"/>
            </c:ext>
          </c:extLst>
        </c:ser>
        <c:ser>
          <c:idx val="1"/>
          <c:order val="1"/>
          <c:tx>
            <c:v>Superficies Anuales 2021 vs 2020</c:v>
          </c:tx>
          <c:spPr>
            <a:solidFill>
              <a:schemeClr val="accent6">
                <a:lumMod val="60000"/>
                <a:lumOff val="40000"/>
              </a:schemeClr>
            </a:solidFill>
            <a:ln>
              <a:noFill/>
            </a:ln>
            <a:effectLst/>
          </c:spPr>
          <c:invertIfNegative val="0"/>
          <c:dPt>
            <c:idx val="3"/>
            <c:invertIfNegative val="0"/>
            <c:bubble3D val="0"/>
            <c:spPr>
              <a:solidFill>
                <a:srgbClr val="FF8FA4"/>
              </a:solidFill>
              <a:ln>
                <a:noFill/>
              </a:ln>
              <a:effectLst/>
            </c:spPr>
            <c:extLst>
              <c:ext xmlns:c16="http://schemas.microsoft.com/office/drawing/2014/chart" uri="{C3380CC4-5D6E-409C-BE32-E72D297353CC}">
                <c16:uniqueId val="{00000004-BE70-4DAC-8458-FCB76BB4B2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TOTAL'!$A$6:$A$11</c:f>
              <c:strCache>
                <c:ptCount val="6"/>
                <c:pt idx="0">
                  <c:v>ALMENDRO</c:v>
                </c:pt>
                <c:pt idx="1">
                  <c:v>PISTACHO</c:v>
                </c:pt>
                <c:pt idx="2">
                  <c:v>AVELLANO</c:v>
                </c:pt>
                <c:pt idx="3">
                  <c:v>ALGARROBO</c:v>
                </c:pt>
                <c:pt idx="4">
                  <c:v>CASTAÑO </c:v>
                </c:pt>
                <c:pt idx="5">
                  <c:v>NOGAL</c:v>
                </c:pt>
              </c:strCache>
            </c:strRef>
          </c:cat>
          <c:val>
            <c:numRef>
              <c:f>'FRUTOS SECOS TOTAL'!$E$16:$E$21</c:f>
              <c:numCache>
                <c:formatCode>0%</c:formatCode>
                <c:ptCount val="6"/>
                <c:pt idx="0">
                  <c:v>3.6080106883402463E-2</c:v>
                </c:pt>
                <c:pt idx="1">
                  <c:v>0.23614083255945406</c:v>
                </c:pt>
                <c:pt idx="2">
                  <c:v>2.908534251817807E-3</c:v>
                </c:pt>
                <c:pt idx="3">
                  <c:v>-7.0866068580432984E-3</c:v>
                </c:pt>
                <c:pt idx="4">
                  <c:v>1.1964318801450435E-2</c:v>
                </c:pt>
                <c:pt idx="5">
                  <c:v>3.9951179820992611E-2</c:v>
                </c:pt>
              </c:numCache>
            </c:numRef>
          </c:val>
          <c:extLst>
            <c:ext xmlns:c16="http://schemas.microsoft.com/office/drawing/2014/chart" uri="{C3380CC4-5D6E-409C-BE32-E72D297353CC}">
              <c16:uniqueId val="{00000001-BE70-4DAC-8458-FCB76BB4B21A}"/>
            </c:ext>
          </c:extLst>
        </c:ser>
        <c:dLbls>
          <c:showLegendKey val="0"/>
          <c:showVal val="0"/>
          <c:showCatName val="0"/>
          <c:showSerName val="0"/>
          <c:showPercent val="0"/>
          <c:showBubbleSize val="0"/>
        </c:dLbls>
        <c:gapWidth val="182"/>
        <c:axId val="747928575"/>
        <c:axId val="747925663"/>
      </c:barChart>
      <c:catAx>
        <c:axId val="74792857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ES"/>
          </a:p>
        </c:txPr>
        <c:crossAx val="747925663"/>
        <c:crosses val="autoZero"/>
        <c:auto val="1"/>
        <c:lblAlgn val="ctr"/>
        <c:lblOffset val="200"/>
        <c:noMultiLvlLbl val="0"/>
      </c:catAx>
      <c:valAx>
        <c:axId val="747925663"/>
        <c:scaling>
          <c:orientation val="minMax"/>
          <c:max val="0.25"/>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74792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Nogal: </a:t>
            </a:r>
            <a:r>
              <a:rPr lang="es-ES" b="0"/>
              <a:t>Representatividad</a:t>
            </a:r>
            <a:r>
              <a:rPr lang="es-ES" b="0" baseline="0"/>
              <a:t> 2020 vs 2021</a:t>
            </a:r>
            <a:endParaRPr lang="es-ES"/>
          </a:p>
        </c:rich>
      </c:tx>
      <c:layout>
        <c:manualLayout>
          <c:xMode val="edge"/>
          <c:yMode val="edge"/>
          <c:x val="0.2881580509735861"/>
          <c:y val="2.77777099317612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552807727187666"/>
          <c:y val="0.17359176256814052"/>
          <c:w val="0.83700624259261924"/>
          <c:h val="0.52258462884447132"/>
        </c:manualLayout>
      </c:layout>
      <c:barChart>
        <c:barDir val="col"/>
        <c:grouping val="clustered"/>
        <c:varyColors val="0"/>
        <c:ser>
          <c:idx val="0"/>
          <c:order val="0"/>
          <c:tx>
            <c:strRef>
              <c:f>'NOG-REPR'!$O$10</c:f>
              <c:strCache>
                <c:ptCount val="1"/>
                <c:pt idx="0">
                  <c:v>Representatividad 2020</c:v>
                </c:pt>
              </c:strCache>
            </c:strRef>
          </c:tx>
          <c:spPr>
            <a:solidFill>
              <a:schemeClr val="accent4">
                <a:lumMod val="40000"/>
                <a:lumOff val="60000"/>
              </a:schemeClr>
            </a:solidFill>
            <a:ln>
              <a:noFill/>
            </a:ln>
            <a:effectLst/>
          </c:spPr>
          <c:invertIfNegative val="0"/>
          <c:cat>
            <c:strRef>
              <c:f>'NOG-REPR'!$K$11:$K$17</c:f>
              <c:strCache>
                <c:ptCount val="7"/>
                <c:pt idx="0">
                  <c:v>EXTREMADURA</c:v>
                </c:pt>
                <c:pt idx="1">
                  <c:v>C.-LA MANCHA</c:v>
                </c:pt>
                <c:pt idx="2">
                  <c:v>ANDALUCÍA</c:v>
                </c:pt>
                <c:pt idx="3">
                  <c:v>CATALUÑA</c:v>
                </c:pt>
                <c:pt idx="4">
                  <c:v>ARAGÓN</c:v>
                </c:pt>
                <c:pt idx="5">
                  <c:v>C. VALENCIANA</c:v>
                </c:pt>
                <c:pt idx="6">
                  <c:v>C. Y LEÓN</c:v>
                </c:pt>
              </c:strCache>
            </c:strRef>
          </c:cat>
          <c:val>
            <c:numRef>
              <c:f>'NOG-REPR'!$O$11:$O$17</c:f>
              <c:numCache>
                <c:formatCode>0%</c:formatCode>
                <c:ptCount val="7"/>
                <c:pt idx="0">
                  <c:v>1.0136145610278373</c:v>
                </c:pt>
                <c:pt idx="1">
                  <c:v>1.0130862068965518</c:v>
                </c:pt>
                <c:pt idx="2">
                  <c:v>0.55933669185558366</c:v>
                </c:pt>
                <c:pt idx="3">
                  <c:v>1.0342054433713783</c:v>
                </c:pt>
                <c:pt idx="4">
                  <c:v>1.0266729147141516</c:v>
                </c:pt>
                <c:pt idx="5">
                  <c:v>0.62866258741258751</c:v>
                </c:pt>
                <c:pt idx="6">
                  <c:v>0.72016551724137934</c:v>
                </c:pt>
              </c:numCache>
            </c:numRef>
          </c:val>
          <c:extLst>
            <c:ext xmlns:c16="http://schemas.microsoft.com/office/drawing/2014/chart" uri="{C3380CC4-5D6E-409C-BE32-E72D297353CC}">
              <c16:uniqueId val="{00000008-D52D-465A-805B-8F06918CF935}"/>
            </c:ext>
          </c:extLst>
        </c:ser>
        <c:ser>
          <c:idx val="1"/>
          <c:order val="1"/>
          <c:tx>
            <c:strRef>
              <c:f>'NOG-REPR'!$N$10</c:f>
              <c:strCache>
                <c:ptCount val="1"/>
                <c:pt idx="0">
                  <c:v>Representatividad 2021</c:v>
                </c:pt>
              </c:strCache>
            </c:strRef>
          </c:tx>
          <c:spPr>
            <a:solidFill>
              <a:schemeClr val="accent4">
                <a:lumMod val="75000"/>
              </a:schemeClr>
            </a:solidFill>
            <a:ln>
              <a:noFill/>
            </a:ln>
            <a:effectLst/>
          </c:spPr>
          <c:invertIfNegative val="0"/>
          <c:cat>
            <c:strRef>
              <c:f>'NOG-REPR'!$K$11:$K$17</c:f>
              <c:strCache>
                <c:ptCount val="7"/>
                <c:pt idx="0">
                  <c:v>EXTREMADURA</c:v>
                </c:pt>
                <c:pt idx="1">
                  <c:v>C.-LA MANCHA</c:v>
                </c:pt>
                <c:pt idx="2">
                  <c:v>ANDALUCÍA</c:v>
                </c:pt>
                <c:pt idx="3">
                  <c:v>CATALUÑA</c:v>
                </c:pt>
                <c:pt idx="4">
                  <c:v>ARAGÓN</c:v>
                </c:pt>
                <c:pt idx="5">
                  <c:v>C. VALENCIANA</c:v>
                </c:pt>
                <c:pt idx="6">
                  <c:v>C. Y LEÓN</c:v>
                </c:pt>
              </c:strCache>
            </c:strRef>
          </c:cat>
          <c:val>
            <c:numRef>
              <c:f>'NOG-REPR'!$N$11:$N$17</c:f>
              <c:numCache>
                <c:formatCode>0%</c:formatCode>
                <c:ptCount val="7"/>
                <c:pt idx="0">
                  <c:v>1.1169549549549549</c:v>
                </c:pt>
                <c:pt idx="1">
                  <c:v>1.0167976633032396</c:v>
                </c:pt>
                <c:pt idx="2">
                  <c:v>0.43086530612244905</c:v>
                </c:pt>
                <c:pt idx="3">
                  <c:v>0.9580707666385847</c:v>
                </c:pt>
                <c:pt idx="4">
                  <c:v>0.97727480916030518</c:v>
                </c:pt>
                <c:pt idx="5">
                  <c:v>0.66411081322609478</c:v>
                </c:pt>
                <c:pt idx="6">
                  <c:v>0.72748101265822784</c:v>
                </c:pt>
              </c:numCache>
            </c:numRef>
          </c:val>
          <c:extLst>
            <c:ext xmlns:c16="http://schemas.microsoft.com/office/drawing/2014/chart" uri="{C3380CC4-5D6E-409C-BE32-E72D297353CC}">
              <c16:uniqueId val="{00000000-D52D-465A-805B-8F06918CF935}"/>
            </c:ext>
          </c:extLst>
        </c:ser>
        <c:dLbls>
          <c:showLegendKey val="0"/>
          <c:showVal val="0"/>
          <c:showCatName val="0"/>
          <c:showSerName val="0"/>
          <c:showPercent val="0"/>
          <c:showBubbleSize val="0"/>
        </c:dLbls>
        <c:gapWidth val="150"/>
        <c:axId val="97582624"/>
        <c:axId val="97577184"/>
      </c:barChart>
      <c:catAx>
        <c:axId val="97582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77184"/>
        <c:crosses val="autoZero"/>
        <c:auto val="1"/>
        <c:lblAlgn val="ctr"/>
        <c:lblOffset val="100"/>
        <c:noMultiLvlLbl val="0"/>
      </c:catAx>
      <c:valAx>
        <c:axId val="97577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4713517300282622E-2"/>
              <c:y val="0.3605784373107207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2624"/>
        <c:crosses val="autoZero"/>
        <c:crossBetween val="between"/>
      </c:valAx>
      <c:spPr>
        <a:noFill/>
        <a:ln>
          <a:noFill/>
        </a:ln>
        <a:effectLst/>
      </c:spPr>
    </c:plotArea>
    <c:legend>
      <c:legendPos val="b"/>
      <c:layout>
        <c:manualLayout>
          <c:xMode val="edge"/>
          <c:yMode val="edge"/>
          <c:x val="0.37032380215000593"/>
          <c:y val="0.89897545924290123"/>
          <c:w val="0.52789996756023472"/>
          <c:h val="7.886806870660155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Castaño: </a:t>
            </a:r>
            <a:r>
              <a:rPr lang="es-ES"/>
              <a:t>RSU REGEPA vs SUPERFICIES ANUALES (2021)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'CAS-REPR'!$M$10</c:f>
              <c:strCache>
                <c:ptCount val="1"/>
                <c:pt idx="0">
                  <c:v>SUP.ANUALES 2021</c:v>
                </c:pt>
              </c:strCache>
            </c:strRef>
          </c:tx>
          <c:spPr>
            <a:solidFill>
              <a:srgbClr val="663300"/>
            </a:solidFill>
            <a:ln>
              <a:solidFill>
                <a:sysClr val="windowText" lastClr="000000"/>
              </a:solidFill>
            </a:ln>
            <a:effectLst/>
          </c:spPr>
          <c:invertIfNegative val="0"/>
          <c:cat>
            <c:strRef>
              <c:f>'CAS-REPR'!$K$11:$K$14</c:f>
              <c:strCache>
                <c:ptCount val="4"/>
                <c:pt idx="0">
                  <c:v>GALICIA</c:v>
                </c:pt>
                <c:pt idx="1">
                  <c:v>ANDALUCÍA</c:v>
                </c:pt>
                <c:pt idx="2">
                  <c:v>EXTREMADURA</c:v>
                </c:pt>
                <c:pt idx="3">
                  <c:v>C. Y LEÓN</c:v>
                </c:pt>
              </c:strCache>
            </c:strRef>
          </c:cat>
          <c:val>
            <c:numRef>
              <c:f>'CAS-REPR'!$M$11:$M$14</c:f>
              <c:numCache>
                <c:formatCode>#,##0</c:formatCode>
                <c:ptCount val="4"/>
                <c:pt idx="0">
                  <c:v>25069</c:v>
                </c:pt>
                <c:pt idx="1">
                  <c:v>9094</c:v>
                </c:pt>
                <c:pt idx="2">
                  <c:v>3093</c:v>
                </c:pt>
                <c:pt idx="3">
                  <c:v>832</c:v>
                </c:pt>
              </c:numCache>
            </c:numRef>
          </c:val>
          <c:extLst>
            <c:ext xmlns:c16="http://schemas.microsoft.com/office/drawing/2014/chart" uri="{C3380CC4-5D6E-409C-BE32-E72D297353CC}">
              <c16:uniqueId val="{00000001-DFE6-460C-A92B-00A5E0C8FC10}"/>
            </c:ext>
          </c:extLst>
        </c:ser>
        <c:ser>
          <c:idx val="0"/>
          <c:order val="1"/>
          <c:tx>
            <c:strRef>
              <c:f>'CAS-REPR'!$L$10</c:f>
              <c:strCache>
                <c:ptCount val="1"/>
                <c:pt idx="0">
                  <c:v>RSU REGEPA 2021</c:v>
                </c:pt>
              </c:strCache>
            </c:strRef>
          </c:tx>
          <c:spPr>
            <a:solidFill>
              <a:srgbClr val="CB9661"/>
            </a:solidFill>
            <a:ln>
              <a:solidFill>
                <a:srgbClr val="663300"/>
              </a:solidFill>
            </a:ln>
            <a:effectLst/>
          </c:spPr>
          <c:invertIfNegative val="0"/>
          <c:dLbls>
            <c:dLbl>
              <c:idx val="0"/>
              <c:tx>
                <c:rich>
                  <a:bodyPr/>
                  <a:lstStyle/>
                  <a:p>
                    <a:fld id="{2AC74F21-E040-4121-BB0A-366B476DCDD6}"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564-4562-A5F4-7B9731B14244}"/>
                </c:ext>
              </c:extLst>
            </c:dLbl>
            <c:dLbl>
              <c:idx val="1"/>
              <c:tx>
                <c:rich>
                  <a:bodyPr/>
                  <a:lstStyle/>
                  <a:p>
                    <a:fld id="{6B0D2324-0711-4A82-BEE6-7D042DE3A00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564-4562-A5F4-7B9731B14244}"/>
                </c:ext>
              </c:extLst>
            </c:dLbl>
            <c:dLbl>
              <c:idx val="2"/>
              <c:tx>
                <c:rich>
                  <a:bodyPr/>
                  <a:lstStyle/>
                  <a:p>
                    <a:fld id="{0D15E0FF-FA3F-4DBC-9E92-828DB2402642}"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64-4562-A5F4-7B9731B14244}"/>
                </c:ext>
              </c:extLst>
            </c:dLbl>
            <c:dLbl>
              <c:idx val="3"/>
              <c:tx>
                <c:rich>
                  <a:bodyPr/>
                  <a:lstStyle/>
                  <a:p>
                    <a:fld id="{415D6D8C-A4D2-4238-9B05-A8FD831BA3D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64-4562-A5F4-7B9731B1424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'CAS-REPR'!$K$11:$K$14</c:f>
              <c:strCache>
                <c:ptCount val="4"/>
                <c:pt idx="0">
                  <c:v>GALICIA</c:v>
                </c:pt>
                <c:pt idx="1">
                  <c:v>ANDALUCÍA</c:v>
                </c:pt>
                <c:pt idx="2">
                  <c:v>EXTREMADURA</c:v>
                </c:pt>
                <c:pt idx="3">
                  <c:v>C. Y LEÓN</c:v>
                </c:pt>
              </c:strCache>
            </c:strRef>
          </c:cat>
          <c:val>
            <c:numRef>
              <c:f>'CAS-REPR'!$L$11:$L$14</c:f>
              <c:numCache>
                <c:formatCode>#,##0</c:formatCode>
                <c:ptCount val="4"/>
                <c:pt idx="0">
                  <c:v>2943.2000000000007</c:v>
                </c:pt>
                <c:pt idx="1">
                  <c:v>3846.9000000000024</c:v>
                </c:pt>
                <c:pt idx="2">
                  <c:v>3108.48</c:v>
                </c:pt>
                <c:pt idx="3">
                  <c:v>307.94</c:v>
                </c:pt>
              </c:numCache>
            </c:numRef>
          </c:val>
          <c:extLst>
            <c:ext xmlns:c15="http://schemas.microsoft.com/office/drawing/2012/chart" uri="{02D57815-91ED-43cb-92C2-25804820EDAC}">
              <c15:datalabelsRange>
                <c15:f>'CAS-REPR'!$N$11:$N$14</c15:f>
                <c15:dlblRangeCache>
                  <c:ptCount val="4"/>
                  <c:pt idx="0">
                    <c:v>12%</c:v>
                  </c:pt>
                  <c:pt idx="1">
                    <c:v>42%</c:v>
                  </c:pt>
                  <c:pt idx="2">
                    <c:v>101%</c:v>
                  </c:pt>
                  <c:pt idx="3">
                    <c:v>37%</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7585888"/>
        <c:axId val="96712528"/>
      </c:barChart>
      <c:catAx>
        <c:axId val="97585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2528"/>
        <c:crosses val="autoZero"/>
        <c:auto val="1"/>
        <c:lblAlgn val="ctr"/>
        <c:lblOffset val="100"/>
        <c:noMultiLvlLbl val="0"/>
      </c:catAx>
      <c:valAx>
        <c:axId val="9671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Castaño:</a:t>
            </a:r>
            <a:r>
              <a:rPr lang="es-ES" b="1" baseline="0"/>
              <a:t> </a:t>
            </a:r>
            <a:r>
              <a:rPr lang="es-ES"/>
              <a:t>RSU REGEPA 2021</a:t>
            </a:r>
            <a:r>
              <a:rPr lang="es-ES" baseline="0"/>
              <a:t> </a:t>
            </a:r>
            <a:r>
              <a:rPr lang="es-ES"/>
              <a:t>vs 2020</a:t>
            </a:r>
          </a:p>
        </c:rich>
      </c:tx>
      <c:layout>
        <c:manualLayout>
          <c:xMode val="edge"/>
          <c:yMode val="edge"/>
          <c:x val="0.2665064434513254"/>
          <c:y val="2.77776530675324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7129393960890027"/>
          <c:y val="0.16375275938189846"/>
          <c:w val="0.779484807642288"/>
          <c:h val="0.59204703963011474"/>
        </c:manualLayout>
      </c:layout>
      <c:barChart>
        <c:barDir val="bar"/>
        <c:grouping val="clustered"/>
        <c:varyColors val="0"/>
        <c:ser>
          <c:idx val="1"/>
          <c:order val="0"/>
          <c:tx>
            <c:strRef>
              <c:f>'CAS-REPR'!$R$10</c:f>
              <c:strCache>
                <c:ptCount val="1"/>
                <c:pt idx="0">
                  <c:v>RSU REGEPA 2020</c:v>
                </c:pt>
              </c:strCache>
            </c:strRef>
          </c:tx>
          <c:spPr>
            <a:solidFill>
              <a:srgbClr val="663300"/>
            </a:solidFill>
            <a:ln>
              <a:solidFill>
                <a:srgbClr val="663300"/>
              </a:solidFill>
            </a:ln>
            <a:effectLst/>
          </c:spPr>
          <c:invertIfNegative val="0"/>
          <c:cat>
            <c:strRef>
              <c:f>'CAS-REPR'!$Q$11:$Q$14</c:f>
              <c:strCache>
                <c:ptCount val="4"/>
                <c:pt idx="0">
                  <c:v>GALICIA</c:v>
                </c:pt>
                <c:pt idx="1">
                  <c:v>ANDALUCÍA</c:v>
                </c:pt>
                <c:pt idx="2">
                  <c:v>EXTREMADURA</c:v>
                </c:pt>
                <c:pt idx="3">
                  <c:v>C. Y LEÓN</c:v>
                </c:pt>
              </c:strCache>
            </c:strRef>
          </c:cat>
          <c:val>
            <c:numRef>
              <c:f>'CAS-REPR'!$R$11:$R$14</c:f>
              <c:numCache>
                <c:formatCode>#,##0</c:formatCode>
                <c:ptCount val="4"/>
                <c:pt idx="0">
                  <c:v>2410.4899999999998</c:v>
                </c:pt>
                <c:pt idx="1">
                  <c:v>3814.6200000000003</c:v>
                </c:pt>
                <c:pt idx="2">
                  <c:v>3167.6299999999997</c:v>
                </c:pt>
                <c:pt idx="3">
                  <c:v>257.86</c:v>
                </c:pt>
              </c:numCache>
            </c:numRef>
          </c:val>
          <c:extLst>
            <c:ext xmlns:c16="http://schemas.microsoft.com/office/drawing/2014/chart" uri="{C3380CC4-5D6E-409C-BE32-E72D297353CC}">
              <c16:uniqueId val="{00000001-DFE6-460C-A92B-00A5E0C8FC10}"/>
            </c:ext>
          </c:extLst>
        </c:ser>
        <c:ser>
          <c:idx val="0"/>
          <c:order val="1"/>
          <c:tx>
            <c:strRef>
              <c:f>'CAS-REPR'!$S$10</c:f>
              <c:strCache>
                <c:ptCount val="1"/>
                <c:pt idx="0">
                  <c:v>RSU REGEPA 2021 </c:v>
                </c:pt>
              </c:strCache>
            </c:strRef>
          </c:tx>
          <c:spPr>
            <a:solidFill>
              <a:srgbClr val="CB9661"/>
            </a:solidFill>
            <a:ln>
              <a:solidFill>
                <a:srgbClr val="663300"/>
              </a:solidFill>
            </a:ln>
            <a:effectLst/>
          </c:spPr>
          <c:invertIfNegative val="0"/>
          <c:dLbls>
            <c:dLbl>
              <c:idx val="0"/>
              <c:tx>
                <c:rich>
                  <a:bodyPr/>
                  <a:lstStyle/>
                  <a:p>
                    <a:fld id="{5B439742-217C-4C64-BFFB-4EC316D8431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539-4B82-A12C-61CA2B8506B5}"/>
                </c:ext>
              </c:extLst>
            </c:dLbl>
            <c:dLbl>
              <c:idx val="1"/>
              <c:tx>
                <c:rich>
                  <a:bodyPr/>
                  <a:lstStyle/>
                  <a:p>
                    <a:fld id="{34E5937E-C321-4FDA-AB38-E83E3153C78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539-4B82-A12C-61CA2B8506B5}"/>
                </c:ext>
              </c:extLst>
            </c:dLbl>
            <c:dLbl>
              <c:idx val="2"/>
              <c:tx>
                <c:rich>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fld id="{F0537278-8F38-4089-94A5-C04744B191A2}" type="CELLRANGE">
                      <a:rPr lang="es-ES"/>
                      <a:pPr>
                        <a:defRPr sz="1100" b="1" i="0" u="none" strike="noStrike" kern="1200" baseline="0">
                          <a:solidFill>
                            <a:srgbClr val="FF0000"/>
                          </a:solidFill>
                          <a:latin typeface="+mn-lt"/>
                          <a:ea typeface="+mn-ea"/>
                          <a:cs typeface="+mn-cs"/>
                        </a:defRPr>
                      </a:pPr>
                      <a:t>[CELLRANGE]</a:t>
                    </a:fld>
                    <a:endParaRPr lang="es-ES"/>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539-4B82-A12C-61CA2B8506B5}"/>
                </c:ext>
              </c:extLst>
            </c:dLbl>
            <c:dLbl>
              <c:idx val="3"/>
              <c:tx>
                <c:rich>
                  <a:bodyPr/>
                  <a:lstStyle/>
                  <a:p>
                    <a:fld id="{C60941A2-C6B7-4CCA-93F7-911E71B1265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539-4B82-A12C-61CA2B8506B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'CAS-REPR'!$Q$11:$Q$14</c:f>
              <c:strCache>
                <c:ptCount val="4"/>
                <c:pt idx="0">
                  <c:v>GALICIA</c:v>
                </c:pt>
                <c:pt idx="1">
                  <c:v>ANDALUCÍA</c:v>
                </c:pt>
                <c:pt idx="2">
                  <c:v>EXTREMADURA</c:v>
                </c:pt>
                <c:pt idx="3">
                  <c:v>C. Y LEÓN</c:v>
                </c:pt>
              </c:strCache>
            </c:strRef>
          </c:cat>
          <c:val>
            <c:numRef>
              <c:f>'CAS-REPR'!$S$11:$S$14</c:f>
              <c:numCache>
                <c:formatCode>#,##0</c:formatCode>
                <c:ptCount val="4"/>
                <c:pt idx="0">
                  <c:v>2943.2000000000007</c:v>
                </c:pt>
                <c:pt idx="1">
                  <c:v>3846.9000000000024</c:v>
                </c:pt>
                <c:pt idx="2">
                  <c:v>3108.48</c:v>
                </c:pt>
                <c:pt idx="3">
                  <c:v>307.94</c:v>
                </c:pt>
              </c:numCache>
            </c:numRef>
          </c:val>
          <c:extLst>
            <c:ext xmlns:c15="http://schemas.microsoft.com/office/drawing/2012/chart" uri="{02D57815-91ED-43cb-92C2-25804820EDAC}">
              <c15:datalabelsRange>
                <c15:f>'CAS-REPR'!$T$11:$T$14</c15:f>
                <c15:dlblRangeCache>
                  <c:ptCount val="4"/>
                  <c:pt idx="0">
                    <c:v>22%</c:v>
                  </c:pt>
                  <c:pt idx="1">
                    <c:v>1%</c:v>
                  </c:pt>
                  <c:pt idx="2">
                    <c:v>-2%</c:v>
                  </c:pt>
                  <c:pt idx="3">
                    <c:v>19%</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6707632"/>
        <c:axId val="96708176"/>
      </c:barChart>
      <c:catAx>
        <c:axId val="967076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08176"/>
        <c:crosses val="autoZero"/>
        <c:auto val="1"/>
        <c:lblAlgn val="ctr"/>
        <c:lblOffset val="100"/>
        <c:noMultiLvlLbl val="0"/>
      </c:catAx>
      <c:valAx>
        <c:axId val="967081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ES"/>
                  <a:t>Superficie</a:t>
                </a:r>
              </a:p>
            </c:rich>
          </c:tx>
          <c:layout>
            <c:manualLayout>
              <c:xMode val="edge"/>
              <c:yMode val="edge"/>
              <c:x val="0.4288747960558984"/>
              <c:y val="0.831759624340508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07632"/>
        <c:crosses val="autoZero"/>
        <c:crossBetween val="between"/>
      </c:valAx>
      <c:spPr>
        <a:noFill/>
        <a:ln>
          <a:noFill/>
        </a:ln>
        <a:effectLst/>
      </c:spPr>
    </c:plotArea>
    <c:legend>
      <c:legendPos val="b"/>
      <c:layout>
        <c:manualLayout>
          <c:xMode val="edge"/>
          <c:yMode val="edge"/>
          <c:x val="0.2437021588517651"/>
          <c:y val="0.91801874636733449"/>
          <c:w val="0.51259549313092623"/>
          <c:h val="8.1981253632665549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Castaño: </a:t>
            </a:r>
            <a:r>
              <a:rPr lang="es-ES"/>
              <a:t>Representatividad 2020 vs 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'CAS-REPR'!$O$10</c:f>
              <c:strCache>
                <c:ptCount val="1"/>
                <c:pt idx="0">
                  <c:v>Representatividad 2020</c:v>
                </c:pt>
              </c:strCache>
            </c:strRef>
          </c:tx>
          <c:spPr>
            <a:solidFill>
              <a:schemeClr val="accent4">
                <a:lumMod val="60000"/>
                <a:lumOff val="40000"/>
              </a:schemeClr>
            </a:solidFill>
            <a:ln>
              <a:noFill/>
            </a:ln>
            <a:effectLst/>
          </c:spPr>
          <c:invertIfNegative val="0"/>
          <c:cat>
            <c:strRef>
              <c:f>'CAS-REPR'!$K$11:$K$14</c:f>
              <c:strCache>
                <c:ptCount val="4"/>
                <c:pt idx="0">
                  <c:v>GALICIA</c:v>
                </c:pt>
                <c:pt idx="1">
                  <c:v>ANDALUCÍA</c:v>
                </c:pt>
                <c:pt idx="2">
                  <c:v>EXTREMADURA</c:v>
                </c:pt>
                <c:pt idx="3">
                  <c:v>C. Y LEÓN</c:v>
                </c:pt>
              </c:strCache>
            </c:strRef>
          </c:cat>
          <c:val>
            <c:numRef>
              <c:f>'CAS-REPR'!$O$11:$O$14</c:f>
              <c:numCache>
                <c:formatCode>0%</c:formatCode>
                <c:ptCount val="4"/>
                <c:pt idx="0">
                  <c:v>9.6458183273309309E-2</c:v>
                </c:pt>
                <c:pt idx="1">
                  <c:v>0.42904285232257344</c:v>
                </c:pt>
                <c:pt idx="2">
                  <c:v>1.0741369955917259</c:v>
                </c:pt>
                <c:pt idx="3">
                  <c:v>0.31523227383863084</c:v>
                </c:pt>
              </c:numCache>
            </c:numRef>
          </c:val>
          <c:extLst>
            <c:ext xmlns:c16="http://schemas.microsoft.com/office/drawing/2014/chart" uri="{C3380CC4-5D6E-409C-BE32-E72D297353CC}">
              <c16:uniqueId val="{00000005-1E97-461F-B68A-CE74A0235A52}"/>
            </c:ext>
          </c:extLst>
        </c:ser>
        <c:ser>
          <c:idx val="1"/>
          <c:order val="1"/>
          <c:tx>
            <c:strRef>
              <c:f>'CAS-REPR'!$N$10</c:f>
              <c:strCache>
                <c:ptCount val="1"/>
                <c:pt idx="0">
                  <c:v>Representatividad 2021</c:v>
                </c:pt>
              </c:strCache>
            </c:strRef>
          </c:tx>
          <c:spPr>
            <a:solidFill>
              <a:schemeClr val="accent4">
                <a:lumMod val="75000"/>
              </a:schemeClr>
            </a:solidFill>
            <a:ln>
              <a:noFill/>
            </a:ln>
            <a:effectLst/>
          </c:spPr>
          <c:invertIfNegative val="0"/>
          <c:cat>
            <c:strRef>
              <c:f>'CAS-REPR'!$K$11:$K$14</c:f>
              <c:strCache>
                <c:ptCount val="4"/>
                <c:pt idx="0">
                  <c:v>GALICIA</c:v>
                </c:pt>
                <c:pt idx="1">
                  <c:v>ANDALUCÍA</c:v>
                </c:pt>
                <c:pt idx="2">
                  <c:v>EXTREMADURA</c:v>
                </c:pt>
                <c:pt idx="3">
                  <c:v>C. Y LEÓN</c:v>
                </c:pt>
              </c:strCache>
            </c:strRef>
          </c:cat>
          <c:val>
            <c:numRef>
              <c:f>'CAS-REPR'!$N$11:$N$14</c:f>
              <c:numCache>
                <c:formatCode>0%</c:formatCode>
                <c:ptCount val="4"/>
                <c:pt idx="0">
                  <c:v>0.11740396505644424</c:v>
                </c:pt>
                <c:pt idx="1">
                  <c:v>0.42301517484055445</c:v>
                </c:pt>
                <c:pt idx="2">
                  <c:v>1.0050048496605237</c:v>
                </c:pt>
                <c:pt idx="3">
                  <c:v>0.37012019230769233</c:v>
                </c:pt>
              </c:numCache>
            </c:numRef>
          </c:val>
          <c:extLst>
            <c:ext xmlns:c16="http://schemas.microsoft.com/office/drawing/2014/chart" uri="{C3380CC4-5D6E-409C-BE32-E72D297353CC}">
              <c16:uniqueId val="{00000000-1E97-461F-B68A-CE74A0235A52}"/>
            </c:ext>
          </c:extLst>
        </c:ser>
        <c:dLbls>
          <c:showLegendKey val="0"/>
          <c:showVal val="0"/>
          <c:showCatName val="0"/>
          <c:showSerName val="0"/>
          <c:showPercent val="0"/>
          <c:showBubbleSize val="0"/>
        </c:dLbls>
        <c:gapWidth val="150"/>
        <c:axId val="97585888"/>
        <c:axId val="96712528"/>
      </c:barChart>
      <c:catAx>
        <c:axId val="975858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2528"/>
        <c:crosses val="autoZero"/>
        <c:auto val="1"/>
        <c:lblAlgn val="ctr"/>
        <c:lblOffset val="100"/>
        <c:noMultiLvlLbl val="0"/>
      </c:catAx>
      <c:valAx>
        <c:axId val="9671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7585888"/>
        <c:crosses val="autoZero"/>
        <c:crossBetween val="between"/>
      </c:valAx>
      <c:spPr>
        <a:noFill/>
        <a:ln>
          <a:noFill/>
        </a:ln>
        <a:effectLst/>
      </c:spPr>
    </c:plotArea>
    <c:legend>
      <c:legendPos val="b"/>
      <c:layout>
        <c:manualLayout>
          <c:xMode val="edge"/>
          <c:yMode val="edge"/>
          <c:x val="0.31825875231404904"/>
          <c:y val="0.89633627446589337"/>
          <c:w val="0.64325933105967203"/>
          <c:h val="8.178610926405076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Almendro</a:t>
            </a:r>
            <a:r>
              <a:rPr lang="es-ES" b="1" baseline="0"/>
              <a:t> Secano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'ALM-ECO'!$H$10</c:f>
              <c:strCache>
                <c:ptCount val="1"/>
                <c:pt idx="0">
                  <c:v>RSU REGEPA  2021</c:v>
                </c:pt>
              </c:strCache>
            </c:strRef>
          </c:tx>
          <c:spPr>
            <a:solidFill>
              <a:schemeClr val="accent6">
                <a:tint val="77000"/>
              </a:schemeClr>
            </a:solidFill>
            <a:ln>
              <a:solidFill>
                <a:schemeClr val="accent6">
                  <a:lumMod val="75000"/>
                </a:schemeClr>
              </a:solidFill>
            </a:ln>
            <a:effectLst/>
          </c:spPr>
          <c:invertIfNegative val="0"/>
          <c:cat>
            <c:strRef>
              <c:f>'ALM-ECO'!$F$11:$F$15</c:f>
              <c:strCache>
                <c:ptCount val="5"/>
                <c:pt idx="0">
                  <c:v>ANDALUCÍA</c:v>
                </c:pt>
                <c:pt idx="1">
                  <c:v>MURCIA</c:v>
                </c:pt>
                <c:pt idx="2">
                  <c:v>C.-LA MANCHA</c:v>
                </c:pt>
                <c:pt idx="3">
                  <c:v>C. VALENCIANA</c:v>
                </c:pt>
                <c:pt idx="4">
                  <c:v>ARAGÓN</c:v>
                </c:pt>
              </c:strCache>
            </c:strRef>
          </c:cat>
          <c:val>
            <c:numRef>
              <c:f>'ALM-ECO'!$H$11:$H$15</c:f>
              <c:numCache>
                <c:formatCode>#,##0</c:formatCode>
                <c:ptCount val="5"/>
                <c:pt idx="0">
                  <c:v>148042.47140000013</c:v>
                </c:pt>
                <c:pt idx="1">
                  <c:v>74140.410000000062</c:v>
                </c:pt>
                <c:pt idx="2">
                  <c:v>128880.31080000008</c:v>
                </c:pt>
                <c:pt idx="3">
                  <c:v>54378.517699999968</c:v>
                </c:pt>
                <c:pt idx="4">
                  <c:v>58530.640000000029</c:v>
                </c:pt>
              </c:numCache>
            </c:numRef>
          </c:val>
          <c:extLst>
            <c:ext xmlns:c16="http://schemas.microsoft.com/office/drawing/2014/chart" uri="{C3380CC4-5D6E-409C-BE32-E72D297353CC}">
              <c16:uniqueId val="{00000001-DFE6-460C-A92B-00A5E0C8FC10}"/>
            </c:ext>
          </c:extLst>
        </c:ser>
        <c:ser>
          <c:idx val="0"/>
          <c:order val="1"/>
          <c:tx>
            <c:strRef>
              <c:f>'ALM-ECO'!$G$10</c:f>
              <c:strCache>
                <c:ptCount val="1"/>
                <c:pt idx="0">
                  <c:v>RSU REGEPA ECOLÓGICA 2021</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33D4D67F-13B9-4E88-9A54-7CF6C2BDF58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6DF-461B-9218-2558952E9ADD}"/>
                </c:ext>
              </c:extLst>
            </c:dLbl>
            <c:dLbl>
              <c:idx val="1"/>
              <c:tx>
                <c:rich>
                  <a:bodyPr/>
                  <a:lstStyle/>
                  <a:p>
                    <a:fld id="{61BC8E62-8EFC-4423-94EB-38CE5E00F27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DF-461B-9218-2558952E9ADD}"/>
                </c:ext>
              </c:extLst>
            </c:dLbl>
            <c:dLbl>
              <c:idx val="2"/>
              <c:tx>
                <c:rich>
                  <a:bodyPr/>
                  <a:lstStyle/>
                  <a:p>
                    <a:fld id="{7CD2A021-CA9A-4C8D-A729-5D15152343D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DF-461B-9218-2558952E9ADD}"/>
                </c:ext>
              </c:extLst>
            </c:dLbl>
            <c:dLbl>
              <c:idx val="3"/>
              <c:tx>
                <c:rich>
                  <a:bodyPr/>
                  <a:lstStyle/>
                  <a:p>
                    <a:fld id="{98F4D677-D200-433D-8B3B-D31F4FD43EC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DF-461B-9218-2558952E9ADD}"/>
                </c:ext>
              </c:extLst>
            </c:dLbl>
            <c:dLbl>
              <c:idx val="4"/>
              <c:tx>
                <c:rich>
                  <a:bodyPr/>
                  <a:lstStyle/>
                  <a:p>
                    <a:fld id="{56476569-48D9-4EB7-9D09-72EB65DF3E0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DF-461B-9218-2558952E9AD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'ALM-ECO'!$F$11:$F$15</c:f>
              <c:strCache>
                <c:ptCount val="5"/>
                <c:pt idx="0">
                  <c:v>ANDALUCÍA</c:v>
                </c:pt>
                <c:pt idx="1">
                  <c:v>MURCIA</c:v>
                </c:pt>
                <c:pt idx="2">
                  <c:v>C.-LA MANCHA</c:v>
                </c:pt>
                <c:pt idx="3">
                  <c:v>C. VALENCIANA</c:v>
                </c:pt>
                <c:pt idx="4">
                  <c:v>ARAGÓN</c:v>
                </c:pt>
              </c:strCache>
            </c:strRef>
          </c:cat>
          <c:val>
            <c:numRef>
              <c:f>'ALM-ECO'!$G$11:$G$15</c:f>
              <c:numCache>
                <c:formatCode>#,##0</c:formatCode>
                <c:ptCount val="5"/>
                <c:pt idx="0">
                  <c:v>37133.750000000015</c:v>
                </c:pt>
                <c:pt idx="1">
                  <c:v>28544.010000000013</c:v>
                </c:pt>
                <c:pt idx="2">
                  <c:v>25518.689999999995</c:v>
                </c:pt>
                <c:pt idx="3">
                  <c:v>8689.4400000000023</c:v>
                </c:pt>
                <c:pt idx="4">
                  <c:v>6175.17</c:v>
                </c:pt>
              </c:numCache>
            </c:numRef>
          </c:val>
          <c:extLst>
            <c:ext xmlns:c15="http://schemas.microsoft.com/office/drawing/2012/chart" uri="{02D57815-91ED-43cb-92C2-25804820EDAC}">
              <c15:datalabelsRange>
                <c15:f>'ALM-ECO'!$I$11:$I$15</c15:f>
                <c15:dlblRangeCache>
                  <c:ptCount val="5"/>
                  <c:pt idx="0">
                    <c:v>25%</c:v>
                  </c:pt>
                  <c:pt idx="1">
                    <c:v>38%</c:v>
                  </c:pt>
                  <c:pt idx="2">
                    <c:v>20%</c:v>
                  </c:pt>
                  <c:pt idx="3">
                    <c:v>16%</c:v>
                  </c:pt>
                  <c:pt idx="4">
                    <c:v>11%</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6719056"/>
        <c:axId val="96717424"/>
      </c:barChart>
      <c:catAx>
        <c:axId val="9671905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7424"/>
        <c:crosses val="autoZero"/>
        <c:auto val="1"/>
        <c:lblAlgn val="ctr"/>
        <c:lblOffset val="100"/>
        <c:noMultiLvlLbl val="0"/>
      </c:catAx>
      <c:valAx>
        <c:axId val="96717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9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a:t>Almendro Secano Ecológico: </a:t>
            </a:r>
            <a:r>
              <a:rPr lang="es-ES" sz="1400" b="0"/>
              <a:t>Distribución autonómica de la superficie plantada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35E8-4B09-8D4B-B55EC27A4690}"/>
              </c:ext>
            </c:extLst>
          </c:dPt>
          <c:dPt>
            <c:idx val="3"/>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35E8-4B09-8D4B-B55EC27A4690}"/>
              </c:ext>
            </c:extLst>
          </c:dPt>
          <c:dPt>
            <c:idx val="4"/>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35E8-4B09-8D4B-B55EC27A4690}"/>
              </c:ext>
            </c:extLst>
          </c:dPt>
          <c:dLbls>
            <c:dLbl>
              <c:idx val="3"/>
              <c:layout>
                <c:manualLayout>
                  <c:x val="-8.1706036745406829E-2"/>
                  <c:y val="4.52285651793525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5E8-4B09-8D4B-B55EC27A46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'ALM-ECO'!$F$11:$F$15</c:f>
              <c:strCache>
                <c:ptCount val="5"/>
                <c:pt idx="0">
                  <c:v>ANDALUCÍA</c:v>
                </c:pt>
                <c:pt idx="1">
                  <c:v>MURCIA</c:v>
                </c:pt>
                <c:pt idx="2">
                  <c:v>C.-LA MANCHA</c:v>
                </c:pt>
                <c:pt idx="3">
                  <c:v>C. VALENCIANA</c:v>
                </c:pt>
                <c:pt idx="4">
                  <c:v>ARAGÓN</c:v>
                </c:pt>
              </c:strCache>
            </c:strRef>
          </c:cat>
          <c:val>
            <c:numRef>
              <c:f>('ALM-EDAD'!$AA$319,'ALM-EDAD'!$AA$366,'ALM-EDAD'!$AA$341,'ALM-EDAD'!$AA$332,'ALM-EDAD'!$AA$328)</c:f>
              <c:numCache>
                <c:formatCode>0%</c:formatCode>
                <c:ptCount val="5"/>
                <c:pt idx="0">
                  <c:v>0.33833435227594733</c:v>
                </c:pt>
                <c:pt idx="1">
                  <c:v>0.26007190606655051</c:v>
                </c:pt>
                <c:pt idx="2">
                  <c:v>0.23250742795498675</c:v>
                </c:pt>
                <c:pt idx="3">
                  <c:v>7.917174999066097E-2</c:v>
                </c:pt>
                <c:pt idx="4">
                  <c:v>5.6263581472434362E-2</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Almendro</a:t>
            </a:r>
            <a:r>
              <a:rPr lang="es-ES" b="1" baseline="0"/>
              <a:t> Regadío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'ALM-ECO'!$H$74</c:f>
              <c:strCache>
                <c:ptCount val="1"/>
                <c:pt idx="0">
                  <c:v>RSU REGEPA  2021</c:v>
                </c:pt>
              </c:strCache>
            </c:strRef>
          </c:tx>
          <c:spPr>
            <a:solidFill>
              <a:schemeClr val="accent1">
                <a:lumMod val="75000"/>
              </a:schemeClr>
            </a:solidFill>
            <a:ln>
              <a:solidFill>
                <a:schemeClr val="accent6">
                  <a:lumMod val="75000"/>
                </a:schemeClr>
              </a:solidFill>
            </a:ln>
            <a:effectLst/>
          </c:spPr>
          <c:invertIfNegative val="0"/>
          <c:cat>
            <c:strRef>
              <c:f>'ALM-ECO'!$F$75:$F$79</c:f>
              <c:strCache>
                <c:ptCount val="5"/>
                <c:pt idx="0">
                  <c:v>C.-LA MANCHA</c:v>
                </c:pt>
                <c:pt idx="1">
                  <c:v>ANDALUCÍA</c:v>
                </c:pt>
                <c:pt idx="2">
                  <c:v>C. VALENCIANA</c:v>
                </c:pt>
                <c:pt idx="3">
                  <c:v>MURCIA</c:v>
                </c:pt>
                <c:pt idx="4">
                  <c:v>ARAGÓN</c:v>
                </c:pt>
              </c:strCache>
            </c:strRef>
          </c:cat>
          <c:val>
            <c:numRef>
              <c:f>'ALM-ECO'!$H$75:$H$79</c:f>
              <c:numCache>
                <c:formatCode>#,##0</c:formatCode>
                <c:ptCount val="5"/>
                <c:pt idx="0">
                  <c:v>21648.27</c:v>
                </c:pt>
                <c:pt idx="1">
                  <c:v>31217.0419</c:v>
                </c:pt>
                <c:pt idx="2">
                  <c:v>9095.32</c:v>
                </c:pt>
                <c:pt idx="3">
                  <c:v>6974.1200000000008</c:v>
                </c:pt>
                <c:pt idx="4">
                  <c:v>21715.670000000002</c:v>
                </c:pt>
              </c:numCache>
            </c:numRef>
          </c:val>
          <c:extLst>
            <c:ext xmlns:c16="http://schemas.microsoft.com/office/drawing/2014/chart" uri="{C3380CC4-5D6E-409C-BE32-E72D297353CC}">
              <c16:uniqueId val="{00000001-DFE6-460C-A92B-00A5E0C8FC10}"/>
            </c:ext>
          </c:extLst>
        </c:ser>
        <c:ser>
          <c:idx val="0"/>
          <c:order val="1"/>
          <c:tx>
            <c:strRef>
              <c:f>'ALM-ECO'!$G$74</c:f>
              <c:strCache>
                <c:ptCount val="1"/>
                <c:pt idx="0">
                  <c:v>RSU REGEPA ECOLÓGICA 2021</c:v>
                </c:pt>
              </c:strCache>
            </c:strRef>
          </c:tx>
          <c:spPr>
            <a:solidFill>
              <a:srgbClr val="00FFCC"/>
            </a:solidFill>
            <a:ln>
              <a:solidFill>
                <a:schemeClr val="accent6">
                  <a:lumMod val="50000"/>
                </a:schemeClr>
              </a:solidFill>
            </a:ln>
            <a:effectLst/>
          </c:spPr>
          <c:invertIfNegative val="0"/>
          <c:dLbls>
            <c:dLbl>
              <c:idx val="0"/>
              <c:tx>
                <c:rich>
                  <a:bodyPr/>
                  <a:lstStyle/>
                  <a:p>
                    <a:fld id="{D4212F2C-E378-4799-892C-5A5B5A2F9388}"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894-4DC4-AD16-EA248F9D44F3}"/>
                </c:ext>
              </c:extLst>
            </c:dLbl>
            <c:dLbl>
              <c:idx val="1"/>
              <c:tx>
                <c:rich>
                  <a:bodyPr/>
                  <a:lstStyle/>
                  <a:p>
                    <a:fld id="{4E1008F7-C81B-4BE0-B196-6D69C4ED3AF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94-4DC4-AD16-EA248F9D44F3}"/>
                </c:ext>
              </c:extLst>
            </c:dLbl>
            <c:dLbl>
              <c:idx val="2"/>
              <c:tx>
                <c:rich>
                  <a:bodyPr/>
                  <a:lstStyle/>
                  <a:p>
                    <a:fld id="{3EAD71D2-6575-4826-87B9-D763E57D3D9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894-4DC4-AD16-EA248F9D44F3}"/>
                </c:ext>
              </c:extLst>
            </c:dLbl>
            <c:dLbl>
              <c:idx val="3"/>
              <c:tx>
                <c:rich>
                  <a:bodyPr/>
                  <a:lstStyle/>
                  <a:p>
                    <a:fld id="{E063AF1A-34ED-4FD2-891E-281B763E4CC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94-4DC4-AD16-EA248F9D44F3}"/>
                </c:ext>
              </c:extLst>
            </c:dLbl>
            <c:dLbl>
              <c:idx val="4"/>
              <c:tx>
                <c:rich>
                  <a:bodyPr/>
                  <a:lstStyle/>
                  <a:p>
                    <a:fld id="{97A026BF-9765-4924-BFDD-283981E6CB0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894-4DC4-AD16-EA248F9D44F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'ALM-ECO'!$F$75:$F$79</c:f>
              <c:strCache>
                <c:ptCount val="5"/>
                <c:pt idx="0">
                  <c:v>C.-LA MANCHA</c:v>
                </c:pt>
                <c:pt idx="1">
                  <c:v>ANDALUCÍA</c:v>
                </c:pt>
                <c:pt idx="2">
                  <c:v>C. VALENCIANA</c:v>
                </c:pt>
                <c:pt idx="3">
                  <c:v>MURCIA</c:v>
                </c:pt>
                <c:pt idx="4">
                  <c:v>ARAGÓN</c:v>
                </c:pt>
              </c:strCache>
            </c:strRef>
          </c:cat>
          <c:val>
            <c:numRef>
              <c:f>'ALM-ECO'!$G$75:$G$79</c:f>
              <c:numCache>
                <c:formatCode>#,##0</c:formatCode>
                <c:ptCount val="5"/>
                <c:pt idx="0">
                  <c:v>4137.4100000000017</c:v>
                </c:pt>
                <c:pt idx="1">
                  <c:v>3361.14</c:v>
                </c:pt>
                <c:pt idx="2">
                  <c:v>3207.9799999999996</c:v>
                </c:pt>
                <c:pt idx="3">
                  <c:v>1570.8700000000001</c:v>
                </c:pt>
                <c:pt idx="4">
                  <c:v>848.82</c:v>
                </c:pt>
              </c:numCache>
            </c:numRef>
          </c:val>
          <c:extLst>
            <c:ext xmlns:c15="http://schemas.microsoft.com/office/drawing/2012/chart" uri="{02D57815-91ED-43cb-92C2-25804820EDAC}">
              <c15:datalabelsRange>
                <c15:f>'ALM-ECO'!$I$75:$I$79</c15:f>
                <c15:dlblRangeCache>
                  <c:ptCount val="5"/>
                  <c:pt idx="0">
                    <c:v>19%</c:v>
                  </c:pt>
                  <c:pt idx="1">
                    <c:v>11%</c:v>
                  </c:pt>
                  <c:pt idx="2">
                    <c:v>35%</c:v>
                  </c:pt>
                  <c:pt idx="3">
                    <c:v>23%</c:v>
                  </c:pt>
                  <c:pt idx="4">
                    <c:v>4%</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6708720"/>
        <c:axId val="96716880"/>
      </c:barChart>
      <c:catAx>
        <c:axId val="9670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6880"/>
        <c:crosses val="autoZero"/>
        <c:auto val="1"/>
        <c:lblAlgn val="ctr"/>
        <c:lblOffset val="100"/>
        <c:noMultiLvlLbl val="0"/>
      </c:catAx>
      <c:valAx>
        <c:axId val="96716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08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a:t>Almendro Regadío Ecológico: </a:t>
            </a:r>
            <a:r>
              <a:rPr lang="es-ES" sz="1400" b="0"/>
              <a:t>Distribución autonómica de la superficie plantada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dPt>
            <c:idx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C8D6-45AE-B37E-AF1DBD9CD2D0}"/>
              </c:ext>
            </c:extLst>
          </c:dPt>
          <c:dPt>
            <c:idx val="3"/>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C8D6-45AE-B37E-AF1DBD9CD2D0}"/>
              </c:ext>
            </c:extLst>
          </c:dPt>
          <c:dPt>
            <c:idx val="4"/>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C8D6-45AE-B37E-AF1DBD9CD2D0}"/>
              </c:ext>
            </c:extLst>
          </c:dPt>
          <c:dLbls>
            <c:dLbl>
              <c:idx val="2"/>
              <c:layout>
                <c:manualLayout>
                  <c:x val="-1.8855112807868713E-2"/>
                  <c:y val="-1.238981687982643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010101010101007"/>
                      <c:h val="0.17341040462427745"/>
                    </c:manualLayout>
                  </c15:layout>
                </c:ext>
                <c:ext xmlns:c16="http://schemas.microsoft.com/office/drawing/2014/chart" uri="{C3380CC4-5D6E-409C-BE32-E72D297353CC}">
                  <c16:uniqueId val="{00000005-C8D6-45AE-B37E-AF1DBD9CD2D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'ALM-ECO'!$F$75:$F$79</c:f>
              <c:strCache>
                <c:ptCount val="5"/>
                <c:pt idx="0">
                  <c:v>C.-LA MANCHA</c:v>
                </c:pt>
                <c:pt idx="1">
                  <c:v>ANDALUCÍA</c:v>
                </c:pt>
                <c:pt idx="2">
                  <c:v>C. VALENCIANA</c:v>
                </c:pt>
                <c:pt idx="3">
                  <c:v>MURCIA</c:v>
                </c:pt>
                <c:pt idx="4">
                  <c:v>ARAGÓN</c:v>
                </c:pt>
              </c:strCache>
            </c:strRef>
          </c:cat>
          <c:val>
            <c:numRef>
              <c:f>('ALM-EDAD'!$AA$417,'ALM-EDAD'!$AA$395,'ALM-EDAD'!$AA$408,'ALM-EDAD'!$AA$441,'ALM-EDAD'!$AA$404)</c:f>
              <c:numCache>
                <c:formatCode>0%</c:formatCode>
                <c:ptCount val="5"/>
                <c:pt idx="0">
                  <c:v>0.29138783208371305</c:v>
                </c:pt>
                <c:pt idx="1">
                  <c:v>0.23671700361575268</c:v>
                </c:pt>
                <c:pt idx="2">
                  <c:v>0.22593031330419516</c:v>
                </c:pt>
                <c:pt idx="3">
                  <c:v>0.11063259473567819</c:v>
                </c:pt>
                <c:pt idx="4">
                  <c:v>5.9780350419537186E-2</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1"/>
        </c:dLbls>
        <c:firstSliceAng val="207"/>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66666666666666E-2"/>
          <c:y val="2.516601962621751E-2"/>
          <c:w val="0.98333333333333328"/>
          <c:h val="0.9239080431793012"/>
        </c:manualLayout>
      </c:layout>
      <c:barChart>
        <c:barDir val="bar"/>
        <c:grouping val="stacked"/>
        <c:varyColors val="0"/>
        <c:ser>
          <c:idx val="0"/>
          <c:order val="0"/>
          <c:tx>
            <c:v>Ecológico</c:v>
          </c:tx>
          <c:spPr>
            <a:solidFill>
              <a:schemeClr val="accent6"/>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'ALM-ECO'!$E$6:$F$6</c15:sqref>
                  </c15:fullRef>
                </c:ext>
              </c:extLst>
              <c:f>'ALM-ECO'!$E$6</c:f>
              <c:numCache>
                <c:formatCode>General</c:formatCode>
                <c:ptCount val="1"/>
                <c:pt idx="0" formatCode="0%">
                  <c:v>0.19795769009326908</c:v>
                </c:pt>
              </c:numCache>
            </c:numRef>
          </c:val>
          <c:extLst>
            <c:ext xmlns:c16="http://schemas.microsoft.com/office/drawing/2014/chart" uri="{C3380CC4-5D6E-409C-BE32-E72D297353CC}">
              <c16:uniqueId val="{00000000-05BE-45FA-A096-2F072724A33A}"/>
            </c:ext>
          </c:extLst>
        </c:ser>
        <c:ser>
          <c:idx val="1"/>
          <c:order val="1"/>
          <c:tx>
            <c:v>Convencional</c:v>
          </c:tx>
          <c:spPr>
            <a:solidFill>
              <a:srgbClr val="CB9661"/>
            </a:solidFill>
            <a:ln>
              <a:noFill/>
            </a:ln>
            <a:effectLst>
              <a:outerShdw blurRad="50800" dist="38100" dir="2700000" algn="tl" rotWithShape="0">
                <a:prstClr val="black">
                  <a:alpha val="40000"/>
                </a:prstClr>
              </a:outerShdw>
            </a:effectLst>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15:layout>
                    <c:manualLayout>
                      <c:w val="0.27809733158355204"/>
                      <c:h val="0.31731066460587326"/>
                    </c:manualLayout>
                  </c15:layout>
                </c:ext>
                <c:ext xmlns:c16="http://schemas.microsoft.com/office/drawing/2014/chart" uri="{C3380CC4-5D6E-409C-BE32-E72D297353CC}">
                  <c16:uniqueId val="{00000004-05BE-45FA-A096-2F072724A33A}"/>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'ALM-ECO'!$E$7:$F$7</c15:sqref>
                  </c15:fullRef>
                </c:ext>
              </c:extLst>
              <c:f>'ALM-ECO'!$E$7</c:f>
              <c:numCache>
                <c:formatCode>General</c:formatCode>
                <c:ptCount val="1"/>
                <c:pt idx="0" formatCode="0%">
                  <c:v>0.8</c:v>
                </c:pt>
              </c:numCache>
            </c:numRef>
          </c:val>
          <c:extLst>
            <c:ext xmlns:c16="http://schemas.microsoft.com/office/drawing/2014/chart" uri="{C3380CC4-5D6E-409C-BE32-E72D297353CC}">
              <c16:uniqueId val="{00000001-05BE-45FA-A096-2F072724A33A}"/>
            </c:ext>
          </c:extLst>
        </c:ser>
        <c:dLbls>
          <c:showLegendKey val="0"/>
          <c:showVal val="0"/>
          <c:showCatName val="0"/>
          <c:showSerName val="0"/>
          <c:showPercent val="0"/>
          <c:showBubbleSize val="0"/>
        </c:dLbls>
        <c:gapWidth val="150"/>
        <c:overlap val="100"/>
        <c:axId val="1539582383"/>
        <c:axId val="1539589455"/>
      </c:barChart>
      <c:catAx>
        <c:axId val="1539582383"/>
        <c:scaling>
          <c:orientation val="minMax"/>
        </c:scaling>
        <c:delete val="1"/>
        <c:axPos val="l"/>
        <c:numFmt formatCode="0%" sourceLinked="1"/>
        <c:majorTickMark val="none"/>
        <c:minorTickMark val="none"/>
        <c:tickLblPos val="nextTo"/>
        <c:crossAx val="1539589455"/>
        <c:crosses val="autoZero"/>
        <c:auto val="1"/>
        <c:lblAlgn val="ctr"/>
        <c:lblOffset val="100"/>
        <c:noMultiLvlLbl val="0"/>
      </c:catAx>
      <c:valAx>
        <c:axId val="1539589455"/>
        <c:scaling>
          <c:orientation val="minMax"/>
        </c:scaling>
        <c:delete val="1"/>
        <c:axPos val="b"/>
        <c:numFmt formatCode="0%" sourceLinked="1"/>
        <c:majorTickMark val="none"/>
        <c:minorTickMark val="none"/>
        <c:tickLblPos val="nextTo"/>
        <c:crossAx val="153958238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Pistacho </a:t>
            </a:r>
            <a:r>
              <a:rPr lang="es-ES" b="1" baseline="0"/>
              <a:t>Secano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'PIS-ECO'!$H$10</c:f>
              <c:strCache>
                <c:ptCount val="1"/>
                <c:pt idx="0">
                  <c:v>RSU REGEPA  2021</c:v>
                </c:pt>
              </c:strCache>
            </c:strRef>
          </c:tx>
          <c:spPr>
            <a:solidFill>
              <a:schemeClr val="accent6">
                <a:tint val="77000"/>
              </a:schemeClr>
            </a:solidFill>
            <a:ln>
              <a:solidFill>
                <a:schemeClr val="accent6">
                  <a:lumMod val="75000"/>
                </a:schemeClr>
              </a:solidFill>
            </a:ln>
            <a:effectLst/>
          </c:spPr>
          <c:invertIfNegative val="0"/>
          <c:dLbls>
            <c:delete val="1"/>
          </c:dLbls>
          <c:cat>
            <c:strRef>
              <c:f>'PIS-ECO'!$F$11:$F$15</c:f>
              <c:strCache>
                <c:ptCount val="5"/>
                <c:pt idx="0">
                  <c:v>C.-LA MANCHA</c:v>
                </c:pt>
                <c:pt idx="1">
                  <c:v>ANDALUCÍA</c:v>
                </c:pt>
                <c:pt idx="2">
                  <c:v>C. y LEÓN</c:v>
                </c:pt>
                <c:pt idx="3">
                  <c:v>MURCIA</c:v>
                </c:pt>
                <c:pt idx="4">
                  <c:v>EXTREMADURA</c:v>
                </c:pt>
              </c:strCache>
            </c:strRef>
          </c:cat>
          <c:val>
            <c:numRef>
              <c:f>'PIS-ECO'!$H$11:$H$15</c:f>
              <c:numCache>
                <c:formatCode>#,##0</c:formatCode>
                <c:ptCount val="5"/>
                <c:pt idx="0">
                  <c:v>34604.449999999997</c:v>
                </c:pt>
                <c:pt idx="1">
                  <c:v>4141.8799999999974</c:v>
                </c:pt>
                <c:pt idx="2">
                  <c:v>1955.57</c:v>
                </c:pt>
                <c:pt idx="3">
                  <c:v>547.88000000000011</c:v>
                </c:pt>
                <c:pt idx="4">
                  <c:v>1435.12</c:v>
                </c:pt>
              </c:numCache>
            </c:numRef>
          </c:val>
          <c:extLst>
            <c:ext xmlns:c16="http://schemas.microsoft.com/office/drawing/2014/chart" uri="{C3380CC4-5D6E-409C-BE32-E72D297353CC}">
              <c16:uniqueId val="{00000001-DFE6-460C-A92B-00A5E0C8FC10}"/>
            </c:ext>
          </c:extLst>
        </c:ser>
        <c:ser>
          <c:idx val="0"/>
          <c:order val="1"/>
          <c:tx>
            <c:strRef>
              <c:f>'PIS-ECO'!$G$10</c:f>
              <c:strCache>
                <c:ptCount val="1"/>
                <c:pt idx="0">
                  <c:v>RSU REGEPA ECOLÓGICA 2021</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C7CD5E5E-0F9E-4B8E-BC5D-BB4619CE56E1}"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C53-40C7-9E35-76F6CE87141A}"/>
                </c:ext>
              </c:extLst>
            </c:dLbl>
            <c:dLbl>
              <c:idx val="1"/>
              <c:layout>
                <c:manualLayout>
                  <c:x val="6.8027210884353739E-3"/>
                  <c:y val="-4.0899795501021744E-3"/>
                </c:manualLayout>
              </c:layout>
              <c:tx>
                <c:rich>
                  <a:bodyPr/>
                  <a:lstStyle/>
                  <a:p>
                    <a:fld id="{DD7B79E4-B669-4EAB-9839-3412C96CB676}"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C53-40C7-9E35-76F6CE87141A}"/>
                </c:ext>
              </c:extLst>
            </c:dLbl>
            <c:dLbl>
              <c:idx val="2"/>
              <c:layout>
                <c:manualLayout>
                  <c:x val="6.8027210884353739E-3"/>
                  <c:y val="0"/>
                </c:manualLayout>
              </c:layout>
              <c:tx>
                <c:rich>
                  <a:bodyPr/>
                  <a:lstStyle/>
                  <a:p>
                    <a:fld id="{2031EA9C-D40E-45F9-8BDA-3437F33D4616}"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C53-40C7-9E35-76F6CE87141A}"/>
                </c:ext>
              </c:extLst>
            </c:dLbl>
            <c:dLbl>
              <c:idx val="3"/>
              <c:tx>
                <c:rich>
                  <a:bodyPr/>
                  <a:lstStyle/>
                  <a:p>
                    <a:fld id="{792B07FA-6682-4CA1-8D20-C72CCA5050B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C53-40C7-9E35-76F6CE87141A}"/>
                </c:ext>
              </c:extLst>
            </c:dLbl>
            <c:dLbl>
              <c:idx val="4"/>
              <c:tx>
                <c:rich>
                  <a:bodyPr/>
                  <a:lstStyle/>
                  <a:p>
                    <a:fld id="{7E876194-B174-45C2-BB6C-31CF7C6844D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C53-40C7-9E35-76F6CE87141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'PIS-ECO'!$F$11:$F$15</c:f>
              <c:strCache>
                <c:ptCount val="5"/>
                <c:pt idx="0">
                  <c:v>C.-LA MANCHA</c:v>
                </c:pt>
                <c:pt idx="1">
                  <c:v>ANDALUCÍA</c:v>
                </c:pt>
                <c:pt idx="2">
                  <c:v>C. y LEÓN</c:v>
                </c:pt>
                <c:pt idx="3">
                  <c:v>MURCIA</c:v>
                </c:pt>
                <c:pt idx="4">
                  <c:v>EXTREMADURA</c:v>
                </c:pt>
              </c:strCache>
            </c:strRef>
          </c:cat>
          <c:val>
            <c:numRef>
              <c:f>'PIS-ECO'!$G$11:$G$15</c:f>
              <c:numCache>
                <c:formatCode>#,##0</c:formatCode>
                <c:ptCount val="5"/>
                <c:pt idx="0">
                  <c:v>8200.0600000000013</c:v>
                </c:pt>
                <c:pt idx="1">
                  <c:v>1091.9699999999998</c:v>
                </c:pt>
                <c:pt idx="2">
                  <c:v>434.19999999999993</c:v>
                </c:pt>
                <c:pt idx="3">
                  <c:v>302.48</c:v>
                </c:pt>
                <c:pt idx="4">
                  <c:v>208.3</c:v>
                </c:pt>
              </c:numCache>
            </c:numRef>
          </c:val>
          <c:extLst>
            <c:ext xmlns:c15="http://schemas.microsoft.com/office/drawing/2012/chart" uri="{02D57815-91ED-43cb-92C2-25804820EDAC}">
              <c15:datalabelsRange>
                <c15:f>'PIS-ECO'!$I$11:$I$15</c15:f>
                <c15:dlblRangeCache>
                  <c:ptCount val="5"/>
                  <c:pt idx="0">
                    <c:v>24%</c:v>
                  </c:pt>
                  <c:pt idx="1">
                    <c:v>26%</c:v>
                  </c:pt>
                  <c:pt idx="2">
                    <c:v>22%</c:v>
                  </c:pt>
                  <c:pt idx="3">
                    <c:v>55%</c:v>
                  </c:pt>
                  <c:pt idx="4">
                    <c:v>15%</c:v>
                  </c:pt>
                </c15:dlblRangeCache>
              </c15:datalabelsRange>
            </c:ext>
            <c:ext xmlns:c16="http://schemas.microsoft.com/office/drawing/2014/chart" uri="{C3380CC4-5D6E-409C-BE32-E72D297353CC}">
              <c16:uniqueId val="{00000000-DFE6-460C-A92B-00A5E0C8FC10}"/>
            </c:ext>
          </c:extLst>
        </c:ser>
        <c:dLbls>
          <c:dLblPos val="outEnd"/>
          <c:showLegendKey val="0"/>
          <c:showVal val="1"/>
          <c:showCatName val="0"/>
          <c:showSerName val="0"/>
          <c:showPercent val="0"/>
          <c:showBubbleSize val="0"/>
        </c:dLbls>
        <c:gapWidth val="150"/>
        <c:axId val="96713072"/>
        <c:axId val="96722320"/>
      </c:barChart>
      <c:catAx>
        <c:axId val="96713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22320"/>
        <c:crosses val="autoZero"/>
        <c:auto val="1"/>
        <c:lblAlgn val="ctr"/>
        <c:lblOffset val="100"/>
        <c:noMultiLvlLbl val="0"/>
      </c:catAx>
      <c:valAx>
        <c:axId val="9672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1" i="0" baseline="0">
                <a:effectLst/>
              </a:rPr>
              <a:t>Frutos Secos: </a:t>
            </a:r>
            <a:endParaRPr lang="es-ES" sz="1400">
              <a:effectLst/>
            </a:endParaRPr>
          </a:p>
          <a:p>
            <a:pPr>
              <a:defRPr sz="1400" b="0" i="0" u="none" strike="noStrike" kern="1200" spc="0" baseline="0">
                <a:solidFill>
                  <a:schemeClr val="tx1">
                    <a:lumMod val="65000"/>
                    <a:lumOff val="35000"/>
                  </a:schemeClr>
                </a:solidFill>
                <a:latin typeface="+mn-lt"/>
                <a:ea typeface="+mn-ea"/>
                <a:cs typeface="+mn-cs"/>
              </a:defRPr>
            </a:pPr>
            <a:r>
              <a:rPr lang="es-ES" sz="1400" b="0" i="0" baseline="0">
                <a:effectLst/>
              </a:rPr>
              <a:t>Variación de superficies 2021 vs 2020: RSU REGEPA y Superficies Anuales</a:t>
            </a:r>
            <a:endParaRPr lang="es-E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'FRUTOS SECOS TOTAL'!$Q$28</c:f>
              <c:strCache>
                <c:ptCount val="1"/>
                <c:pt idx="0">
                  <c:v>RSU REGEPA</c:v>
                </c:pt>
              </c:strCache>
            </c:strRef>
          </c:tx>
          <c:spPr>
            <a:solidFill>
              <a:schemeClr val="accent6">
                <a:lumMod val="50000"/>
              </a:schemeClr>
            </a:solidFill>
            <a:ln>
              <a:noFill/>
            </a:ln>
            <a:effectLst/>
          </c:spPr>
          <c:invertIfNegative val="0"/>
          <c:dPt>
            <c:idx val="5"/>
            <c:invertIfNegative val="0"/>
            <c:bubble3D val="0"/>
            <c:spPr>
              <a:solidFill>
                <a:srgbClr val="C00000"/>
              </a:solidFill>
              <a:ln>
                <a:noFill/>
              </a:ln>
              <a:effectLst/>
            </c:spPr>
            <c:extLst>
              <c:ext xmlns:c16="http://schemas.microsoft.com/office/drawing/2014/chart" uri="{C3380CC4-5D6E-409C-BE32-E72D297353CC}">
                <c16:uniqueId val="{00000008-F6CB-4563-B285-F242180BAEE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'FRUTOS SECOS TOTAL'!$A$29:$A$38</c15:sqref>
                  </c15:fullRef>
                </c:ext>
              </c:extLst>
              <c:f>'FRUTOS SECOS TOTAL'!$A$29:$A$34</c:f>
              <c:strCache>
                <c:ptCount val="6"/>
                <c:pt idx="0">
                  <c:v>ANDALUCÍA</c:v>
                </c:pt>
                <c:pt idx="1">
                  <c:v>C.-LA MANCHA</c:v>
                </c:pt>
                <c:pt idx="2">
                  <c:v>C. VALENCIANA</c:v>
                </c:pt>
                <c:pt idx="3">
                  <c:v>ARAGÓN</c:v>
                </c:pt>
                <c:pt idx="4">
                  <c:v>MURCIA</c:v>
                </c:pt>
                <c:pt idx="5">
                  <c:v>CATALUÑA</c:v>
                </c:pt>
              </c:strCache>
            </c:strRef>
          </c:cat>
          <c:val>
            <c:numRef>
              <c:extLst>
                <c:ext xmlns:c15="http://schemas.microsoft.com/office/drawing/2012/chart" uri="{02D57815-91ED-43cb-92C2-25804820EDAC}">
                  <c15:fullRef>
                    <c15:sqref>'FRUTOS SECOS TOTAL'!$Q$29:$Q$38</c15:sqref>
                  </c15:fullRef>
                </c:ext>
              </c:extLst>
              <c:f>'FRUTOS SECOS TOTAL'!$Q$29:$Q$34</c:f>
              <c:numCache>
                <c:formatCode>0.0%</c:formatCode>
                <c:ptCount val="6"/>
                <c:pt idx="0">
                  <c:v>7.5031858310271593E-2</c:v>
                </c:pt>
                <c:pt idx="1">
                  <c:v>9.3812366237598921E-2</c:v>
                </c:pt>
                <c:pt idx="2">
                  <c:v>4.0053462739876089E-2</c:v>
                </c:pt>
                <c:pt idx="3">
                  <c:v>3.5632809947717448E-2</c:v>
                </c:pt>
                <c:pt idx="4">
                  <c:v>2.4156825102282786E-2</c:v>
                </c:pt>
                <c:pt idx="5">
                  <c:v>-2.3280334301481576E-2</c:v>
                </c:pt>
              </c:numCache>
            </c:numRef>
          </c:val>
          <c:extLst>
            <c:ext xmlns:c16="http://schemas.microsoft.com/office/drawing/2014/chart" uri="{C3380CC4-5D6E-409C-BE32-E72D297353CC}">
              <c16:uniqueId val="{00000002-F6CB-4563-B285-F242180BAEE3}"/>
            </c:ext>
          </c:extLst>
        </c:ser>
        <c:ser>
          <c:idx val="1"/>
          <c:order val="1"/>
          <c:tx>
            <c:strRef>
              <c:f>'FRUTOS SECOS TOTAL'!$R$28</c:f>
              <c:strCache>
                <c:ptCount val="1"/>
                <c:pt idx="0">
                  <c:v>SUP ANUAL</c:v>
                </c:pt>
              </c:strCache>
            </c:strRef>
          </c:tx>
          <c:spPr>
            <a:solidFill>
              <a:schemeClr val="accent6">
                <a:lumMod val="60000"/>
                <a:lumOff val="40000"/>
              </a:schemeClr>
            </a:solidFill>
            <a:ln>
              <a:noFill/>
            </a:ln>
            <a:effectLst/>
          </c:spPr>
          <c:invertIfNegative val="0"/>
          <c:dPt>
            <c:idx val="2"/>
            <c:invertIfNegative val="0"/>
            <c:bubble3D val="0"/>
            <c:spPr>
              <a:solidFill>
                <a:srgbClr val="FF8FA4"/>
              </a:solidFill>
              <a:ln>
                <a:noFill/>
              </a:ln>
              <a:effectLst/>
            </c:spPr>
            <c:extLst>
              <c:ext xmlns:c16="http://schemas.microsoft.com/office/drawing/2014/chart" uri="{C3380CC4-5D6E-409C-BE32-E72D297353CC}">
                <c16:uniqueId val="{00000009-F6CB-4563-B285-F242180BAEE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'FRUTOS SECOS TOTAL'!$A$29:$A$38</c15:sqref>
                  </c15:fullRef>
                </c:ext>
              </c:extLst>
              <c:f>'FRUTOS SECOS TOTAL'!$A$29:$A$34</c:f>
              <c:strCache>
                <c:ptCount val="6"/>
                <c:pt idx="0">
                  <c:v>ANDALUCÍA</c:v>
                </c:pt>
                <c:pt idx="1">
                  <c:v>C.-LA MANCHA</c:v>
                </c:pt>
                <c:pt idx="2">
                  <c:v>C. VALENCIANA</c:v>
                </c:pt>
                <c:pt idx="3">
                  <c:v>ARAGÓN</c:v>
                </c:pt>
                <c:pt idx="4">
                  <c:v>MURCIA</c:v>
                </c:pt>
                <c:pt idx="5">
                  <c:v>CATALUÑA</c:v>
                </c:pt>
              </c:strCache>
            </c:strRef>
          </c:cat>
          <c:val>
            <c:numRef>
              <c:extLst>
                <c:ext xmlns:c15="http://schemas.microsoft.com/office/drawing/2012/chart" uri="{02D57815-91ED-43cb-92C2-25804820EDAC}">
                  <c15:fullRef>
                    <c15:sqref>'FRUTOS SECOS TOTAL'!$R$29:$R$38</c15:sqref>
                  </c15:fullRef>
                </c:ext>
              </c:extLst>
              <c:f>'FRUTOS SECOS TOTAL'!$R$29:$R$34</c:f>
              <c:numCache>
                <c:formatCode>0.0%</c:formatCode>
                <c:ptCount val="6"/>
                <c:pt idx="0">
                  <c:v>4.9655193698380673E-2</c:v>
                </c:pt>
                <c:pt idx="1">
                  <c:v>9.8933736296066721E-2</c:v>
                </c:pt>
                <c:pt idx="2">
                  <c:v>-8.5734918419105854E-3</c:v>
                </c:pt>
                <c:pt idx="3">
                  <c:v>3.1206252916472277E-2</c:v>
                </c:pt>
                <c:pt idx="4">
                  <c:v>2.1685547431750551E-2</c:v>
                </c:pt>
                <c:pt idx="5">
                  <c:v>2.905173451399623E-2</c:v>
                </c:pt>
              </c:numCache>
            </c:numRef>
          </c:val>
          <c:extLst>
            <c:ext xmlns:c16="http://schemas.microsoft.com/office/drawing/2014/chart" uri="{C3380CC4-5D6E-409C-BE32-E72D297353CC}">
              <c16:uniqueId val="{00000005-F6CB-4563-B285-F242180BAEE3}"/>
            </c:ext>
          </c:extLst>
        </c:ser>
        <c:dLbls>
          <c:showLegendKey val="0"/>
          <c:showVal val="0"/>
          <c:showCatName val="0"/>
          <c:showSerName val="0"/>
          <c:showPercent val="0"/>
          <c:showBubbleSize val="0"/>
        </c:dLbls>
        <c:gapWidth val="182"/>
        <c:axId val="747928575"/>
        <c:axId val="747925663"/>
      </c:barChart>
      <c:catAx>
        <c:axId val="74792857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ES"/>
          </a:p>
        </c:txPr>
        <c:crossAx val="747925663"/>
        <c:crosses val="autoZero"/>
        <c:auto val="1"/>
        <c:lblAlgn val="ctr"/>
        <c:lblOffset val="200"/>
        <c:noMultiLvlLbl val="0"/>
      </c:catAx>
      <c:valAx>
        <c:axId val="747925663"/>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74792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400"/>
              <a:t>Pistacho Secano Ecológico: </a:t>
            </a:r>
            <a:r>
              <a:rPr lang="es-ES" sz="1400" b="0"/>
              <a:t>Distribución autonómica de la superficie plantada</a:t>
            </a:r>
            <a:endParaRPr lang="es-ES" b="0"/>
          </a:p>
          <a:p>
            <a:pPr>
              <a:defRPr sz="1600" b="1" i="0" u="none" strike="noStrike" kern="1200" baseline="0">
                <a:solidFill>
                  <a:schemeClr val="tx1">
                    <a:lumMod val="65000"/>
                    <a:lumOff val="35000"/>
                  </a:schemeClr>
                </a:solidFill>
                <a:latin typeface="+mn-lt"/>
                <a:ea typeface="+mn-ea"/>
                <a:cs typeface="+mn-cs"/>
              </a:defRPr>
            </a:pP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34128086554783615"/>
          <c:y val="0.3750142169728784"/>
          <c:w val="0.37022273069317324"/>
          <c:h val="0.61696230679498398"/>
        </c:manualLayout>
      </c:layout>
      <c:pieChart>
        <c:varyColors val="1"/>
        <c:ser>
          <c:idx val="0"/>
          <c:order val="0"/>
          <c:dPt>
            <c:idx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C2CE-41D7-8AE7-9223E550944D}"/>
              </c:ext>
            </c:extLst>
          </c:dPt>
          <c:dPt>
            <c:idx val="3"/>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C2CE-41D7-8AE7-9223E550944D}"/>
              </c:ext>
            </c:extLst>
          </c:dPt>
          <c:dPt>
            <c:idx val="4"/>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C2CE-41D7-8AE7-9223E550944D}"/>
              </c:ext>
            </c:extLst>
          </c:dPt>
          <c:dLbls>
            <c:dLbl>
              <c:idx val="0"/>
              <c:layout>
                <c:manualLayout>
                  <c:x val="-0.19505798868831645"/>
                  <c:y val="-0.15096133883586096"/>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B82-4144-A86D-53A298ED977E}"/>
                </c:ext>
              </c:extLst>
            </c:dLbl>
            <c:dLbl>
              <c:idx val="1"/>
              <c:layout>
                <c:manualLayout>
                  <c:x val="2.1166415833960416E-2"/>
                  <c:y val="5.336322543015456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B82-4144-A86D-53A298ED977E}"/>
                </c:ext>
              </c:extLst>
            </c:dLbl>
            <c:dLbl>
              <c:idx val="2"/>
              <c:layout>
                <c:manualLayout>
                  <c:x val="-2.7710743223141942E-2"/>
                  <c:y val="2.971456692913385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2CE-41D7-8AE7-9223E550944D}"/>
                </c:ext>
              </c:extLst>
            </c:dLbl>
            <c:dLbl>
              <c:idx val="3"/>
              <c:layout>
                <c:manualLayout>
                  <c:x val="2.3064942337644105E-2"/>
                  <c:y val="6.406022163896179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2CE-41D7-8AE7-9223E550944D}"/>
                </c:ext>
              </c:extLst>
            </c:dLbl>
            <c:dLbl>
              <c:idx val="4"/>
              <c:layout>
                <c:manualLayout>
                  <c:x val="0.28466041334896663"/>
                  <c:y val="3.787365121026538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2CE-41D7-8AE7-9223E55094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'PIS-ECO'!$F$11:$F$15</c:f>
              <c:strCache>
                <c:ptCount val="5"/>
                <c:pt idx="0">
                  <c:v>C.-LA MANCHA</c:v>
                </c:pt>
                <c:pt idx="1">
                  <c:v>ANDALUCÍA</c:v>
                </c:pt>
                <c:pt idx="2">
                  <c:v>C. y LEÓN</c:v>
                </c:pt>
                <c:pt idx="3">
                  <c:v>MURCIA</c:v>
                </c:pt>
                <c:pt idx="4">
                  <c:v>EXTREMADURA</c:v>
                </c:pt>
              </c:strCache>
            </c:strRef>
          </c:cat>
          <c:val>
            <c:numRef>
              <c:f>('PIS-EDAD'!$AA$341,'PIS-EDAD'!$AA$319,'PIS-EDAD'!$AA$347,'PIS-EDAD'!$AA$369,'PIS-EDAD'!$AA$357)</c:f>
              <c:numCache>
                <c:formatCode>0%</c:formatCode>
                <c:ptCount val="5"/>
                <c:pt idx="0">
                  <c:v>0.78515080051283381</c:v>
                </c:pt>
                <c:pt idx="1">
                  <c:v>0.10454110665238084</c:v>
                </c:pt>
                <c:pt idx="2">
                  <c:v>4.1574388185290412E-2</c:v>
                </c:pt>
                <c:pt idx="3">
                  <c:v>2.8962277610056746E-2</c:v>
                </c:pt>
                <c:pt idx="4">
                  <c:v>1.994459939888529E-2</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t>Pistacho </a:t>
            </a:r>
            <a:r>
              <a:rPr lang="es-ES" b="1" baseline="0"/>
              <a:t>Regadío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'PIS-ECO'!$H$10</c:f>
              <c:strCache>
                <c:ptCount val="1"/>
                <c:pt idx="0">
                  <c:v>RSU REGEPA  2021</c:v>
                </c:pt>
              </c:strCache>
            </c:strRef>
          </c:tx>
          <c:spPr>
            <a:solidFill>
              <a:schemeClr val="accent1">
                <a:lumMod val="75000"/>
              </a:schemeClr>
            </a:solidFill>
            <a:ln>
              <a:solidFill>
                <a:schemeClr val="accent6">
                  <a:lumMod val="75000"/>
                </a:schemeClr>
              </a:solidFill>
            </a:ln>
            <a:effectLst/>
          </c:spPr>
          <c:invertIfNegative val="0"/>
          <c:dLbls>
            <c:delete val="1"/>
          </c:dLbls>
          <c:cat>
            <c:strRef>
              <c:f>'PIS-ECO'!$F$73:$F$76</c:f>
              <c:strCache>
                <c:ptCount val="4"/>
                <c:pt idx="0">
                  <c:v>C.-LA MANCHA</c:v>
                </c:pt>
                <c:pt idx="1">
                  <c:v>ANDALUCÍA</c:v>
                </c:pt>
                <c:pt idx="2">
                  <c:v>C. y LEÓN</c:v>
                </c:pt>
                <c:pt idx="3">
                  <c:v>MURCIA</c:v>
                </c:pt>
              </c:strCache>
            </c:strRef>
          </c:cat>
          <c:val>
            <c:numRef>
              <c:f>'PIS-ECO'!$H$73:$H$76</c:f>
              <c:numCache>
                <c:formatCode>#,##0</c:formatCode>
                <c:ptCount val="4"/>
                <c:pt idx="0">
                  <c:v>11399.790000000003</c:v>
                </c:pt>
                <c:pt idx="1">
                  <c:v>1385.08</c:v>
                </c:pt>
                <c:pt idx="2">
                  <c:v>589.13</c:v>
                </c:pt>
                <c:pt idx="3">
                  <c:v>403.24</c:v>
                </c:pt>
              </c:numCache>
            </c:numRef>
          </c:val>
          <c:extLst>
            <c:ext xmlns:c16="http://schemas.microsoft.com/office/drawing/2014/chart" uri="{C3380CC4-5D6E-409C-BE32-E72D297353CC}">
              <c16:uniqueId val="{00000001-DFE6-460C-A92B-00A5E0C8FC10}"/>
            </c:ext>
          </c:extLst>
        </c:ser>
        <c:ser>
          <c:idx val="0"/>
          <c:order val="1"/>
          <c:tx>
            <c:strRef>
              <c:f>'PIS-ECO'!$G$10</c:f>
              <c:strCache>
                <c:ptCount val="1"/>
                <c:pt idx="0">
                  <c:v>RSU REGEPA ECOLÓGICA 2021</c:v>
                </c:pt>
              </c:strCache>
            </c:strRef>
          </c:tx>
          <c:spPr>
            <a:solidFill>
              <a:srgbClr val="00FFCC"/>
            </a:solidFill>
            <a:ln>
              <a:solidFill>
                <a:schemeClr val="accent6">
                  <a:lumMod val="50000"/>
                </a:schemeClr>
              </a:solidFill>
            </a:ln>
            <a:effectLst/>
          </c:spPr>
          <c:invertIfNegative val="0"/>
          <c:dLbls>
            <c:dLbl>
              <c:idx val="0"/>
              <c:tx>
                <c:rich>
                  <a:bodyPr/>
                  <a:lstStyle/>
                  <a:p>
                    <a:fld id="{FF9E7A8F-AA33-457F-B447-06FC095B7A7D}"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406-44FE-B65E-FD938E6451E9}"/>
                </c:ext>
              </c:extLst>
            </c:dLbl>
            <c:dLbl>
              <c:idx val="1"/>
              <c:tx>
                <c:rich>
                  <a:bodyPr/>
                  <a:lstStyle/>
                  <a:p>
                    <a:fld id="{8F187E0C-FDC5-4936-862C-3CD61184CD4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406-44FE-B65E-FD938E6451E9}"/>
                </c:ext>
              </c:extLst>
            </c:dLbl>
            <c:dLbl>
              <c:idx val="2"/>
              <c:tx>
                <c:rich>
                  <a:bodyPr/>
                  <a:lstStyle/>
                  <a:p>
                    <a:fld id="{DA2632EA-D0A3-455A-B719-5CC9795F77E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406-44FE-B65E-FD938E6451E9}"/>
                </c:ext>
              </c:extLst>
            </c:dLbl>
            <c:dLbl>
              <c:idx val="3"/>
              <c:tx>
                <c:rich>
                  <a:bodyPr/>
                  <a:lstStyle/>
                  <a:p>
                    <a:fld id="{230A9DA1-330D-4F81-B45B-070A1130018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06-44FE-B65E-FD938E6451E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'PIS-ECO'!$F$73:$F$76</c:f>
              <c:strCache>
                <c:ptCount val="4"/>
                <c:pt idx="0">
                  <c:v>C.-LA MANCHA</c:v>
                </c:pt>
                <c:pt idx="1">
                  <c:v>ANDALUCÍA</c:v>
                </c:pt>
                <c:pt idx="2">
                  <c:v>C. y LEÓN</c:v>
                </c:pt>
                <c:pt idx="3">
                  <c:v>MURCIA</c:v>
                </c:pt>
              </c:strCache>
            </c:strRef>
          </c:cat>
          <c:val>
            <c:numRef>
              <c:f>'PIS-ECO'!$G$73:$G$76</c:f>
              <c:numCache>
                <c:formatCode>#,##0</c:formatCode>
                <c:ptCount val="4"/>
                <c:pt idx="0">
                  <c:v>2482.4600000000005</c:v>
                </c:pt>
                <c:pt idx="1">
                  <c:v>285.38</c:v>
                </c:pt>
                <c:pt idx="2">
                  <c:v>210.01000000000002</c:v>
                </c:pt>
                <c:pt idx="3">
                  <c:v>317.82</c:v>
                </c:pt>
              </c:numCache>
            </c:numRef>
          </c:val>
          <c:extLst>
            <c:ext xmlns:c15="http://schemas.microsoft.com/office/drawing/2012/chart" uri="{02D57815-91ED-43cb-92C2-25804820EDAC}">
              <c15:datalabelsRange>
                <c15:f>'PIS-ECO'!$I$73:$I$76</c15:f>
                <c15:dlblRangeCache>
                  <c:ptCount val="4"/>
                  <c:pt idx="0">
                    <c:v>22%</c:v>
                  </c:pt>
                  <c:pt idx="1">
                    <c:v>21%</c:v>
                  </c:pt>
                  <c:pt idx="2">
                    <c:v>36%</c:v>
                  </c:pt>
                  <c:pt idx="3">
                    <c:v>79%</c:v>
                  </c:pt>
                </c15:dlblRangeCache>
              </c15:datalabelsRange>
            </c:ext>
            <c:ext xmlns:c16="http://schemas.microsoft.com/office/drawing/2014/chart" uri="{C3380CC4-5D6E-409C-BE32-E72D297353CC}">
              <c16:uniqueId val="{00000000-DFE6-460C-A92B-00A5E0C8FC10}"/>
            </c:ext>
          </c:extLst>
        </c:ser>
        <c:dLbls>
          <c:dLblPos val="outEnd"/>
          <c:showLegendKey val="0"/>
          <c:showVal val="1"/>
          <c:showCatName val="0"/>
          <c:showSerName val="0"/>
          <c:showPercent val="0"/>
          <c:showBubbleSize val="0"/>
        </c:dLbls>
        <c:gapWidth val="150"/>
        <c:axId val="96718512"/>
        <c:axId val="96721776"/>
      </c:barChart>
      <c:catAx>
        <c:axId val="96718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21776"/>
        <c:crosses val="autoZero"/>
        <c:auto val="1"/>
        <c:lblAlgn val="ctr"/>
        <c:lblOffset val="100"/>
        <c:noMultiLvlLbl val="0"/>
      </c:catAx>
      <c:valAx>
        <c:axId val="96721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8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a:t>Pistacho Regadío Ecológico: </a:t>
            </a:r>
            <a:r>
              <a:rPr lang="es-ES" sz="1400" b="0"/>
              <a:t>Distribución autonómica de la superficie plantada</a:t>
            </a:r>
          </a:p>
          <a:p>
            <a:pPr>
              <a:defRPr sz="1400" b="1" i="0" u="none" strike="noStrike" kern="1200" baseline="0">
                <a:solidFill>
                  <a:schemeClr val="tx1">
                    <a:lumMod val="65000"/>
                    <a:lumOff val="35000"/>
                  </a:schemeClr>
                </a:solidFill>
                <a:latin typeface="+mn-lt"/>
                <a:ea typeface="+mn-ea"/>
                <a:cs typeface="+mn-cs"/>
              </a:defRPr>
            </a:pPr>
            <a:endParaRPr lang="es-ES" sz="1400"/>
          </a:p>
        </c:rich>
      </c:tx>
      <c:layout>
        <c:manualLayout>
          <c:xMode val="edge"/>
          <c:yMode val="edge"/>
          <c:x val="0.18297228594457191"/>
          <c:y val="1.346700424899889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33239961146588959"/>
          <c:y val="0.34359134958823129"/>
          <c:w val="0.37022273069317324"/>
          <c:h val="0.61696230679498398"/>
        </c:manualLayout>
      </c:layout>
      <c:pieChart>
        <c:varyColors val="1"/>
        <c:ser>
          <c:idx val="0"/>
          <c:order val="0"/>
          <c:dPt>
            <c:idx val="0"/>
            <c:bubble3D val="0"/>
            <c:spPr>
              <a:gradFill rotWithShape="1">
                <a:gsLst>
                  <a:gs pos="0">
                    <a:schemeClr val="accent6">
                      <a:shade val="58000"/>
                      <a:satMod val="103000"/>
                      <a:lumMod val="102000"/>
                      <a:tint val="94000"/>
                    </a:schemeClr>
                  </a:gs>
                  <a:gs pos="50000">
                    <a:schemeClr val="accent6">
                      <a:shade val="58000"/>
                      <a:satMod val="110000"/>
                      <a:lumMod val="100000"/>
                      <a:shade val="100000"/>
                    </a:schemeClr>
                  </a:gs>
                  <a:gs pos="100000">
                    <a:schemeClr val="accent6">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hade val="86000"/>
                      <a:satMod val="103000"/>
                      <a:lumMod val="102000"/>
                      <a:tint val="94000"/>
                    </a:schemeClr>
                  </a:gs>
                  <a:gs pos="50000">
                    <a:schemeClr val="accent6">
                      <a:shade val="86000"/>
                      <a:satMod val="110000"/>
                      <a:lumMod val="100000"/>
                      <a:shade val="100000"/>
                    </a:schemeClr>
                  </a:gs>
                  <a:gs pos="100000">
                    <a:schemeClr val="accent6">
                      <a:shade val="8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tint val="86000"/>
                      <a:satMod val="103000"/>
                      <a:lumMod val="102000"/>
                      <a:tint val="94000"/>
                    </a:schemeClr>
                  </a:gs>
                  <a:gs pos="50000">
                    <a:schemeClr val="accent6">
                      <a:tint val="86000"/>
                      <a:satMod val="110000"/>
                      <a:lumMod val="100000"/>
                      <a:shade val="100000"/>
                    </a:schemeClr>
                  </a:gs>
                  <a:gs pos="100000">
                    <a:schemeClr val="accent6">
                      <a:tint val="8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4F15-4D56-B03F-28C22D6224D6}"/>
              </c:ext>
            </c:extLst>
          </c:dPt>
          <c:dPt>
            <c:idx val="3"/>
            <c:bubble3D val="0"/>
            <c:spPr>
              <a:gradFill rotWithShape="1">
                <a:gsLst>
                  <a:gs pos="0">
                    <a:schemeClr val="accent6">
                      <a:tint val="58000"/>
                      <a:satMod val="103000"/>
                      <a:lumMod val="102000"/>
                      <a:tint val="94000"/>
                    </a:schemeClr>
                  </a:gs>
                  <a:gs pos="50000">
                    <a:schemeClr val="accent6">
                      <a:tint val="58000"/>
                      <a:satMod val="110000"/>
                      <a:lumMod val="100000"/>
                      <a:shade val="100000"/>
                    </a:schemeClr>
                  </a:gs>
                  <a:gs pos="100000">
                    <a:schemeClr val="accent6">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4F15-4D56-B03F-28C22D6224D6}"/>
              </c:ext>
            </c:extLst>
          </c:dPt>
          <c:dLbls>
            <c:dLbl>
              <c:idx val="0"/>
              <c:layout>
                <c:manualLayout>
                  <c:x val="-0.16301098077026097"/>
                  <c:y val="-0.1526976038672229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B82-4144-A86D-53A298ED977E}"/>
                </c:ext>
              </c:extLst>
            </c:dLbl>
            <c:dLbl>
              <c:idx val="1"/>
              <c:layout>
                <c:manualLayout>
                  <c:x val="4.2909850554394939E-2"/>
                  <c:y val="-1.10628507789562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B82-4144-A86D-53A298ED977E}"/>
                </c:ext>
              </c:extLst>
            </c:dLbl>
            <c:dLbl>
              <c:idx val="2"/>
              <c:layout>
                <c:manualLayout>
                  <c:x val="-3.363222454336065E-2"/>
                  <c:y val="3.41142674795564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F15-4D56-B03F-28C22D6224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('PIS-EDAD'!$A$417,'PIS-EDAD'!$A$442,'PIS-EDAD'!$A$395,'PIS-EDAD'!$A$423)</c:f>
              <c:strCache>
                <c:ptCount val="4"/>
                <c:pt idx="0">
                  <c:v>C.-LA MANCHA</c:v>
                </c:pt>
                <c:pt idx="1">
                  <c:v>MURCIA</c:v>
                </c:pt>
                <c:pt idx="2">
                  <c:v>ANDALUCÍA</c:v>
                </c:pt>
                <c:pt idx="3">
                  <c:v>C. y LEÓN</c:v>
                </c:pt>
              </c:strCache>
            </c:strRef>
          </c:cat>
          <c:val>
            <c:numRef>
              <c:f>('PIS-EDAD'!$AA$417,'PIS-EDAD'!$AA$442,'PIS-EDAD'!$AA$395,'PIS-EDAD'!$AA$423)</c:f>
              <c:numCache>
                <c:formatCode>0%</c:formatCode>
                <c:ptCount val="4"/>
                <c:pt idx="0">
                  <c:v>0.729528069283508</c:v>
                </c:pt>
                <c:pt idx="1">
                  <c:v>9.3398729880716916E-2</c:v>
                </c:pt>
                <c:pt idx="2">
                  <c:v>8.3865488431687743E-2</c:v>
                </c:pt>
                <c:pt idx="3">
                  <c:v>6.1716277333866219E-2</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66666666666666E-2"/>
          <c:y val="2.516601962621751E-2"/>
          <c:w val="0.98333333333333328"/>
          <c:h val="0.9239080431793012"/>
        </c:manualLayout>
      </c:layout>
      <c:barChart>
        <c:barDir val="bar"/>
        <c:grouping val="stacked"/>
        <c:varyColors val="0"/>
        <c:ser>
          <c:idx val="0"/>
          <c:order val="0"/>
          <c:tx>
            <c:v>Ecológico</c:v>
          </c:tx>
          <c:spPr>
            <a:solidFill>
              <a:schemeClr val="accent6"/>
            </a:solidFill>
            <a:ln>
              <a:noFill/>
            </a:ln>
            <a:effectLst>
              <a:outerShdw blurRad="50800" dist="38100" dir="2700000" algn="tl"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'PIS-ECO'!$E$6</c:f>
              <c:numCache>
                <c:formatCode>0%</c:formatCode>
                <c:ptCount val="1"/>
                <c:pt idx="0">
                  <c:v>0.23210413056516305</c:v>
                </c:pt>
              </c:numCache>
            </c:numRef>
          </c:val>
          <c:extLst>
            <c:ext xmlns:c16="http://schemas.microsoft.com/office/drawing/2014/chart" uri="{C3380CC4-5D6E-409C-BE32-E72D297353CC}">
              <c16:uniqueId val="{00000000-B638-48CB-9211-2398CC1D4560}"/>
            </c:ext>
          </c:extLst>
        </c:ser>
        <c:ser>
          <c:idx val="1"/>
          <c:order val="1"/>
          <c:tx>
            <c:v>Convencional</c:v>
          </c:tx>
          <c:spPr>
            <a:solidFill>
              <a:srgbClr val="CB9661"/>
            </a:solidFill>
            <a:ln>
              <a:noFill/>
            </a:ln>
            <a:effectLst>
              <a:outerShdw blurRad="50800" dist="38100" dir="2700000" algn="tl" rotWithShape="0">
                <a:prstClr val="black">
                  <a:alpha val="40000"/>
                </a:prstClr>
              </a:outerShdw>
            </a:effectLst>
          </c:spPr>
          <c:invertIfNegative val="0"/>
          <c:dLbls>
            <c:dLbl>
              <c:idx val="0"/>
              <c:showLegendKey val="0"/>
              <c:showVal val="1"/>
              <c:showCatName val="0"/>
              <c:showSerName val="1"/>
              <c:showPercent val="0"/>
              <c:showBubbleSize val="0"/>
              <c:separator>
</c:separator>
              <c:extLst>
                <c:ext xmlns:c15="http://schemas.microsoft.com/office/drawing/2012/chart" uri="{CE6537A1-D6FC-4f65-9D91-7224C49458BB}">
                  <c15:layout>
                    <c:manualLayout>
                      <c:w val="0.27809733158355204"/>
                      <c:h val="0.31731066460587326"/>
                    </c:manualLayout>
                  </c15:layout>
                </c:ext>
                <c:ext xmlns:c16="http://schemas.microsoft.com/office/drawing/2014/chart" uri="{C3380CC4-5D6E-409C-BE32-E72D297353CC}">
                  <c16:uniqueId val="{00000001-B638-48CB-9211-2398CC1D456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'PIS-ECO'!$E$7</c:f>
              <c:numCache>
                <c:formatCode>0%</c:formatCode>
                <c:ptCount val="1"/>
                <c:pt idx="0">
                  <c:v>0.76789586943483701</c:v>
                </c:pt>
              </c:numCache>
            </c:numRef>
          </c:val>
          <c:extLst>
            <c:ext xmlns:c16="http://schemas.microsoft.com/office/drawing/2014/chart" uri="{C3380CC4-5D6E-409C-BE32-E72D297353CC}">
              <c16:uniqueId val="{00000002-B638-48CB-9211-2398CC1D4560}"/>
            </c:ext>
          </c:extLst>
        </c:ser>
        <c:dLbls>
          <c:showLegendKey val="0"/>
          <c:showVal val="0"/>
          <c:showCatName val="0"/>
          <c:showSerName val="0"/>
          <c:showPercent val="0"/>
          <c:showBubbleSize val="0"/>
        </c:dLbls>
        <c:gapWidth val="150"/>
        <c:overlap val="100"/>
        <c:axId val="1539582383"/>
        <c:axId val="1539589455"/>
      </c:barChart>
      <c:catAx>
        <c:axId val="1539582383"/>
        <c:scaling>
          <c:orientation val="minMax"/>
        </c:scaling>
        <c:delete val="1"/>
        <c:axPos val="l"/>
        <c:numFmt formatCode="0%" sourceLinked="1"/>
        <c:majorTickMark val="none"/>
        <c:minorTickMark val="none"/>
        <c:tickLblPos val="nextTo"/>
        <c:crossAx val="1539589455"/>
        <c:crosses val="autoZero"/>
        <c:auto val="1"/>
        <c:lblAlgn val="ctr"/>
        <c:lblOffset val="100"/>
        <c:noMultiLvlLbl val="0"/>
      </c:catAx>
      <c:valAx>
        <c:axId val="1539589455"/>
        <c:scaling>
          <c:orientation val="minMax"/>
        </c:scaling>
        <c:delete val="1"/>
        <c:axPos val="b"/>
        <c:numFmt formatCode="0%" sourceLinked="1"/>
        <c:majorTickMark val="none"/>
        <c:minorTickMark val="none"/>
        <c:tickLblPos val="nextTo"/>
        <c:crossAx val="153958238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baseline="0"/>
              <a:t>Avellano Secano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'AVE-ECO'!$H$10</c:f>
              <c:strCache>
                <c:ptCount val="1"/>
                <c:pt idx="0">
                  <c:v>RSU REGEPA  2021</c:v>
                </c:pt>
              </c:strCache>
            </c:strRef>
          </c:tx>
          <c:spPr>
            <a:solidFill>
              <a:schemeClr val="accent6">
                <a:tint val="77000"/>
              </a:schemeClr>
            </a:solidFill>
            <a:ln>
              <a:solidFill>
                <a:schemeClr val="accent6">
                  <a:lumMod val="75000"/>
                </a:schemeClr>
              </a:solidFill>
            </a:ln>
            <a:effectLst/>
          </c:spPr>
          <c:invertIfNegative val="0"/>
          <c:cat>
            <c:strRef>
              <c:f>'AVE-ECO'!$F$11:$F$12</c:f>
              <c:strCache>
                <c:ptCount val="2"/>
                <c:pt idx="0">
                  <c:v>CATALUÑA</c:v>
                </c:pt>
                <c:pt idx="1">
                  <c:v>C. VALENCIANA</c:v>
                </c:pt>
              </c:strCache>
            </c:strRef>
          </c:cat>
          <c:val>
            <c:numRef>
              <c:f>'AVE-ECO'!$H$11:$H$12</c:f>
              <c:numCache>
                <c:formatCode>#,##0</c:formatCode>
                <c:ptCount val="2"/>
                <c:pt idx="0">
                  <c:v>2671.2499999999936</c:v>
                </c:pt>
                <c:pt idx="1">
                  <c:v>449.85999999999979</c:v>
                </c:pt>
              </c:numCache>
            </c:numRef>
          </c:val>
          <c:extLst>
            <c:ext xmlns:c16="http://schemas.microsoft.com/office/drawing/2014/chart" uri="{C3380CC4-5D6E-409C-BE32-E72D297353CC}">
              <c16:uniqueId val="{00000001-DFE6-460C-A92B-00A5E0C8FC10}"/>
            </c:ext>
          </c:extLst>
        </c:ser>
        <c:ser>
          <c:idx val="0"/>
          <c:order val="1"/>
          <c:tx>
            <c:strRef>
              <c:f>'AVE-ECO'!$G$10</c:f>
              <c:strCache>
                <c:ptCount val="1"/>
                <c:pt idx="0">
                  <c:v>RSU REGEPA ECOLÓGICA 2021</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8E1FE99A-6F57-4826-8517-BE438563B66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021-4266-B1A0-4532459C318E}"/>
                </c:ext>
              </c:extLst>
            </c:dLbl>
            <c:dLbl>
              <c:idx val="1"/>
              <c:tx>
                <c:rich>
                  <a:bodyPr/>
                  <a:lstStyle/>
                  <a:p>
                    <a:fld id="{FBC538B5-53D3-4EB9-85C3-4360E411808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021-4266-B1A0-4532459C318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'AVE-ECO'!$F$11:$F$12</c:f>
              <c:strCache>
                <c:ptCount val="2"/>
                <c:pt idx="0">
                  <c:v>CATALUÑA</c:v>
                </c:pt>
                <c:pt idx="1">
                  <c:v>C. VALENCIANA</c:v>
                </c:pt>
              </c:strCache>
            </c:strRef>
          </c:cat>
          <c:val>
            <c:numRef>
              <c:f>'AVE-ECO'!$G$11:$G$12</c:f>
              <c:numCache>
                <c:formatCode>#,##0</c:formatCode>
                <c:ptCount val="2"/>
                <c:pt idx="0">
                  <c:v>64.720000000000013</c:v>
                </c:pt>
                <c:pt idx="1">
                  <c:v>51.1</c:v>
                </c:pt>
              </c:numCache>
            </c:numRef>
          </c:val>
          <c:extLst>
            <c:ext xmlns:c15="http://schemas.microsoft.com/office/drawing/2012/chart" uri="{02D57815-91ED-43cb-92C2-25804820EDAC}">
              <c15:datalabelsRange>
                <c15:f>'AVE-ECO'!$I$11:$I$12</c15:f>
                <c15:dlblRangeCache>
                  <c:ptCount val="2"/>
                  <c:pt idx="0">
                    <c:v>2,4%</c:v>
                  </c:pt>
                  <c:pt idx="1">
                    <c:v>11,4%</c:v>
                  </c:pt>
                </c15:dlblRangeCache>
              </c15:datalabelsRange>
            </c:ext>
            <c:ext xmlns:c16="http://schemas.microsoft.com/office/drawing/2014/chart" uri="{C3380CC4-5D6E-409C-BE32-E72D297353CC}">
              <c16:uniqueId val="{00000000-DFE6-460C-A92B-00A5E0C8FC10}"/>
            </c:ext>
          </c:extLst>
        </c:ser>
        <c:dLbls>
          <c:showLegendKey val="0"/>
          <c:showVal val="0"/>
          <c:showCatName val="0"/>
          <c:showSerName val="0"/>
          <c:showPercent val="0"/>
          <c:showBubbleSize val="0"/>
        </c:dLbls>
        <c:gapWidth val="150"/>
        <c:axId val="96713616"/>
        <c:axId val="96720144"/>
      </c:barChart>
      <c:catAx>
        <c:axId val="96713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20144"/>
        <c:crosses val="autoZero"/>
        <c:auto val="1"/>
        <c:lblAlgn val="ctr"/>
        <c:lblOffset val="100"/>
        <c:noMultiLvlLbl val="0"/>
      </c:catAx>
      <c:valAx>
        <c:axId val="96720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a:t>Avellano Secano Ecológico: </a:t>
            </a:r>
            <a:r>
              <a:rPr lang="es-ES" sz="1400" b="0"/>
              <a:t>Distribución autonómica de la superficie plantada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32050907372731569"/>
          <c:y val="0.300838801399825"/>
          <c:w val="0.39231926920182697"/>
          <c:h val="0.65378536016331279"/>
        </c:manualLayout>
      </c:layout>
      <c:pieChart>
        <c:varyColors val="1"/>
        <c:ser>
          <c:idx val="0"/>
          <c:order val="0"/>
          <c:tx>
            <c:strRef>
              <c:f>'AVE-ECO'!$G$10</c:f>
              <c:strCache>
                <c:ptCount val="1"/>
                <c:pt idx="0">
                  <c:v>RSU REGEPA ECOLÓGICA 2021</c:v>
                </c:pt>
              </c:strCache>
            </c:strRef>
          </c:tx>
          <c:dPt>
            <c:idx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72F-40B3-A2B1-B7B2E446AC2E}"/>
              </c:ext>
            </c:extLst>
          </c:dPt>
          <c:dLbls>
            <c:dLbl>
              <c:idx val="0"/>
              <c:layout>
                <c:manualLayout>
                  <c:x val="-0.16343031180063605"/>
                  <c:y val="1.675807503830807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2-4144-A86D-53A298ED97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'AVE-ECO'!$F$11:$F$13</c:f>
              <c:strCache>
                <c:ptCount val="3"/>
                <c:pt idx="0">
                  <c:v>CATALUÑA</c:v>
                </c:pt>
                <c:pt idx="1">
                  <c:v>C. VALENCIANA</c:v>
                </c:pt>
                <c:pt idx="2">
                  <c:v>OTRAS</c:v>
                </c:pt>
              </c:strCache>
            </c:strRef>
          </c:cat>
          <c:val>
            <c:numRef>
              <c:f>'AVE-ECO'!$G$11:$G$13</c:f>
              <c:numCache>
                <c:formatCode>#,##0</c:formatCode>
                <c:ptCount val="3"/>
                <c:pt idx="0">
                  <c:v>64.720000000000013</c:v>
                </c:pt>
                <c:pt idx="1">
                  <c:v>51.1</c:v>
                </c:pt>
                <c:pt idx="2">
                  <c:v>9.3600000000000136</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baseline="0"/>
              <a:t>Avellano Regadío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'AVE-ECO'!$H$10</c:f>
              <c:strCache>
                <c:ptCount val="1"/>
                <c:pt idx="0">
                  <c:v>RSU REGEPA  2021</c:v>
                </c:pt>
              </c:strCache>
            </c:strRef>
          </c:tx>
          <c:spPr>
            <a:solidFill>
              <a:schemeClr val="accent6">
                <a:tint val="77000"/>
              </a:schemeClr>
            </a:solidFill>
            <a:ln>
              <a:solidFill>
                <a:schemeClr val="accent6">
                  <a:lumMod val="75000"/>
                </a:schemeClr>
              </a:solidFill>
            </a:ln>
            <a:effectLst/>
          </c:spPr>
          <c:invertIfNegative val="0"/>
          <c:dLbls>
            <c:delete val="1"/>
          </c:dLbls>
          <c:cat>
            <c:strRef>
              <c:f>'AVE-ECO'!$F$66</c:f>
              <c:strCache>
                <c:ptCount val="1"/>
                <c:pt idx="0">
                  <c:v>CATALUÑA</c:v>
                </c:pt>
              </c:strCache>
            </c:strRef>
          </c:cat>
          <c:val>
            <c:numRef>
              <c:f>'AVE-ECO'!$H$66</c:f>
              <c:numCache>
                <c:formatCode>#,##0</c:formatCode>
                <c:ptCount val="1"/>
                <c:pt idx="0">
                  <c:v>6685.1699999999955</c:v>
                </c:pt>
              </c:numCache>
            </c:numRef>
          </c:val>
          <c:extLst>
            <c:ext xmlns:c16="http://schemas.microsoft.com/office/drawing/2014/chart" uri="{C3380CC4-5D6E-409C-BE32-E72D297353CC}">
              <c16:uniqueId val="{00000001-DFE6-460C-A92B-00A5E0C8FC10}"/>
            </c:ext>
          </c:extLst>
        </c:ser>
        <c:ser>
          <c:idx val="0"/>
          <c:order val="1"/>
          <c:tx>
            <c:strRef>
              <c:f>'AVE-ECO'!$G$10</c:f>
              <c:strCache>
                <c:ptCount val="1"/>
                <c:pt idx="0">
                  <c:v>RSU REGEPA ECOLÓGICA 2021</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666BEC40-01F6-40F6-9BE9-CED89D5C8BC6}"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A9-40FA-B9A8-F3DCBD4DD2C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'AVE-ECO'!$F$66</c:f>
              <c:strCache>
                <c:ptCount val="1"/>
                <c:pt idx="0">
                  <c:v>CATALUÑA</c:v>
                </c:pt>
              </c:strCache>
            </c:strRef>
          </c:cat>
          <c:val>
            <c:numRef>
              <c:f>'AVE-ECO'!$G$66</c:f>
              <c:numCache>
                <c:formatCode>#,##0</c:formatCode>
                <c:ptCount val="1"/>
                <c:pt idx="0">
                  <c:v>247.05</c:v>
                </c:pt>
              </c:numCache>
            </c:numRef>
          </c:val>
          <c:extLst>
            <c:ext xmlns:c15="http://schemas.microsoft.com/office/drawing/2012/chart" uri="{02D57815-91ED-43cb-92C2-25804820EDAC}">
              <c15:datalabelsRange>
                <c15:f>'AVE-ECO'!$I$66</c15:f>
                <c15:dlblRangeCache>
                  <c:ptCount val="1"/>
                  <c:pt idx="0">
                    <c:v>3,7%</c:v>
                  </c:pt>
                </c15:dlblRangeCache>
              </c15:datalabelsRange>
            </c:ext>
            <c:ext xmlns:c16="http://schemas.microsoft.com/office/drawing/2014/chart" uri="{C3380CC4-5D6E-409C-BE32-E72D297353CC}">
              <c16:uniqueId val="{00000000-DFE6-460C-A92B-00A5E0C8FC10}"/>
            </c:ext>
          </c:extLst>
        </c:ser>
        <c:dLbls>
          <c:dLblPos val="outEnd"/>
          <c:showLegendKey val="0"/>
          <c:showVal val="1"/>
          <c:showCatName val="0"/>
          <c:showSerName val="0"/>
          <c:showPercent val="0"/>
          <c:showBubbleSize val="0"/>
        </c:dLbls>
        <c:gapWidth val="219"/>
        <c:axId val="96714704"/>
        <c:axId val="96715248"/>
      </c:barChart>
      <c:catAx>
        <c:axId val="96714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5248"/>
        <c:crosses val="autoZero"/>
        <c:auto val="1"/>
        <c:lblAlgn val="ctr"/>
        <c:lblOffset val="100"/>
        <c:noMultiLvlLbl val="0"/>
      </c:catAx>
      <c:valAx>
        <c:axId val="96715248"/>
        <c:scaling>
          <c:orientation val="minMax"/>
          <c:max val="7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baseline="0"/>
              <a:t>Algarrobo Secano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'ALG-ECO'!$H$10</c:f>
              <c:strCache>
                <c:ptCount val="1"/>
                <c:pt idx="0">
                  <c:v>RSU REGEPA  2021</c:v>
                </c:pt>
              </c:strCache>
            </c:strRef>
          </c:tx>
          <c:spPr>
            <a:solidFill>
              <a:schemeClr val="accent6">
                <a:tint val="77000"/>
              </a:schemeClr>
            </a:solidFill>
            <a:ln>
              <a:solidFill>
                <a:schemeClr val="accent6">
                  <a:lumMod val="75000"/>
                </a:schemeClr>
              </a:solidFill>
            </a:ln>
            <a:effectLst/>
          </c:spPr>
          <c:invertIfNegative val="0"/>
          <c:dLbls>
            <c:delete val="1"/>
          </c:dLbls>
          <c:cat>
            <c:strRef>
              <c:f>'ALG-ECO'!$F$11:$F$15</c:f>
              <c:strCache>
                <c:ptCount val="5"/>
                <c:pt idx="0">
                  <c:v>ISLAS BALEARES</c:v>
                </c:pt>
                <c:pt idx="1">
                  <c:v>ANDALUCÍA</c:v>
                </c:pt>
                <c:pt idx="2">
                  <c:v>MURCIA</c:v>
                </c:pt>
                <c:pt idx="3">
                  <c:v>CATALUÑA</c:v>
                </c:pt>
                <c:pt idx="4">
                  <c:v>C. VALENCIANA</c:v>
                </c:pt>
              </c:strCache>
            </c:strRef>
          </c:cat>
          <c:val>
            <c:numRef>
              <c:f>'ALG-ECO'!$H$11:$H$15</c:f>
              <c:numCache>
                <c:formatCode>#,##0</c:formatCode>
                <c:ptCount val="5"/>
                <c:pt idx="0">
                  <c:v>2551.31</c:v>
                </c:pt>
                <c:pt idx="1">
                  <c:v>1048.7899999999997</c:v>
                </c:pt>
                <c:pt idx="2">
                  <c:v>712.47</c:v>
                </c:pt>
                <c:pt idx="3">
                  <c:v>3622.090000000007</c:v>
                </c:pt>
                <c:pt idx="4">
                  <c:v>7601.6</c:v>
                </c:pt>
              </c:numCache>
            </c:numRef>
          </c:val>
          <c:extLst>
            <c:ext xmlns:c16="http://schemas.microsoft.com/office/drawing/2014/chart" uri="{C3380CC4-5D6E-409C-BE32-E72D297353CC}">
              <c16:uniqueId val="{00000001-DFE6-460C-A92B-00A5E0C8FC10}"/>
            </c:ext>
          </c:extLst>
        </c:ser>
        <c:ser>
          <c:idx val="0"/>
          <c:order val="1"/>
          <c:tx>
            <c:strRef>
              <c:f>'ALG-ECO'!$G$10</c:f>
              <c:strCache>
                <c:ptCount val="1"/>
                <c:pt idx="0">
                  <c:v>RSU REGEPA ECOLÓGICA 2021</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9D20F8D3-BFC5-4141-8CC2-EA490A39834C}"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06F-43FE-9207-6ABFA5BDAE9F}"/>
                </c:ext>
              </c:extLst>
            </c:dLbl>
            <c:dLbl>
              <c:idx val="1"/>
              <c:tx>
                <c:rich>
                  <a:bodyPr/>
                  <a:lstStyle/>
                  <a:p>
                    <a:fld id="{F4798B95-F352-4C8A-AFAF-E710CC7D5DA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06F-43FE-9207-6ABFA5BDAE9F}"/>
                </c:ext>
              </c:extLst>
            </c:dLbl>
            <c:dLbl>
              <c:idx val="2"/>
              <c:tx>
                <c:rich>
                  <a:bodyPr/>
                  <a:lstStyle/>
                  <a:p>
                    <a:fld id="{80BC77A0-82E5-4B2A-A39D-A98BB127FFC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6F-43FE-9207-6ABFA5BDAE9F}"/>
                </c:ext>
              </c:extLst>
            </c:dLbl>
            <c:dLbl>
              <c:idx val="3"/>
              <c:tx>
                <c:rich>
                  <a:bodyPr/>
                  <a:lstStyle/>
                  <a:p>
                    <a:fld id="{7A06F32F-9D45-4623-B35D-5734B332B32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6F-43FE-9207-6ABFA5BDAE9F}"/>
                </c:ext>
              </c:extLst>
            </c:dLbl>
            <c:dLbl>
              <c:idx val="4"/>
              <c:tx>
                <c:rich>
                  <a:bodyPr/>
                  <a:lstStyle/>
                  <a:p>
                    <a:fld id="{1704503C-6E8B-4EAD-9DE7-D85C4D0095C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6F-43FE-9207-6ABFA5BDAE9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'ALG-ECO'!$F$11:$F$15</c:f>
              <c:strCache>
                <c:ptCount val="5"/>
                <c:pt idx="0">
                  <c:v>ISLAS BALEARES</c:v>
                </c:pt>
                <c:pt idx="1">
                  <c:v>ANDALUCÍA</c:v>
                </c:pt>
                <c:pt idx="2">
                  <c:v>MURCIA</c:v>
                </c:pt>
                <c:pt idx="3">
                  <c:v>CATALUÑA</c:v>
                </c:pt>
                <c:pt idx="4">
                  <c:v>C. VALENCIANA</c:v>
                </c:pt>
              </c:strCache>
            </c:strRef>
          </c:cat>
          <c:val>
            <c:numRef>
              <c:f>'ALG-ECO'!$G$11:$G$15</c:f>
              <c:numCache>
                <c:formatCode>#,##0</c:formatCode>
                <c:ptCount val="5"/>
                <c:pt idx="0">
                  <c:v>410.35</c:v>
                </c:pt>
                <c:pt idx="1">
                  <c:v>320.04999999999995</c:v>
                </c:pt>
                <c:pt idx="2">
                  <c:v>256.08</c:v>
                </c:pt>
                <c:pt idx="3">
                  <c:v>247.96000000000006</c:v>
                </c:pt>
                <c:pt idx="4">
                  <c:v>176.76000000000002</c:v>
                </c:pt>
              </c:numCache>
            </c:numRef>
          </c:val>
          <c:extLst>
            <c:ext xmlns:c15="http://schemas.microsoft.com/office/drawing/2012/chart" uri="{02D57815-91ED-43cb-92C2-25804820EDAC}">
              <c15:datalabelsRange>
                <c15:f>'ALG-ECO'!$I$11:$I$15</c15:f>
                <c15:dlblRangeCache>
                  <c:ptCount val="5"/>
                  <c:pt idx="0">
                    <c:v>16%</c:v>
                  </c:pt>
                  <c:pt idx="1">
                    <c:v>31%</c:v>
                  </c:pt>
                  <c:pt idx="2">
                    <c:v>36%</c:v>
                  </c:pt>
                  <c:pt idx="3">
                    <c:v>7%</c:v>
                  </c:pt>
                  <c:pt idx="4">
                    <c:v>2%</c:v>
                  </c:pt>
                </c15:dlblRangeCache>
              </c15:datalabelsRange>
            </c:ext>
            <c:ext xmlns:c16="http://schemas.microsoft.com/office/drawing/2014/chart" uri="{C3380CC4-5D6E-409C-BE32-E72D297353CC}">
              <c16:uniqueId val="{00000000-DFE6-460C-A92B-00A5E0C8FC10}"/>
            </c:ext>
          </c:extLst>
        </c:ser>
        <c:dLbls>
          <c:dLblPos val="outEnd"/>
          <c:showLegendKey val="0"/>
          <c:showVal val="1"/>
          <c:showCatName val="0"/>
          <c:showSerName val="0"/>
          <c:showPercent val="0"/>
          <c:showBubbleSize val="0"/>
        </c:dLbls>
        <c:gapWidth val="150"/>
        <c:axId val="96720688"/>
        <c:axId val="96714160"/>
      </c:barChart>
      <c:catAx>
        <c:axId val="96720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4160"/>
        <c:crosses val="autoZero"/>
        <c:auto val="1"/>
        <c:lblAlgn val="ctr"/>
        <c:lblOffset val="100"/>
        <c:noMultiLvlLbl val="0"/>
      </c:catAx>
      <c:valAx>
        <c:axId val="9671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2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a:t>Algarrobo Secano Ecológico: </a:t>
            </a:r>
            <a:r>
              <a:rPr lang="es-ES" sz="1400" b="0"/>
              <a:t>Distribución autonómica de la superficie plantada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32050907372731569"/>
          <c:y val="0.300838801399825"/>
          <c:w val="0.39231926920182697"/>
          <c:h val="0.65378536016331279"/>
        </c:manualLayout>
      </c:layout>
      <c:pieChart>
        <c:varyColors val="1"/>
        <c:ser>
          <c:idx val="0"/>
          <c:order val="0"/>
          <c:dPt>
            <c:idx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52C8-49BE-A6FD-86254CB2823B}"/>
              </c:ext>
            </c:extLst>
          </c:dPt>
          <c:dPt>
            <c:idx val="3"/>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52C8-49BE-A6FD-86254CB2823B}"/>
              </c:ext>
            </c:extLst>
          </c:dPt>
          <c:dPt>
            <c:idx val="4"/>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52C8-49BE-A6FD-86254CB2823B}"/>
              </c:ext>
            </c:extLst>
          </c:dPt>
          <c:dLbls>
            <c:dLbl>
              <c:idx val="0"/>
              <c:layout>
                <c:manualLayout>
                  <c:x val="-0.14747239533938492"/>
                  <c:y val="0.171139640153676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B82-4144-A86D-53A298ED97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'ALG-ECO'!$F$11:$F$15</c:f>
              <c:strCache>
                <c:ptCount val="5"/>
                <c:pt idx="0">
                  <c:v>ISLAS BALEARES</c:v>
                </c:pt>
                <c:pt idx="1">
                  <c:v>ANDALUCÍA</c:v>
                </c:pt>
                <c:pt idx="2">
                  <c:v>MURCIA</c:v>
                </c:pt>
                <c:pt idx="3">
                  <c:v>CATALUÑA</c:v>
                </c:pt>
                <c:pt idx="4">
                  <c:v>C. VALENCIANA</c:v>
                </c:pt>
              </c:strCache>
            </c:strRef>
          </c:cat>
          <c:val>
            <c:numRef>
              <c:f>('ALG-EDAD'!$AA$202,'ALG-EDAD'!$AA$180,'ALG-EDAD'!$AA$204,'ALG-EDAD'!$AA$196,'ALG-EDAD'!$AA$192)</c:f>
              <c:numCache>
                <c:formatCode>0%</c:formatCode>
                <c:ptCount val="5"/>
                <c:pt idx="0">
                  <c:v>0.29071291435534491</c:v>
                </c:pt>
                <c:pt idx="1">
                  <c:v>0.22673977882156243</c:v>
                </c:pt>
                <c:pt idx="2">
                  <c:v>0.18142016110178316</c:v>
                </c:pt>
                <c:pt idx="3">
                  <c:v>0.17566753806153607</c:v>
                </c:pt>
                <c:pt idx="4">
                  <c:v>0.12522581879237424</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baseline="0"/>
              <a:t>Algarrobo Regadío</a:t>
            </a:r>
            <a:r>
              <a:rPr lang="es-ES" b="1"/>
              <a:t>: </a:t>
            </a:r>
            <a:r>
              <a:rPr lang="es-ES"/>
              <a:t>RSU REGEPA </a:t>
            </a:r>
            <a:r>
              <a:rPr lang="es-ES" u="none"/>
              <a:t>ECOLÓGICA</a:t>
            </a:r>
            <a:r>
              <a:rPr lang="es-ES" u="none" baseline="0"/>
              <a:t> </a:t>
            </a:r>
            <a:r>
              <a:rPr lang="es-ES" u="none"/>
              <a:t>vs</a:t>
            </a:r>
            <a:r>
              <a:rPr lang="es-ES"/>
              <a:t> RSU</a:t>
            </a:r>
            <a:r>
              <a:rPr lang="es-ES" baseline="0"/>
              <a:t> REGEPA </a:t>
            </a:r>
            <a:r>
              <a:rPr lang="es-ES"/>
              <a:t>(2021)</a:t>
            </a:r>
          </a:p>
        </c:rich>
      </c:tx>
      <c:layout>
        <c:manualLayout>
          <c:xMode val="edge"/>
          <c:yMode val="edge"/>
          <c:x val="0.17041031409535348"/>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strRef>
              <c:f>'ALG-ECO'!$H$10</c:f>
              <c:strCache>
                <c:ptCount val="1"/>
                <c:pt idx="0">
                  <c:v>RSU REGEPA  2021</c:v>
                </c:pt>
              </c:strCache>
            </c:strRef>
          </c:tx>
          <c:spPr>
            <a:solidFill>
              <a:schemeClr val="accent6">
                <a:tint val="77000"/>
              </a:schemeClr>
            </a:solidFill>
            <a:ln>
              <a:solidFill>
                <a:schemeClr val="accent6">
                  <a:lumMod val="75000"/>
                </a:schemeClr>
              </a:solidFill>
            </a:ln>
            <a:effectLst/>
          </c:spPr>
          <c:invertIfNegative val="0"/>
          <c:dLbls>
            <c:delete val="1"/>
          </c:dLbls>
          <c:cat>
            <c:strRef>
              <c:f>'ALG-ECO'!$F$42:$F$44</c:f>
              <c:strCache>
                <c:ptCount val="3"/>
                <c:pt idx="0">
                  <c:v>ANDALUCÍA</c:v>
                </c:pt>
                <c:pt idx="1">
                  <c:v>CATALUÑA</c:v>
                </c:pt>
                <c:pt idx="2">
                  <c:v>C. VALENCIANA</c:v>
                </c:pt>
              </c:strCache>
            </c:strRef>
          </c:cat>
          <c:val>
            <c:numRef>
              <c:f>'ALG-ECO'!$H$42:$H$44</c:f>
              <c:numCache>
                <c:formatCode>#,##0</c:formatCode>
                <c:ptCount val="3"/>
                <c:pt idx="0">
                  <c:v>103.41</c:v>
                </c:pt>
                <c:pt idx="1">
                  <c:v>443.97000000000014</c:v>
                </c:pt>
                <c:pt idx="2">
                  <c:v>136.87000000000003</c:v>
                </c:pt>
              </c:numCache>
            </c:numRef>
          </c:val>
          <c:extLst>
            <c:ext xmlns:c16="http://schemas.microsoft.com/office/drawing/2014/chart" uri="{C3380CC4-5D6E-409C-BE32-E72D297353CC}">
              <c16:uniqueId val="{00000001-DFE6-460C-A92B-00A5E0C8FC10}"/>
            </c:ext>
          </c:extLst>
        </c:ser>
        <c:ser>
          <c:idx val="0"/>
          <c:order val="1"/>
          <c:tx>
            <c:strRef>
              <c:f>'ALG-ECO'!$G$10</c:f>
              <c:strCache>
                <c:ptCount val="1"/>
                <c:pt idx="0">
                  <c:v>RSU REGEPA ECOLÓGICA 2021</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FD2677E1-B47D-4513-96CE-05EA935347B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88E-48EC-85B5-393B635A5924}"/>
                </c:ext>
              </c:extLst>
            </c:dLbl>
            <c:dLbl>
              <c:idx val="1"/>
              <c:tx>
                <c:rich>
                  <a:bodyPr/>
                  <a:lstStyle/>
                  <a:p>
                    <a:fld id="{715EB2A5-31BE-496F-ABD1-9A43DD949EE2}"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88E-48EC-85B5-393B635A5924}"/>
                </c:ext>
              </c:extLst>
            </c:dLbl>
            <c:dLbl>
              <c:idx val="2"/>
              <c:tx>
                <c:rich>
                  <a:bodyPr/>
                  <a:lstStyle/>
                  <a:p>
                    <a:fld id="{06870513-2407-40BC-ABCC-170C106B78BA}"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88E-48EC-85B5-393B635A592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'ALG-ECO'!$F$42:$F$44</c:f>
              <c:strCache>
                <c:ptCount val="3"/>
                <c:pt idx="0">
                  <c:v>ANDALUCÍA</c:v>
                </c:pt>
                <c:pt idx="1">
                  <c:v>CATALUÑA</c:v>
                </c:pt>
                <c:pt idx="2">
                  <c:v>C. VALENCIANA</c:v>
                </c:pt>
              </c:strCache>
            </c:strRef>
          </c:cat>
          <c:val>
            <c:numRef>
              <c:f>'ALG-ECO'!$G$42:$G$44</c:f>
              <c:numCache>
                <c:formatCode>#,##0</c:formatCode>
                <c:ptCount val="3"/>
                <c:pt idx="0">
                  <c:v>98.759999999999991</c:v>
                </c:pt>
                <c:pt idx="1">
                  <c:v>19.57</c:v>
                </c:pt>
                <c:pt idx="2">
                  <c:v>13.1</c:v>
                </c:pt>
              </c:numCache>
            </c:numRef>
          </c:val>
          <c:extLst>
            <c:ext xmlns:c15="http://schemas.microsoft.com/office/drawing/2012/chart" uri="{02D57815-91ED-43cb-92C2-25804820EDAC}">
              <c15:datalabelsRange>
                <c15:f>'ALG-ECO'!$I$42:$I$44</c15:f>
                <c15:dlblRangeCache>
                  <c:ptCount val="3"/>
                  <c:pt idx="0">
                    <c:v>96%</c:v>
                  </c:pt>
                  <c:pt idx="1">
                    <c:v>4%</c:v>
                  </c:pt>
                  <c:pt idx="2">
                    <c:v>10%</c:v>
                  </c:pt>
                </c15:dlblRangeCache>
              </c15:datalabelsRange>
            </c:ext>
            <c:ext xmlns:c16="http://schemas.microsoft.com/office/drawing/2014/chart" uri="{C3380CC4-5D6E-409C-BE32-E72D297353CC}">
              <c16:uniqueId val="{00000000-DFE6-460C-A92B-00A5E0C8FC10}"/>
            </c:ext>
          </c:extLst>
        </c:ser>
        <c:dLbls>
          <c:dLblPos val="outEnd"/>
          <c:showLegendKey val="0"/>
          <c:showVal val="1"/>
          <c:showCatName val="0"/>
          <c:showSerName val="0"/>
          <c:showPercent val="0"/>
          <c:showBubbleSize val="0"/>
        </c:dLbls>
        <c:gapWidth val="150"/>
        <c:axId val="96707088"/>
        <c:axId val="96716336"/>
      </c:barChart>
      <c:catAx>
        <c:axId val="96707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16336"/>
        <c:crosses val="autoZero"/>
        <c:auto val="1"/>
        <c:lblAlgn val="ctr"/>
        <c:lblOffset val="100"/>
        <c:noMultiLvlLbl val="0"/>
      </c:catAx>
      <c:valAx>
        <c:axId val="96716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layout>
            <c:manualLayout>
              <c:xMode val="edge"/>
              <c:yMode val="edge"/>
              <c:x val="1.7593463543434381E-2"/>
              <c:y val="0.35943185558396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07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Frutos Secos: </a:t>
            </a:r>
            <a:r>
              <a:rPr lang="es-ES" sz="1400" b="0"/>
              <a:t>Porcentaje de nuevas plantaciones sobre la superficie total registrada</a:t>
            </a:r>
            <a:endParaRPr lang="es-ES" b="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'FRUTOS SECOS TOTAL'!$D$59</c:f>
              <c:strCache>
                <c:ptCount val="1"/>
                <c:pt idx="0">
                  <c:v>TOTAL</c:v>
                </c:pt>
              </c:strCache>
            </c:strRef>
          </c:tx>
          <c:spPr>
            <a:solidFill>
              <a:srgbClr val="D7AE8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TOTAL'!$A$60:$A$65</c:f>
              <c:strCache>
                <c:ptCount val="6"/>
                <c:pt idx="0">
                  <c:v>ALMENDRO</c:v>
                </c:pt>
                <c:pt idx="1">
                  <c:v>PISTACHO</c:v>
                </c:pt>
                <c:pt idx="2">
                  <c:v>AVELLANO</c:v>
                </c:pt>
                <c:pt idx="3">
                  <c:v>ALGARROBO</c:v>
                </c:pt>
                <c:pt idx="4">
                  <c:v>CASTAÑO </c:v>
                </c:pt>
                <c:pt idx="5">
                  <c:v>NOGAL</c:v>
                </c:pt>
              </c:strCache>
            </c:strRef>
          </c:cat>
          <c:val>
            <c:numRef>
              <c:f>'FRUTOS SECOS TOTAL'!$D$60:$D$65</c:f>
              <c:numCache>
                <c:formatCode>0%</c:formatCode>
                <c:ptCount val="6"/>
                <c:pt idx="0">
                  <c:v>0.16620526406879038</c:v>
                </c:pt>
                <c:pt idx="1">
                  <c:v>0.58329251747203825</c:v>
                </c:pt>
                <c:pt idx="2">
                  <c:v>5.0969815843957759E-2</c:v>
                </c:pt>
                <c:pt idx="3">
                  <c:v>3.2823100479829732E-2</c:v>
                </c:pt>
                <c:pt idx="4">
                  <c:v>3.7997909695735931E-2</c:v>
                </c:pt>
                <c:pt idx="5">
                  <c:v>0.32921012991523407</c:v>
                </c:pt>
              </c:numCache>
            </c:numRef>
          </c:val>
          <c:extLst>
            <c:ext xmlns:c16="http://schemas.microsoft.com/office/drawing/2014/chart" uri="{C3380CC4-5D6E-409C-BE32-E72D297353CC}">
              <c16:uniqueId val="{00000000-29BE-45D3-8F51-2E6E211E9CEF}"/>
            </c:ext>
          </c:extLst>
        </c:ser>
        <c:dLbls>
          <c:showLegendKey val="0"/>
          <c:showVal val="0"/>
          <c:showCatName val="0"/>
          <c:showSerName val="0"/>
          <c:showPercent val="0"/>
          <c:showBubbleSize val="0"/>
        </c:dLbls>
        <c:gapWidth val="115"/>
        <c:overlap val="-20"/>
        <c:axId val="1175139247"/>
        <c:axId val="1175125519"/>
      </c:barChart>
      <c:catAx>
        <c:axId val="1175139247"/>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crossAx val="1175125519"/>
        <c:crosses val="autoZero"/>
        <c:auto val="1"/>
        <c:lblAlgn val="ctr"/>
        <c:lblOffset val="100"/>
        <c:noMultiLvlLbl val="0"/>
      </c:catAx>
      <c:valAx>
        <c:axId val="117512551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51392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s-ES" sz="1400"/>
              <a:t>Algarrobo Regadío Ecológico: </a:t>
            </a:r>
            <a:r>
              <a:rPr lang="es-ES" sz="1400" b="0"/>
              <a:t>Distribución autonómica de la superficie plantada</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32050907372731569"/>
          <c:y val="0.300838801399825"/>
          <c:w val="0.39231926920182697"/>
          <c:h val="0.65378536016331279"/>
        </c:manualLayout>
      </c:layout>
      <c:pieChart>
        <c:varyColors val="1"/>
        <c:ser>
          <c:idx val="0"/>
          <c:order val="0"/>
          <c:dPt>
            <c:idx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B82-4144-A86D-53A298ED977E}"/>
              </c:ext>
            </c:extLst>
          </c:dPt>
          <c:dPt>
            <c:idx val="1"/>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AB82-4144-A86D-53A298ED977E}"/>
              </c:ext>
            </c:extLst>
          </c:dPt>
          <c:dPt>
            <c:idx val="2"/>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D116-4164-8346-5AF06C9FDE5B}"/>
              </c:ext>
            </c:extLst>
          </c:dPt>
          <c:dLbls>
            <c:dLbl>
              <c:idx val="0"/>
              <c:layout>
                <c:manualLayout>
                  <c:x val="-0.1386107792491881"/>
                  <c:y val="-0.2246124683132557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B82-4144-A86D-53A298ED977E}"/>
                </c:ext>
              </c:extLst>
            </c:dLbl>
            <c:dLbl>
              <c:idx val="1"/>
              <c:layout>
                <c:manualLayout>
                  <c:x val="0.14229980050049876"/>
                  <c:y val="0.1082935987168270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B82-4144-A86D-53A298ED977E}"/>
                </c:ext>
              </c:extLst>
            </c:dLbl>
            <c:dLbl>
              <c:idx val="2"/>
              <c:layout>
                <c:manualLayout>
                  <c:x val="6.8289860525348689E-2"/>
                  <c:y val="3.093722659667541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116-4164-8346-5AF06C9FDE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'ALG-ECO'!$F$42:$F$44</c:f>
              <c:strCache>
                <c:ptCount val="3"/>
                <c:pt idx="0">
                  <c:v>ANDALUCÍA</c:v>
                </c:pt>
                <c:pt idx="1">
                  <c:v>CATALUÑA</c:v>
                </c:pt>
                <c:pt idx="2">
                  <c:v>C. VALENCIANA</c:v>
                </c:pt>
              </c:strCache>
            </c:strRef>
          </c:cat>
          <c:val>
            <c:numRef>
              <c:f>('ALG-EDAD'!$AA$225,'ALG-EDAD'!$AA$236,'ALG-EDAD'!$AA$232)</c:f>
              <c:numCache>
                <c:formatCode>0%</c:formatCode>
                <c:ptCount val="3"/>
                <c:pt idx="0">
                  <c:v>0.72484403669724762</c:v>
                </c:pt>
                <c:pt idx="1">
                  <c:v>0.14363302752293575</c:v>
                </c:pt>
                <c:pt idx="2">
                  <c:v>9.6146788990825668E-2</c:v>
                </c:pt>
              </c:numCache>
            </c:numRef>
          </c:val>
          <c:extLst>
            <c:ext xmlns:c16="http://schemas.microsoft.com/office/drawing/2014/chart" uri="{C3380CC4-5D6E-409C-BE32-E72D297353CC}">
              <c16:uniqueId val="{0000000A-AB82-4144-A86D-53A298ED977E}"/>
            </c:ext>
          </c:extLst>
        </c:ser>
        <c:dLbls>
          <c:showLegendKey val="0"/>
          <c:showVal val="0"/>
          <c:showCatName val="1"/>
          <c:showSerName val="0"/>
          <c:showPercent val="1"/>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Secano</a:t>
            </a:r>
            <a:r>
              <a:rPr lang="es-ES" b="1" baseline="0">
                <a:solidFill>
                  <a:sysClr val="windowText" lastClr="000000"/>
                </a:solidFill>
              </a:rPr>
              <a:t>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6"/>
            </a:solidFill>
            <a:ln>
              <a:noFill/>
            </a:ln>
            <a:effectLst/>
          </c:spPr>
          <c:invertIfNegative val="0"/>
          <c:cat>
            <c:strRef>
              <c:extLst>
                <c:ext xmlns:c15="http://schemas.microsoft.com/office/drawing/2012/chart" uri="{02D57815-91ED-43cb-92C2-25804820EDAC}">
                  <c15:fullRef>
                    <c15:sqref>'ALM-EDAD'!$B$318:$X$318</c15:sqref>
                  </c15:fullRef>
                </c:ext>
              </c:extLst>
              <c:f>'ALM-EDAD'!$C$318:$X$318</c:f>
              <c:strCach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strCache>
            </c:strRef>
          </c:cat>
          <c:val>
            <c:numRef>
              <c:extLst>
                <c:ext xmlns:c15="http://schemas.microsoft.com/office/drawing/2012/chart" uri="{02D57815-91ED-43cb-92C2-25804820EDAC}">
                  <c15:fullRef>
                    <c15:sqref>'ALM-EDAD'!$B$370:$X$370</c15:sqref>
                  </c15:fullRef>
                </c:ext>
              </c:extLst>
              <c:f>'ALM-EDAD'!$C$370:$X$370</c:f>
              <c:numCache>
                <c:formatCode>#,##0</c:formatCode>
                <c:ptCount val="22"/>
                <c:pt idx="0">
                  <c:v>6254.91</c:v>
                </c:pt>
                <c:pt idx="1">
                  <c:v>843.87999999999988</c:v>
                </c:pt>
                <c:pt idx="2">
                  <c:v>722.69999999999993</c:v>
                </c:pt>
                <c:pt idx="3">
                  <c:v>815.16</c:v>
                </c:pt>
                <c:pt idx="4">
                  <c:v>1518.6899999999998</c:v>
                </c:pt>
                <c:pt idx="5">
                  <c:v>1834.23</c:v>
                </c:pt>
                <c:pt idx="6">
                  <c:v>1257.5699999999997</c:v>
                </c:pt>
                <c:pt idx="7">
                  <c:v>1746.9599999999998</c:v>
                </c:pt>
                <c:pt idx="8">
                  <c:v>1103.3600000000001</c:v>
                </c:pt>
                <c:pt idx="9">
                  <c:v>1465.4099999999999</c:v>
                </c:pt>
                <c:pt idx="10">
                  <c:v>1865.31</c:v>
                </c:pt>
                <c:pt idx="11">
                  <c:v>768.7399999999999</c:v>
                </c:pt>
                <c:pt idx="12">
                  <c:v>1040.9400000000005</c:v>
                </c:pt>
                <c:pt idx="13">
                  <c:v>1751.82</c:v>
                </c:pt>
                <c:pt idx="14">
                  <c:v>2964.2000000000003</c:v>
                </c:pt>
                <c:pt idx="15">
                  <c:v>7018.4699999999993</c:v>
                </c:pt>
                <c:pt idx="16">
                  <c:v>8264.260000000002</c:v>
                </c:pt>
                <c:pt idx="17">
                  <c:v>7919.01</c:v>
                </c:pt>
                <c:pt idx="18">
                  <c:v>4867.199999999998</c:v>
                </c:pt>
                <c:pt idx="19">
                  <c:v>4581.7200000000012</c:v>
                </c:pt>
                <c:pt idx="20">
                  <c:v>4301.1099999999988</c:v>
                </c:pt>
                <c:pt idx="21">
                  <c:v>3643.8599999999997</c:v>
                </c:pt>
              </c:numCache>
            </c:numRef>
          </c:val>
          <c:extLst>
            <c:ext xmlns:c16="http://schemas.microsoft.com/office/drawing/2014/chart" uri="{C3380CC4-5D6E-409C-BE32-E72D297353CC}">
              <c16:uniqueId val="{00000000-3814-48DA-9A54-7829A60D3E7B}"/>
            </c:ext>
          </c:extLst>
        </c:ser>
        <c:dLbls>
          <c:showLegendKey val="0"/>
          <c:showVal val="0"/>
          <c:showCatName val="0"/>
          <c:showSerName val="0"/>
          <c:showPercent val="0"/>
          <c:showBubbleSize val="0"/>
        </c:dLbls>
        <c:gapWidth val="219"/>
        <c:overlap val="-27"/>
        <c:axId val="96709808"/>
        <c:axId val="96710352"/>
      </c:barChart>
      <c:catAx>
        <c:axId val="9670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6710352"/>
        <c:crosses val="autoZero"/>
        <c:auto val="1"/>
        <c:lblAlgn val="ctr"/>
        <c:lblOffset val="100"/>
        <c:noMultiLvlLbl val="0"/>
      </c:catAx>
      <c:valAx>
        <c:axId val="9671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67098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Almendro Secano</a:t>
            </a:r>
            <a:r>
              <a:rPr lang="en-US" b="1" baseline="0"/>
              <a:t> Ecológico:</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'ALM-EDAD'!$AK$336</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f>'ALM-EDAD'!$AI$337:$AI$346</c:f>
              <c:strCache>
                <c:ptCount val="10"/>
                <c:pt idx="0">
                  <c:v>GRANADA</c:v>
                </c:pt>
                <c:pt idx="1">
                  <c:v>MURCIA</c:v>
                </c:pt>
                <c:pt idx="2">
                  <c:v>ALBACETE</c:v>
                </c:pt>
                <c:pt idx="3">
                  <c:v>CUENCA</c:v>
                </c:pt>
                <c:pt idx="4">
                  <c:v>CIUDAD REAL</c:v>
                </c:pt>
                <c:pt idx="5">
                  <c:v>TOLEDO</c:v>
                </c:pt>
                <c:pt idx="6">
                  <c:v>ALMERÍA</c:v>
                </c:pt>
                <c:pt idx="7">
                  <c:v>VALENCIA</c:v>
                </c:pt>
                <c:pt idx="8">
                  <c:v>ZARAGOZA</c:v>
                </c:pt>
                <c:pt idx="9">
                  <c:v>ALICANTE</c:v>
                </c:pt>
              </c:strCache>
            </c:strRef>
          </c:cat>
          <c:val>
            <c:numRef>
              <c:f>'ALM-EDAD'!$AK$337:$AK$346</c:f>
              <c:numCache>
                <c:formatCode>#,##0</c:formatCode>
                <c:ptCount val="10"/>
                <c:pt idx="0">
                  <c:v>26208.13</c:v>
                </c:pt>
                <c:pt idx="1">
                  <c:v>28544.009999999995</c:v>
                </c:pt>
                <c:pt idx="2">
                  <c:v>12856.919999999996</c:v>
                </c:pt>
                <c:pt idx="3">
                  <c:v>5584.3099999999977</c:v>
                </c:pt>
                <c:pt idx="4">
                  <c:v>3145.1800000000003</c:v>
                </c:pt>
                <c:pt idx="5">
                  <c:v>3846.29</c:v>
                </c:pt>
                <c:pt idx="6">
                  <c:v>8736.5499999999993</c:v>
                </c:pt>
                <c:pt idx="7">
                  <c:v>4651.6600000000008</c:v>
                </c:pt>
                <c:pt idx="8">
                  <c:v>2328.0499999999997</c:v>
                </c:pt>
                <c:pt idx="9">
                  <c:v>3286.2200000000007</c:v>
                </c:pt>
              </c:numCache>
            </c:numRef>
          </c:val>
          <c:extLst>
            <c:ext xmlns:c16="http://schemas.microsoft.com/office/drawing/2014/chart" uri="{C3380CC4-5D6E-409C-BE32-E72D297353CC}">
              <c16:uniqueId val="{00000000-6597-4733-AF86-C7350D0F6BE8}"/>
            </c:ext>
          </c:extLst>
        </c:ser>
        <c:ser>
          <c:idx val="0"/>
          <c:order val="1"/>
          <c:tx>
            <c:strRef>
              <c:f>'ALM-EDAD'!$AJ$336</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F55C6B83-F143-439B-8676-3C925918BC81}"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97-4733-AF86-C7350D0F6BE8}"/>
                </c:ext>
              </c:extLst>
            </c:dLbl>
            <c:dLbl>
              <c:idx val="1"/>
              <c:tx>
                <c:rich>
                  <a:bodyPr/>
                  <a:lstStyle/>
                  <a:p>
                    <a:fld id="{2C21D002-0064-4A0C-BF0F-80C51E1D3E7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97-4733-AF86-C7350D0F6BE8}"/>
                </c:ext>
              </c:extLst>
            </c:dLbl>
            <c:dLbl>
              <c:idx val="2"/>
              <c:tx>
                <c:rich>
                  <a:bodyPr/>
                  <a:lstStyle/>
                  <a:p>
                    <a:fld id="{D5468B9E-C4EF-45F6-841C-E7CD068BADC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97-4733-AF86-C7350D0F6BE8}"/>
                </c:ext>
              </c:extLst>
            </c:dLbl>
            <c:dLbl>
              <c:idx val="3"/>
              <c:tx>
                <c:rich>
                  <a:bodyPr/>
                  <a:lstStyle/>
                  <a:p>
                    <a:fld id="{0D1FB579-DF53-4FF7-BE29-C1B861CA3B5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97-4733-AF86-C7350D0F6BE8}"/>
                </c:ext>
              </c:extLst>
            </c:dLbl>
            <c:dLbl>
              <c:idx val="4"/>
              <c:tx>
                <c:rich>
                  <a:bodyPr/>
                  <a:lstStyle/>
                  <a:p>
                    <a:fld id="{87E043D5-70B2-4982-AA3A-377506514E5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97-4733-AF86-C7350D0F6BE8}"/>
                </c:ext>
              </c:extLst>
            </c:dLbl>
            <c:dLbl>
              <c:idx val="5"/>
              <c:tx>
                <c:rich>
                  <a:bodyPr/>
                  <a:lstStyle/>
                  <a:p>
                    <a:fld id="{331BA55B-52E6-4653-90B0-E1C778541D3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97-4733-AF86-C7350D0F6BE8}"/>
                </c:ext>
              </c:extLst>
            </c:dLbl>
            <c:dLbl>
              <c:idx val="6"/>
              <c:tx>
                <c:rich>
                  <a:bodyPr/>
                  <a:lstStyle/>
                  <a:p>
                    <a:fld id="{562C61B3-D4F1-4A0A-91E7-FC555848251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97-4733-AF86-C7350D0F6BE8}"/>
                </c:ext>
              </c:extLst>
            </c:dLbl>
            <c:dLbl>
              <c:idx val="7"/>
              <c:tx>
                <c:rich>
                  <a:bodyPr/>
                  <a:lstStyle/>
                  <a:p>
                    <a:fld id="{25B71827-3164-46C8-88FB-DF1795AE622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97-4733-AF86-C7350D0F6BE8}"/>
                </c:ext>
              </c:extLst>
            </c:dLbl>
            <c:dLbl>
              <c:idx val="8"/>
              <c:tx>
                <c:rich>
                  <a:bodyPr/>
                  <a:lstStyle/>
                  <a:p>
                    <a:fld id="{4EA424E5-9DAF-44A5-852C-6F0DEFCA978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97-4733-AF86-C7350D0F6BE8}"/>
                </c:ext>
              </c:extLst>
            </c:dLbl>
            <c:dLbl>
              <c:idx val="9"/>
              <c:tx>
                <c:rich>
                  <a:bodyPr/>
                  <a:lstStyle/>
                  <a:p>
                    <a:fld id="{082DA5F5-6C5B-4A10-BFDB-F12D5F1DBB3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97-4733-AF86-C7350D0F6B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'ALM-EDAD'!$AI$337:$AI$346</c:f>
              <c:strCache>
                <c:ptCount val="10"/>
                <c:pt idx="0">
                  <c:v>GRANADA</c:v>
                </c:pt>
                <c:pt idx="1">
                  <c:v>MURCIA</c:v>
                </c:pt>
                <c:pt idx="2">
                  <c:v>ALBACETE</c:v>
                </c:pt>
                <c:pt idx="3">
                  <c:v>CUENCA</c:v>
                </c:pt>
                <c:pt idx="4">
                  <c:v>CIUDAD REAL</c:v>
                </c:pt>
                <c:pt idx="5">
                  <c:v>TOLEDO</c:v>
                </c:pt>
                <c:pt idx="6">
                  <c:v>ALMERÍA</c:v>
                </c:pt>
                <c:pt idx="7">
                  <c:v>VALENCIA</c:v>
                </c:pt>
                <c:pt idx="8">
                  <c:v>ZARAGOZA</c:v>
                </c:pt>
                <c:pt idx="9">
                  <c:v>ALICANTE</c:v>
                </c:pt>
              </c:strCache>
            </c:strRef>
          </c:cat>
          <c:val>
            <c:numRef>
              <c:f>'ALM-EDAD'!$AJ$337:$AJ$346</c:f>
              <c:numCache>
                <c:formatCode>#,##0</c:formatCode>
                <c:ptCount val="10"/>
                <c:pt idx="0">
                  <c:v>4710.0499999999993</c:v>
                </c:pt>
                <c:pt idx="1">
                  <c:v>3454.9199999999992</c:v>
                </c:pt>
                <c:pt idx="2">
                  <c:v>2155.2200000000003</c:v>
                </c:pt>
                <c:pt idx="3">
                  <c:v>1398.5199999999998</c:v>
                </c:pt>
                <c:pt idx="4">
                  <c:v>1112.51</c:v>
                </c:pt>
                <c:pt idx="5">
                  <c:v>915.69999999999982</c:v>
                </c:pt>
                <c:pt idx="6">
                  <c:v>814.97</c:v>
                </c:pt>
                <c:pt idx="7">
                  <c:v>535.99</c:v>
                </c:pt>
                <c:pt idx="8">
                  <c:v>389.94999999999993</c:v>
                </c:pt>
                <c:pt idx="9">
                  <c:v>313.23</c:v>
                </c:pt>
              </c:numCache>
            </c:numRef>
          </c:val>
          <c:extLst>
            <c:ext xmlns:c15="http://schemas.microsoft.com/office/drawing/2012/chart" uri="{02D57815-91ED-43cb-92C2-25804820EDAC}">
              <c15:datalabelsRange>
                <c15:f>'ALM-EDAD'!$AL$337:$AL$346</c15:f>
                <c15:dlblRangeCache>
                  <c:ptCount val="10"/>
                  <c:pt idx="0">
                    <c:v>18%</c:v>
                  </c:pt>
                  <c:pt idx="1">
                    <c:v>12%</c:v>
                  </c:pt>
                  <c:pt idx="2">
                    <c:v>17%</c:v>
                  </c:pt>
                  <c:pt idx="3">
                    <c:v>25%</c:v>
                  </c:pt>
                  <c:pt idx="4">
                    <c:v>35%</c:v>
                  </c:pt>
                  <c:pt idx="5">
                    <c:v>24%</c:v>
                  </c:pt>
                  <c:pt idx="6">
                    <c:v>9%</c:v>
                  </c:pt>
                  <c:pt idx="7">
                    <c:v>12%</c:v>
                  </c:pt>
                  <c:pt idx="8">
                    <c:v>17%</c:v>
                  </c:pt>
                  <c:pt idx="9">
                    <c:v>10%</c:v>
                  </c:pt>
                </c15:dlblRangeCache>
              </c15:datalabelsRange>
            </c:ext>
            <c:ext xmlns:c16="http://schemas.microsoft.com/office/drawing/2014/chart" uri="{C3380CC4-5D6E-409C-BE32-E72D297353CC}">
              <c16:uniqueId val="{0000000B-6597-4733-AF86-C7350D0F6BE8}"/>
            </c:ext>
          </c:extLst>
        </c:ser>
        <c:dLbls>
          <c:showLegendKey val="0"/>
          <c:showVal val="0"/>
          <c:showCatName val="0"/>
          <c:showSerName val="0"/>
          <c:showPercent val="0"/>
          <c:showBubbleSize val="0"/>
        </c:dLbls>
        <c:gapWidth val="150"/>
        <c:overlap val="-40"/>
        <c:axId val="96709264"/>
        <c:axId val="96711440"/>
      </c:barChart>
      <c:catAx>
        <c:axId val="96709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96711440"/>
        <c:crosses val="autoZero"/>
        <c:auto val="1"/>
        <c:lblAlgn val="ctr"/>
        <c:lblOffset val="100"/>
        <c:noMultiLvlLbl val="0"/>
      </c:catAx>
      <c:valAx>
        <c:axId val="967114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9670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Secano</a:t>
            </a:r>
            <a:r>
              <a:rPr lang="es-ES" b="1" baseline="0">
                <a:solidFill>
                  <a:sysClr val="windowText" lastClr="000000"/>
                </a:solidFill>
              </a:rPr>
              <a:t> 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'ALM-EDAD'!$AO$334</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A977E1D3-124D-4FEA-97D6-F9BBCA76E65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5AB-4167-9200-0BBC5E29E7C2}"/>
                </c:ext>
              </c:extLst>
            </c:dLbl>
            <c:dLbl>
              <c:idx val="1"/>
              <c:tx>
                <c:rich>
                  <a:bodyPr/>
                  <a:lstStyle/>
                  <a:p>
                    <a:fld id="{F253D9D3-EC4C-454C-9655-57D82229AF0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AB-4167-9200-0BBC5E29E7C2}"/>
                </c:ext>
              </c:extLst>
            </c:dLbl>
            <c:dLbl>
              <c:idx val="2"/>
              <c:tx>
                <c:rich>
                  <a:bodyPr/>
                  <a:lstStyle/>
                  <a:p>
                    <a:fld id="{7BC3D054-7089-497E-9D30-BE803768D90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AB-4167-9200-0BBC5E29E7C2}"/>
                </c:ext>
              </c:extLst>
            </c:dLbl>
            <c:dLbl>
              <c:idx val="3"/>
              <c:tx>
                <c:rich>
                  <a:bodyPr/>
                  <a:lstStyle/>
                  <a:p>
                    <a:fld id="{196D95CC-B97D-435F-B394-C0A2B70A5A6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AB-4167-9200-0BBC5E29E7C2}"/>
                </c:ext>
              </c:extLst>
            </c:dLbl>
            <c:dLbl>
              <c:idx val="4"/>
              <c:tx>
                <c:rich>
                  <a:bodyPr/>
                  <a:lstStyle/>
                  <a:p>
                    <a:fld id="{4AA409E6-7E00-4E37-BC6A-96AD886EB9E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AB-4167-9200-0BBC5E29E7C2}"/>
                </c:ext>
              </c:extLst>
            </c:dLbl>
            <c:dLbl>
              <c:idx val="5"/>
              <c:tx>
                <c:rich>
                  <a:bodyPr/>
                  <a:lstStyle/>
                  <a:p>
                    <a:fld id="{5CA0C7FE-9214-474E-8860-DF9E3409027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AB-4167-9200-0BBC5E29E7C2}"/>
                </c:ext>
              </c:extLst>
            </c:dLbl>
            <c:dLbl>
              <c:idx val="6"/>
              <c:tx>
                <c:rich>
                  <a:bodyPr/>
                  <a:lstStyle/>
                  <a:p>
                    <a:fld id="{80515A28-832B-42F4-B6C1-53C30D2ADF4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AB-4167-9200-0BBC5E29E7C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'ALM-EDAD'!$AN$335:$AN$341</c:f>
              <c:strCache>
                <c:ptCount val="7"/>
                <c:pt idx="0">
                  <c:v>ANDALUCÍA</c:v>
                </c:pt>
                <c:pt idx="1">
                  <c:v>C.-LA MANCHA</c:v>
                </c:pt>
                <c:pt idx="2">
                  <c:v>MURCIA</c:v>
                </c:pt>
                <c:pt idx="3">
                  <c:v>C. VALENCIANA</c:v>
                </c:pt>
                <c:pt idx="4">
                  <c:v>ARAGÓN</c:v>
                </c:pt>
                <c:pt idx="5">
                  <c:v>C. y LEÓN</c:v>
                </c:pt>
                <c:pt idx="6">
                  <c:v>EXTREMADURA</c:v>
                </c:pt>
              </c:strCache>
            </c:strRef>
          </c:cat>
          <c:val>
            <c:numRef>
              <c:f>'ALM-EDAD'!$AO$335:$AO$341</c:f>
              <c:numCache>
                <c:formatCode>#,##0</c:formatCode>
                <c:ptCount val="7"/>
                <c:pt idx="0">
                  <c:v>6094.99</c:v>
                </c:pt>
                <c:pt idx="1">
                  <c:v>5608.75</c:v>
                </c:pt>
                <c:pt idx="2">
                  <c:v>3454.9199999999992</c:v>
                </c:pt>
                <c:pt idx="3">
                  <c:v>866.8</c:v>
                </c:pt>
                <c:pt idx="4">
                  <c:v>734.43</c:v>
                </c:pt>
                <c:pt idx="5">
                  <c:v>283.20999999999998</c:v>
                </c:pt>
                <c:pt idx="6">
                  <c:v>236.58</c:v>
                </c:pt>
              </c:numCache>
            </c:numRef>
          </c:val>
          <c:extLst>
            <c:ext xmlns:c15="http://schemas.microsoft.com/office/drawing/2012/chart" uri="{02D57815-91ED-43cb-92C2-25804820EDAC}">
              <c15:datalabelsRange>
                <c15:f>'ALM-EDAD'!$AQ$335:$AQ$341</c15:f>
                <c15:dlblRangeCache>
                  <c:ptCount val="7"/>
                  <c:pt idx="0">
                    <c:v>16%</c:v>
                  </c:pt>
                  <c:pt idx="1">
                    <c:v>22%</c:v>
                  </c:pt>
                  <c:pt idx="2">
                    <c:v>12%</c:v>
                  </c:pt>
                  <c:pt idx="3">
                    <c:v>10%</c:v>
                  </c:pt>
                  <c:pt idx="4">
                    <c:v>12%</c:v>
                  </c:pt>
                  <c:pt idx="5">
                    <c:v>63%</c:v>
                  </c:pt>
                  <c:pt idx="6">
                    <c:v>25%</c:v>
                  </c:pt>
                </c15:dlblRangeCache>
              </c15:datalabelsRange>
            </c:ext>
            <c:ext xmlns:c16="http://schemas.microsoft.com/office/drawing/2014/chart" uri="{C3380CC4-5D6E-409C-BE32-E72D297353CC}">
              <c16:uniqueId val="{00000007-65AB-4167-9200-0BBC5E29E7C2}"/>
            </c:ext>
          </c:extLst>
        </c:ser>
        <c:ser>
          <c:idx val="1"/>
          <c:order val="1"/>
          <c:tx>
            <c:strRef>
              <c:f>'ALM-EDAD'!$AP$334</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f>'ALM-EDAD'!$AN$335:$AN$341</c:f>
              <c:strCache>
                <c:ptCount val="7"/>
                <c:pt idx="0">
                  <c:v>ANDALUCÍA</c:v>
                </c:pt>
                <c:pt idx="1">
                  <c:v>C.-LA MANCHA</c:v>
                </c:pt>
                <c:pt idx="2">
                  <c:v>MURCIA</c:v>
                </c:pt>
                <c:pt idx="3">
                  <c:v>C. VALENCIANA</c:v>
                </c:pt>
                <c:pt idx="4">
                  <c:v>ARAGÓN</c:v>
                </c:pt>
                <c:pt idx="5">
                  <c:v>C. y LEÓN</c:v>
                </c:pt>
                <c:pt idx="6">
                  <c:v>EXTREMADURA</c:v>
                </c:pt>
              </c:strCache>
            </c:strRef>
          </c:cat>
          <c:val>
            <c:numRef>
              <c:f>'ALM-EDAD'!$AP$335:$AP$341</c:f>
              <c:numCache>
                <c:formatCode>#,##0</c:formatCode>
                <c:ptCount val="7"/>
                <c:pt idx="0">
                  <c:v>37133.65</c:v>
                </c:pt>
                <c:pt idx="1">
                  <c:v>25518.689999999995</c:v>
                </c:pt>
                <c:pt idx="2">
                  <c:v>28544.009999999995</c:v>
                </c:pt>
                <c:pt idx="3">
                  <c:v>8689.4400000000023</c:v>
                </c:pt>
                <c:pt idx="4">
                  <c:v>6175.1700000000028</c:v>
                </c:pt>
                <c:pt idx="5">
                  <c:v>452.96999999999997</c:v>
                </c:pt>
                <c:pt idx="6">
                  <c:v>933.6400000000001</c:v>
                </c:pt>
              </c:numCache>
            </c:numRef>
          </c:val>
          <c:extLst>
            <c:ext xmlns:c16="http://schemas.microsoft.com/office/drawing/2014/chart" uri="{C3380CC4-5D6E-409C-BE32-E72D297353CC}">
              <c16:uniqueId val="{00000008-65AB-4167-9200-0BBC5E29E7C2}"/>
            </c:ext>
          </c:extLst>
        </c:ser>
        <c:dLbls>
          <c:showLegendKey val="0"/>
          <c:showVal val="0"/>
          <c:showCatName val="0"/>
          <c:showSerName val="0"/>
          <c:showPercent val="0"/>
          <c:showBubbleSize val="0"/>
        </c:dLbls>
        <c:gapWidth val="100"/>
        <c:axId val="96711984"/>
        <c:axId val="96719600"/>
      </c:barChart>
      <c:catAx>
        <c:axId val="9671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6719600"/>
        <c:crosses val="autoZero"/>
        <c:auto val="1"/>
        <c:lblAlgn val="ctr"/>
        <c:lblOffset val="100"/>
        <c:noMultiLvlLbl val="0"/>
      </c:catAx>
      <c:valAx>
        <c:axId val="9671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6711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Secano</a:t>
            </a:r>
            <a:r>
              <a:rPr lang="es-ES" baseline="0"/>
              <a:t> 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9"/>
            <c:invertIfNegative val="0"/>
            <c:bubble3D val="0"/>
            <c:spPr>
              <a:solidFill>
                <a:srgbClr val="C0504D"/>
              </a:solidFill>
              <a:ln>
                <a:noFill/>
              </a:ln>
              <a:effectLst/>
            </c:spPr>
            <c:extLst>
              <c:ext xmlns:c16="http://schemas.microsoft.com/office/drawing/2014/chart" uri="{C3380CC4-5D6E-409C-BE32-E72D297353CC}">
                <c16:uniqueId val="{00000001-81BE-42BD-B260-6FF13029CF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'ALM-EDAD'!$A$376:$A$388</c15:sqref>
                  </c15:fullRef>
                </c:ext>
              </c:extLst>
              <c:f>('ALM-EDAD'!$A$376:$A$378,'ALM-EDAD'!$A$380:$A$384,'ALM-EDAD'!$A$386,'ALM-EDAD'!$A$388)</c:f>
              <c:strCache>
                <c:ptCount val="10"/>
                <c:pt idx="0">
                  <c:v>ANDALUCÍA</c:v>
                </c:pt>
                <c:pt idx="1">
                  <c:v>ARAGÓN</c:v>
                </c:pt>
                <c:pt idx="2">
                  <c:v>C. VALENCIANA</c:v>
                </c:pt>
                <c:pt idx="3">
                  <c:v>C.-LA MANCHA</c:v>
                </c:pt>
                <c:pt idx="4">
                  <c:v>C. y LEÓN</c:v>
                </c:pt>
                <c:pt idx="5">
                  <c:v>ISLAS BALEARES</c:v>
                </c:pt>
                <c:pt idx="6">
                  <c:v>EXTREMADURA</c:v>
                </c:pt>
                <c:pt idx="7">
                  <c:v>LA RIOJA</c:v>
                </c:pt>
                <c:pt idx="8">
                  <c:v>MURCIA</c:v>
                </c:pt>
                <c:pt idx="9">
                  <c:v>ESPAÑA</c:v>
                </c:pt>
              </c:strCache>
            </c:strRef>
          </c:cat>
          <c:val>
            <c:numRef>
              <c:extLst>
                <c:ext xmlns:c15="http://schemas.microsoft.com/office/drawing/2012/chart" uri="{02D57815-91ED-43cb-92C2-25804820EDAC}">
                  <c15:fullRef>
                    <c15:sqref>'ALM-EDAD'!$Y$376:$Y$388</c15:sqref>
                  </c15:fullRef>
                </c:ext>
              </c:extLst>
              <c:f>('ALM-EDAD'!$Y$376:$Y$378,'ALM-EDAD'!$Y$380:$Y$384,'ALM-EDAD'!$Y$386,'ALM-EDAD'!$Y$388)</c:f>
              <c:numCache>
                <c:formatCode>0.0%</c:formatCode>
                <c:ptCount val="10"/>
                <c:pt idx="0">
                  <c:v>3.175017807298771E-4</c:v>
                </c:pt>
                <c:pt idx="1">
                  <c:v>9.7487194684518796E-4</c:v>
                </c:pt>
                <c:pt idx="2">
                  <c:v>1.1623303688154819E-3</c:v>
                </c:pt>
                <c:pt idx="3" formatCode="0.00%">
                  <c:v>3.1545506450370302E-4</c:v>
                </c:pt>
                <c:pt idx="4">
                  <c:v>1.3687440669360002E-3</c:v>
                </c:pt>
                <c:pt idx="5">
                  <c:v>2.4834978106006147E-3</c:v>
                </c:pt>
                <c:pt idx="6">
                  <c:v>7.3904288590891565E-4</c:v>
                </c:pt>
                <c:pt idx="7">
                  <c:v>5.0978457490544358E-3</c:v>
                </c:pt>
                <c:pt idx="8">
                  <c:v>7.5882820949123807E-4</c:v>
                </c:pt>
                <c:pt idx="9">
                  <c:v>5.46037831775156E-4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2941312"/>
        <c:axId val="102934784"/>
      </c:barChart>
      <c:catAx>
        <c:axId val="102941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4784"/>
        <c:crosses val="autoZero"/>
        <c:auto val="1"/>
        <c:lblAlgn val="ctr"/>
        <c:lblOffset val="100"/>
        <c:noMultiLvlLbl val="0"/>
      </c:catAx>
      <c:valAx>
        <c:axId val="10293478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1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Regadío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rgbClr val="00FFCC"/>
            </a:solidFill>
            <a:ln>
              <a:solidFill>
                <a:sysClr val="windowText" lastClr="000000"/>
              </a:solid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'ALM-EDAD'!$C$445:$X$445</c:f>
              <c:numCache>
                <c:formatCode>#,##0</c:formatCode>
                <c:ptCount val="22"/>
                <c:pt idx="0">
                  <c:v>453.93000000000006</c:v>
                </c:pt>
                <c:pt idx="1">
                  <c:v>49.45</c:v>
                </c:pt>
                <c:pt idx="2">
                  <c:v>26.5</c:v>
                </c:pt>
                <c:pt idx="3">
                  <c:v>32.96</c:v>
                </c:pt>
                <c:pt idx="4">
                  <c:v>138.14000000000001</c:v>
                </c:pt>
                <c:pt idx="5">
                  <c:v>199.87000000000003</c:v>
                </c:pt>
                <c:pt idx="6">
                  <c:v>321.59999999999997</c:v>
                </c:pt>
                <c:pt idx="7">
                  <c:v>110.51</c:v>
                </c:pt>
                <c:pt idx="8">
                  <c:v>171.48000000000002</c:v>
                </c:pt>
                <c:pt idx="9">
                  <c:v>137.15</c:v>
                </c:pt>
                <c:pt idx="10">
                  <c:v>226.83000000000004</c:v>
                </c:pt>
                <c:pt idx="11">
                  <c:v>176.14999999999998</c:v>
                </c:pt>
                <c:pt idx="12">
                  <c:v>152.29</c:v>
                </c:pt>
                <c:pt idx="13">
                  <c:v>394.60999999999996</c:v>
                </c:pt>
                <c:pt idx="14">
                  <c:v>479.80999999999995</c:v>
                </c:pt>
                <c:pt idx="15">
                  <c:v>1568.59</c:v>
                </c:pt>
                <c:pt idx="16">
                  <c:v>1849.2600000000002</c:v>
                </c:pt>
                <c:pt idx="17">
                  <c:v>1263.5599999999997</c:v>
                </c:pt>
                <c:pt idx="18">
                  <c:v>1088.69</c:v>
                </c:pt>
                <c:pt idx="19">
                  <c:v>707.81999999999982</c:v>
                </c:pt>
                <c:pt idx="20">
                  <c:v>855.61</c:v>
                </c:pt>
                <c:pt idx="21">
                  <c:v>725.74</c:v>
                </c:pt>
              </c:numCache>
            </c:numRef>
          </c:val>
          <c:extLst>
            <c:ext xmlns:c16="http://schemas.microsoft.com/office/drawing/2014/chart" uri="{C3380CC4-5D6E-409C-BE32-E72D297353CC}">
              <c16:uniqueId val="{00000000-4466-4F54-B60C-F9EC94E184BB}"/>
            </c:ext>
          </c:extLst>
        </c:ser>
        <c:dLbls>
          <c:showLegendKey val="0"/>
          <c:showVal val="0"/>
          <c:showCatName val="0"/>
          <c:showSerName val="0"/>
          <c:showPercent val="0"/>
          <c:showBubbleSize val="0"/>
        </c:dLbls>
        <c:gapWidth val="219"/>
        <c:overlap val="-27"/>
        <c:axId val="102947296"/>
        <c:axId val="102944032"/>
      </c:barChart>
      <c:catAx>
        <c:axId val="1029472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4032"/>
        <c:crosses val="autoZero"/>
        <c:auto val="1"/>
        <c:lblAlgn val="ctr"/>
        <c:lblOffset val="100"/>
        <c:noMultiLvlLbl val="0"/>
      </c:catAx>
      <c:valAx>
        <c:axId val="10294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7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Almendro Regadío </a:t>
            </a:r>
            <a:r>
              <a:rPr lang="en-US" b="1" baseline="0"/>
              <a:t>Ecológico:</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'ALM-EDAD'!$AK$336</c:f>
              <c:strCache>
                <c:ptCount val="1"/>
                <c:pt idx="0">
                  <c:v>Total</c:v>
                </c:pt>
              </c:strCache>
            </c:strRef>
          </c:tx>
          <c:spPr>
            <a:solidFill>
              <a:srgbClr val="00FFCC"/>
            </a:solidFill>
            <a:ln>
              <a:solidFill>
                <a:schemeClr val="accent6">
                  <a:lumMod val="75000"/>
                </a:schemeClr>
              </a:solidFill>
            </a:ln>
            <a:effectLst/>
          </c:spPr>
          <c:invertIfNegative val="0"/>
          <c:cat>
            <c:strRef>
              <c:f>'ALM-EDAD'!$AI$414:$AI$423</c:f>
              <c:strCache>
                <c:ptCount val="10"/>
                <c:pt idx="0">
                  <c:v>ALBACETE</c:v>
                </c:pt>
                <c:pt idx="1">
                  <c:v>CIUDAD REAL</c:v>
                </c:pt>
                <c:pt idx="2">
                  <c:v>GRANADA</c:v>
                </c:pt>
                <c:pt idx="3">
                  <c:v>CÓRDOBA</c:v>
                </c:pt>
                <c:pt idx="4">
                  <c:v>ZARAGOZA</c:v>
                </c:pt>
                <c:pt idx="5">
                  <c:v>ALICANTE</c:v>
                </c:pt>
                <c:pt idx="6">
                  <c:v>MURCIA</c:v>
                </c:pt>
                <c:pt idx="7">
                  <c:v>NAVARRA</c:v>
                </c:pt>
                <c:pt idx="8">
                  <c:v>VALENCIA</c:v>
                </c:pt>
                <c:pt idx="9">
                  <c:v>CUENCA</c:v>
                </c:pt>
              </c:strCache>
            </c:strRef>
          </c:cat>
          <c:val>
            <c:numRef>
              <c:f>'ALM-EDAD'!$AK$414:$AK$423</c:f>
              <c:numCache>
                <c:formatCode>#,##0</c:formatCode>
                <c:ptCount val="10"/>
                <c:pt idx="0">
                  <c:v>2077.1200000000003</c:v>
                </c:pt>
                <c:pt idx="1">
                  <c:v>1030.17</c:v>
                </c:pt>
                <c:pt idx="2">
                  <c:v>2266.63</c:v>
                </c:pt>
                <c:pt idx="3">
                  <c:v>286.73</c:v>
                </c:pt>
                <c:pt idx="4">
                  <c:v>504.8</c:v>
                </c:pt>
                <c:pt idx="5">
                  <c:v>2510.7600000000002</c:v>
                </c:pt>
                <c:pt idx="6">
                  <c:v>1570.8700000000001</c:v>
                </c:pt>
                <c:pt idx="7">
                  <c:v>179.85</c:v>
                </c:pt>
                <c:pt idx="8">
                  <c:v>653.15999999999985</c:v>
                </c:pt>
                <c:pt idx="9">
                  <c:v>268.01</c:v>
                </c:pt>
              </c:numCache>
            </c:numRef>
          </c:val>
          <c:extLst>
            <c:ext xmlns:c16="http://schemas.microsoft.com/office/drawing/2014/chart" uri="{C3380CC4-5D6E-409C-BE32-E72D297353CC}">
              <c16:uniqueId val="{00000000-3259-479F-948A-8CF6F02F9AEB}"/>
            </c:ext>
          </c:extLst>
        </c:ser>
        <c:ser>
          <c:idx val="0"/>
          <c:order val="1"/>
          <c:tx>
            <c:strRef>
              <c:f>'ALM-EDAD'!$AJ$336</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BD946427-6C5F-463D-8BE2-D95F851512AE}"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259-479F-948A-8CF6F02F9AEB}"/>
                </c:ext>
              </c:extLst>
            </c:dLbl>
            <c:dLbl>
              <c:idx val="1"/>
              <c:tx>
                <c:rich>
                  <a:bodyPr/>
                  <a:lstStyle/>
                  <a:p>
                    <a:fld id="{2D94EF8D-1EF4-45C2-A273-71EAB1D74E6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259-479F-948A-8CF6F02F9AEB}"/>
                </c:ext>
              </c:extLst>
            </c:dLbl>
            <c:dLbl>
              <c:idx val="2"/>
              <c:tx>
                <c:rich>
                  <a:bodyPr/>
                  <a:lstStyle/>
                  <a:p>
                    <a:fld id="{B03935BA-5520-4D3F-BFAE-3586D8D9246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259-479F-948A-8CF6F02F9AEB}"/>
                </c:ext>
              </c:extLst>
            </c:dLbl>
            <c:dLbl>
              <c:idx val="3"/>
              <c:tx>
                <c:rich>
                  <a:bodyPr/>
                  <a:lstStyle/>
                  <a:p>
                    <a:fld id="{0696B91F-FBA6-4B50-ACE5-0CA56C17E85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259-479F-948A-8CF6F02F9AEB}"/>
                </c:ext>
              </c:extLst>
            </c:dLbl>
            <c:dLbl>
              <c:idx val="4"/>
              <c:tx>
                <c:rich>
                  <a:bodyPr/>
                  <a:lstStyle/>
                  <a:p>
                    <a:fld id="{DB9C9D2A-56E9-4B42-8595-22F4C1165A0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259-479F-948A-8CF6F02F9AEB}"/>
                </c:ext>
              </c:extLst>
            </c:dLbl>
            <c:dLbl>
              <c:idx val="5"/>
              <c:tx>
                <c:rich>
                  <a:bodyPr/>
                  <a:lstStyle/>
                  <a:p>
                    <a:fld id="{215EEB5A-BF4B-454A-8587-5E4C019BF9A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259-479F-948A-8CF6F02F9AEB}"/>
                </c:ext>
              </c:extLst>
            </c:dLbl>
            <c:dLbl>
              <c:idx val="6"/>
              <c:tx>
                <c:rich>
                  <a:bodyPr/>
                  <a:lstStyle/>
                  <a:p>
                    <a:fld id="{CF6D6A14-0530-4B50-A7D4-79DCEE88768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259-479F-948A-8CF6F02F9AEB}"/>
                </c:ext>
              </c:extLst>
            </c:dLbl>
            <c:dLbl>
              <c:idx val="7"/>
              <c:tx>
                <c:rich>
                  <a:bodyPr/>
                  <a:lstStyle/>
                  <a:p>
                    <a:fld id="{D7192261-93F8-4E13-BCAD-711A48B97F1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259-479F-948A-8CF6F02F9AEB}"/>
                </c:ext>
              </c:extLst>
            </c:dLbl>
            <c:dLbl>
              <c:idx val="8"/>
              <c:tx>
                <c:rich>
                  <a:bodyPr/>
                  <a:lstStyle/>
                  <a:p>
                    <a:fld id="{E9A54ACE-4FF2-41E6-8732-35FDED5206E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259-479F-948A-8CF6F02F9AEB}"/>
                </c:ext>
              </c:extLst>
            </c:dLbl>
            <c:dLbl>
              <c:idx val="9"/>
              <c:tx>
                <c:rich>
                  <a:bodyPr/>
                  <a:lstStyle/>
                  <a:p>
                    <a:fld id="{B51D739B-6624-4160-B568-C5040D49C66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259-479F-948A-8CF6F02F9A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'ALM-EDAD'!$AI$414:$AI$423</c:f>
              <c:strCache>
                <c:ptCount val="10"/>
                <c:pt idx="0">
                  <c:v>ALBACETE</c:v>
                </c:pt>
                <c:pt idx="1">
                  <c:v>CIUDAD REAL</c:v>
                </c:pt>
                <c:pt idx="2">
                  <c:v>GRANADA</c:v>
                </c:pt>
                <c:pt idx="3">
                  <c:v>CÓRDOBA</c:v>
                </c:pt>
                <c:pt idx="4">
                  <c:v>ZARAGOZA</c:v>
                </c:pt>
                <c:pt idx="5">
                  <c:v>ALICANTE</c:v>
                </c:pt>
                <c:pt idx="6">
                  <c:v>MURCIA</c:v>
                </c:pt>
                <c:pt idx="7">
                  <c:v>NAVARRA</c:v>
                </c:pt>
                <c:pt idx="8">
                  <c:v>VALENCIA</c:v>
                </c:pt>
                <c:pt idx="9">
                  <c:v>CUENCA</c:v>
                </c:pt>
              </c:strCache>
            </c:strRef>
          </c:cat>
          <c:val>
            <c:numRef>
              <c:f>'ALM-EDAD'!$AJ$414:$AJ$423</c:f>
              <c:numCache>
                <c:formatCode>#,##0</c:formatCode>
                <c:ptCount val="10"/>
                <c:pt idx="0">
                  <c:v>292.53000000000003</c:v>
                </c:pt>
                <c:pt idx="1">
                  <c:v>285.39000000000004</c:v>
                </c:pt>
                <c:pt idx="2">
                  <c:v>237.98</c:v>
                </c:pt>
                <c:pt idx="3">
                  <c:v>234.62</c:v>
                </c:pt>
                <c:pt idx="4">
                  <c:v>217.24</c:v>
                </c:pt>
                <c:pt idx="5">
                  <c:v>188.07999999999998</c:v>
                </c:pt>
                <c:pt idx="6">
                  <c:v>141.15999999999997</c:v>
                </c:pt>
                <c:pt idx="7">
                  <c:v>92.83</c:v>
                </c:pt>
                <c:pt idx="8">
                  <c:v>83.509999999999991</c:v>
                </c:pt>
                <c:pt idx="9">
                  <c:v>82.84</c:v>
                </c:pt>
              </c:numCache>
            </c:numRef>
          </c:val>
          <c:extLst>
            <c:ext xmlns:c15="http://schemas.microsoft.com/office/drawing/2012/chart" uri="{02D57815-91ED-43cb-92C2-25804820EDAC}">
              <c15:datalabelsRange>
                <c15:f>'ALM-EDAD'!$AL$414:$AL$423</c15:f>
                <c15:dlblRangeCache>
                  <c:ptCount val="10"/>
                  <c:pt idx="0">
                    <c:v>14%</c:v>
                  </c:pt>
                  <c:pt idx="1">
                    <c:v>28%</c:v>
                  </c:pt>
                  <c:pt idx="2">
                    <c:v>10%</c:v>
                  </c:pt>
                  <c:pt idx="3">
                    <c:v>82%</c:v>
                  </c:pt>
                  <c:pt idx="4">
                    <c:v>43%</c:v>
                  </c:pt>
                  <c:pt idx="5">
                    <c:v>7%</c:v>
                  </c:pt>
                  <c:pt idx="6">
                    <c:v>9%</c:v>
                  </c:pt>
                  <c:pt idx="7">
                    <c:v>52%</c:v>
                  </c:pt>
                  <c:pt idx="8">
                    <c:v>13%</c:v>
                  </c:pt>
                  <c:pt idx="9">
                    <c:v>31%</c:v>
                  </c:pt>
                </c15:dlblRangeCache>
              </c15:datalabelsRange>
            </c:ext>
            <c:ext xmlns:c16="http://schemas.microsoft.com/office/drawing/2014/chart" uri="{C3380CC4-5D6E-409C-BE32-E72D297353CC}">
              <c16:uniqueId val="{0000000B-3259-479F-948A-8CF6F02F9AEB}"/>
            </c:ext>
          </c:extLst>
        </c:ser>
        <c:dLbls>
          <c:showLegendKey val="0"/>
          <c:showVal val="0"/>
          <c:showCatName val="0"/>
          <c:showSerName val="0"/>
          <c:showPercent val="0"/>
          <c:showBubbleSize val="0"/>
        </c:dLbls>
        <c:gapWidth val="150"/>
        <c:overlap val="-40"/>
        <c:axId val="102946752"/>
        <c:axId val="102941856"/>
      </c:barChart>
      <c:catAx>
        <c:axId val="102946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2941856"/>
        <c:crosses val="autoZero"/>
        <c:auto val="1"/>
        <c:lblAlgn val="ctr"/>
        <c:lblOffset val="100"/>
        <c:noMultiLvlLbl val="0"/>
      </c:catAx>
      <c:valAx>
        <c:axId val="102941856"/>
        <c:scaling>
          <c:orientation val="minMax"/>
          <c:max val="27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294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Regadío </a:t>
            </a:r>
            <a:r>
              <a:rPr lang="es-ES" b="1" baseline="0">
                <a:solidFill>
                  <a:sysClr val="windowText" lastClr="000000"/>
                </a:solidFill>
              </a:rPr>
              <a:t>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'ALM-EDAD'!$AO$334</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4E80F8C6-AF5C-4ABE-8E60-7F6652CE577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C28-4AAA-A117-87CD850BA352}"/>
                </c:ext>
              </c:extLst>
            </c:dLbl>
            <c:dLbl>
              <c:idx val="1"/>
              <c:tx>
                <c:rich>
                  <a:bodyPr/>
                  <a:lstStyle/>
                  <a:p>
                    <a:fld id="{C3BADE2E-BD2C-489D-8E99-1881A5CE251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C28-4AAA-A117-87CD850BA352}"/>
                </c:ext>
              </c:extLst>
            </c:dLbl>
            <c:dLbl>
              <c:idx val="2"/>
              <c:tx>
                <c:rich>
                  <a:bodyPr/>
                  <a:lstStyle/>
                  <a:p>
                    <a:fld id="{693EFA1B-2A7C-4B3A-9B29-8A52CE14411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C28-4AAA-A117-87CD850BA352}"/>
                </c:ext>
              </c:extLst>
            </c:dLbl>
            <c:dLbl>
              <c:idx val="3"/>
              <c:tx>
                <c:rich>
                  <a:bodyPr/>
                  <a:lstStyle/>
                  <a:p>
                    <a:fld id="{A3F31128-C1DD-49F2-8E54-03C27585DFD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C28-4AAA-A117-87CD850BA352}"/>
                </c:ext>
              </c:extLst>
            </c:dLbl>
            <c:dLbl>
              <c:idx val="4"/>
              <c:tx>
                <c:rich>
                  <a:bodyPr/>
                  <a:lstStyle/>
                  <a:p>
                    <a:fld id="{85E6FE80-1E62-4C8F-9653-323683B13E1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28-4AAA-A117-87CD850BA352}"/>
                </c:ext>
              </c:extLst>
            </c:dLbl>
            <c:dLbl>
              <c:idx val="5"/>
              <c:tx>
                <c:rich>
                  <a:bodyPr/>
                  <a:lstStyle/>
                  <a:p>
                    <a:fld id="{4A8CDE25-63DB-417D-9698-CC1933793A1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28-4AAA-A117-87CD850BA352}"/>
                </c:ext>
              </c:extLst>
            </c:dLbl>
            <c:dLbl>
              <c:idx val="6"/>
              <c:tx>
                <c:rich>
                  <a:bodyPr/>
                  <a:lstStyle/>
                  <a:p>
                    <a:fld id="{9FA3726B-A5B1-4B0A-AA08-735C60BCAAF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28-4AAA-A117-87CD850BA352}"/>
                </c:ext>
              </c:extLst>
            </c:dLbl>
            <c:dLbl>
              <c:idx val="7"/>
              <c:tx>
                <c:rich>
                  <a:bodyPr/>
                  <a:lstStyle/>
                  <a:p>
                    <a:fld id="{2A13FA4A-C739-4DB9-949D-D7AF3ABABAE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C28-4AAA-A117-87CD850BA35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'ALM-EDAD'!$AN$412:$AN$419</c:f>
              <c:strCache>
                <c:ptCount val="8"/>
                <c:pt idx="0">
                  <c:v>C.-LA MANCHA</c:v>
                </c:pt>
                <c:pt idx="1">
                  <c:v>ANDALUCÍA</c:v>
                </c:pt>
                <c:pt idx="2">
                  <c:v>ARAGÓN</c:v>
                </c:pt>
                <c:pt idx="3">
                  <c:v>C. VALENCIANA</c:v>
                </c:pt>
                <c:pt idx="4">
                  <c:v>MURCIA</c:v>
                </c:pt>
                <c:pt idx="5">
                  <c:v>NAVARRA</c:v>
                </c:pt>
                <c:pt idx="6">
                  <c:v>EXTREMADURA</c:v>
                </c:pt>
                <c:pt idx="7">
                  <c:v>C. y LEÓN</c:v>
                </c:pt>
              </c:strCache>
            </c:strRef>
          </c:cat>
          <c:val>
            <c:numRef>
              <c:f>'ALM-EDAD'!$AO$412:$AO$419</c:f>
              <c:numCache>
                <c:formatCode>#,##0</c:formatCode>
                <c:ptCount val="8"/>
                <c:pt idx="0">
                  <c:v>693.13000000000011</c:v>
                </c:pt>
                <c:pt idx="1">
                  <c:v>552.71999999999991</c:v>
                </c:pt>
                <c:pt idx="2">
                  <c:v>311.83</c:v>
                </c:pt>
                <c:pt idx="3">
                  <c:v>279.2</c:v>
                </c:pt>
                <c:pt idx="4">
                  <c:v>141.15999999999997</c:v>
                </c:pt>
                <c:pt idx="5">
                  <c:v>92.83</c:v>
                </c:pt>
                <c:pt idx="6">
                  <c:v>80.260000000000005</c:v>
                </c:pt>
                <c:pt idx="7">
                  <c:v>77.61</c:v>
                </c:pt>
              </c:numCache>
            </c:numRef>
          </c:val>
          <c:extLst>
            <c:ext xmlns:c15="http://schemas.microsoft.com/office/drawing/2012/chart" uri="{02D57815-91ED-43cb-92C2-25804820EDAC}">
              <c15:datalabelsRange>
                <c15:f>'ALM-EDAD'!$AQ$412:$AQ$419</c15:f>
                <c15:dlblRangeCache>
                  <c:ptCount val="8"/>
                  <c:pt idx="0">
                    <c:v>17%</c:v>
                  </c:pt>
                  <c:pt idx="1">
                    <c:v>16%</c:v>
                  </c:pt>
                  <c:pt idx="2">
                    <c:v>37%</c:v>
                  </c:pt>
                  <c:pt idx="3">
                    <c:v>9%</c:v>
                  </c:pt>
                  <c:pt idx="4">
                    <c:v>9%</c:v>
                  </c:pt>
                  <c:pt idx="5">
                    <c:v>52%</c:v>
                  </c:pt>
                  <c:pt idx="6">
                    <c:v>35%</c:v>
                  </c:pt>
                  <c:pt idx="7">
                    <c:v>55%</c:v>
                  </c:pt>
                </c15:dlblRangeCache>
              </c15:datalabelsRange>
            </c:ext>
            <c:ext xmlns:c16="http://schemas.microsoft.com/office/drawing/2014/chart" uri="{C3380CC4-5D6E-409C-BE32-E72D297353CC}">
              <c16:uniqueId val="{00000008-7C28-4AAA-A117-87CD850BA352}"/>
            </c:ext>
          </c:extLst>
        </c:ser>
        <c:ser>
          <c:idx val="1"/>
          <c:order val="1"/>
          <c:tx>
            <c:strRef>
              <c:f>'ALM-EDAD'!$AP$334</c:f>
              <c:strCache>
                <c:ptCount val="1"/>
                <c:pt idx="0">
                  <c:v>Total</c:v>
                </c:pt>
              </c:strCache>
            </c:strRef>
          </c:tx>
          <c:spPr>
            <a:solidFill>
              <a:srgbClr val="00FFCC"/>
            </a:solidFill>
            <a:ln>
              <a:solidFill>
                <a:schemeClr val="accent6">
                  <a:lumMod val="75000"/>
                </a:schemeClr>
              </a:solidFill>
            </a:ln>
            <a:effectLst/>
          </c:spPr>
          <c:invertIfNegative val="0"/>
          <c:cat>
            <c:strRef>
              <c:f>'ALM-EDAD'!$AN$412:$AN$419</c:f>
              <c:strCache>
                <c:ptCount val="8"/>
                <c:pt idx="0">
                  <c:v>C.-LA MANCHA</c:v>
                </c:pt>
                <c:pt idx="1">
                  <c:v>ANDALUCÍA</c:v>
                </c:pt>
                <c:pt idx="2">
                  <c:v>ARAGÓN</c:v>
                </c:pt>
                <c:pt idx="3">
                  <c:v>C. VALENCIANA</c:v>
                </c:pt>
                <c:pt idx="4">
                  <c:v>MURCIA</c:v>
                </c:pt>
                <c:pt idx="5">
                  <c:v>NAVARRA</c:v>
                </c:pt>
                <c:pt idx="6">
                  <c:v>EXTREMADURA</c:v>
                </c:pt>
                <c:pt idx="7">
                  <c:v>C. y LEÓN</c:v>
                </c:pt>
              </c:strCache>
            </c:strRef>
          </c:cat>
          <c:val>
            <c:numRef>
              <c:f>'ALM-EDAD'!$AP$412:$AP$419</c:f>
              <c:numCache>
                <c:formatCode>#,##0</c:formatCode>
                <c:ptCount val="8"/>
                <c:pt idx="0">
                  <c:v>4137.41</c:v>
                </c:pt>
                <c:pt idx="1">
                  <c:v>3361.14</c:v>
                </c:pt>
                <c:pt idx="2">
                  <c:v>848.81999999999994</c:v>
                </c:pt>
                <c:pt idx="3">
                  <c:v>3207.9800000000005</c:v>
                </c:pt>
                <c:pt idx="4">
                  <c:v>1570.8700000000001</c:v>
                </c:pt>
                <c:pt idx="5">
                  <c:v>179.85</c:v>
                </c:pt>
                <c:pt idx="6">
                  <c:v>232.11000000000004</c:v>
                </c:pt>
                <c:pt idx="7">
                  <c:v>140.07999999999998</c:v>
                </c:pt>
              </c:numCache>
            </c:numRef>
          </c:val>
          <c:extLst>
            <c:ext xmlns:c16="http://schemas.microsoft.com/office/drawing/2014/chart" uri="{C3380CC4-5D6E-409C-BE32-E72D297353CC}">
              <c16:uniqueId val="{00000009-7C28-4AAA-A117-87CD850BA352}"/>
            </c:ext>
          </c:extLst>
        </c:ser>
        <c:dLbls>
          <c:showLegendKey val="0"/>
          <c:showVal val="0"/>
          <c:showCatName val="0"/>
          <c:showSerName val="0"/>
          <c:showPercent val="0"/>
          <c:showBubbleSize val="0"/>
        </c:dLbls>
        <c:gapWidth val="100"/>
        <c:axId val="102933696"/>
        <c:axId val="102938048"/>
      </c:barChart>
      <c:catAx>
        <c:axId val="10293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8048"/>
        <c:crosses val="autoZero"/>
        <c:auto val="1"/>
        <c:lblAlgn val="ctr"/>
        <c:lblOffset val="100"/>
        <c:noMultiLvlLbl val="0"/>
      </c:catAx>
      <c:valAx>
        <c:axId val="102938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3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Regadío </a:t>
            </a:r>
            <a:r>
              <a:rPr lang="es-ES" baseline="0"/>
              <a:t>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8"/>
            <c:invertIfNegative val="0"/>
            <c:bubble3D val="0"/>
            <c:spPr>
              <a:solidFill>
                <a:srgbClr val="C0504D"/>
              </a:solidFill>
              <a:ln>
                <a:noFill/>
              </a:ln>
              <a:effectLst/>
            </c:spPr>
            <c:extLst>
              <c:ext xmlns:c16="http://schemas.microsoft.com/office/drawing/2014/chart" uri="{C3380CC4-5D6E-409C-BE32-E72D297353CC}">
                <c16:uniqueId val="{00000001-CD97-4A3E-9AD8-D5595F5009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'ALM-EDAD'!$A$453:$A$465</c15:sqref>
                  </c15:fullRef>
                </c:ext>
              </c:extLst>
              <c:f>('ALM-EDAD'!$A$453:$A$455,'ALM-EDAD'!$A$457,'ALM-EDAD'!$A$459:$A$460,'ALM-EDAD'!$A$463:$A$465)</c:f>
              <c:strCache>
                <c:ptCount val="9"/>
                <c:pt idx="0">
                  <c:v>ANDALUCÍA</c:v>
                </c:pt>
                <c:pt idx="1">
                  <c:v>ARAGÓN</c:v>
                </c:pt>
                <c:pt idx="2">
                  <c:v>C. VALENCIANA</c:v>
                </c:pt>
                <c:pt idx="3">
                  <c:v>C.-LA MANCHA</c:v>
                </c:pt>
                <c:pt idx="4">
                  <c:v>ISLAS BALEARES</c:v>
                </c:pt>
                <c:pt idx="5">
                  <c:v>EXTREMADURA</c:v>
                </c:pt>
                <c:pt idx="6">
                  <c:v>MURCIA</c:v>
                </c:pt>
                <c:pt idx="7">
                  <c:v>NAVARRA</c:v>
                </c:pt>
                <c:pt idx="8">
                  <c:v>ESPAÑA</c:v>
                </c:pt>
              </c:strCache>
            </c:strRef>
          </c:cat>
          <c:val>
            <c:numRef>
              <c:extLst>
                <c:ext xmlns:c15="http://schemas.microsoft.com/office/drawing/2012/chart" uri="{02D57815-91ED-43cb-92C2-25804820EDAC}">
                  <c15:fullRef>
                    <c15:sqref>'ALM-EDAD'!$Y$453:$Y$465</c15:sqref>
                  </c15:fullRef>
                </c:ext>
              </c:extLst>
              <c:f>('ALM-EDAD'!$Y$453:$Y$455,'ALM-EDAD'!$Y$457,'ALM-EDAD'!$Y$459:$Y$460,'ALM-EDAD'!$Y$463:$Y$465)</c:f>
              <c:numCache>
                <c:formatCode>0.0%</c:formatCode>
                <c:ptCount val="9"/>
                <c:pt idx="0" formatCode="0.00%">
                  <c:v>3.9272389724914758E-4</c:v>
                </c:pt>
                <c:pt idx="1">
                  <c:v>8.7179849673664608E-4</c:v>
                </c:pt>
                <c:pt idx="2">
                  <c:v>6.577347739075679E-4</c:v>
                </c:pt>
                <c:pt idx="3">
                  <c:v>1.1263084876770733E-3</c:v>
                </c:pt>
                <c:pt idx="4">
                  <c:v>2.0136931131695527E-3</c:v>
                </c:pt>
                <c:pt idx="5" formatCode="0.00%">
                  <c:v>3.446641678514497E-4</c:v>
                </c:pt>
                <c:pt idx="6" formatCode="0.00%">
                  <c:v>8.0210329307963128E-4</c:v>
                </c:pt>
                <c:pt idx="7" formatCode="0.00%">
                  <c:v>5.0041701417848203E-4</c:v>
                </c:pt>
                <c:pt idx="8" formatCode="0.00%">
                  <c:v>7.2610849511725497E-4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2935328"/>
        <c:axId val="102943488"/>
      </c:barChart>
      <c:catAx>
        <c:axId val="102935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3488"/>
        <c:crosses val="autoZero"/>
        <c:auto val="1"/>
        <c:lblAlgn val="ctr"/>
        <c:lblOffset val="100"/>
        <c:noMultiLvlLbl val="0"/>
      </c:catAx>
      <c:valAx>
        <c:axId val="10294348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5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Secano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'ALM-EDAD'!$C$219:$X$219</c:f>
              <c:numCache>
                <c:formatCode>#,##0</c:formatCode>
                <c:ptCount val="22"/>
                <c:pt idx="0">
                  <c:v>20263.77</c:v>
                </c:pt>
                <c:pt idx="1">
                  <c:v>2332.87</c:v>
                </c:pt>
                <c:pt idx="2">
                  <c:v>2926</c:v>
                </c:pt>
                <c:pt idx="3">
                  <c:v>2380.6399999999994</c:v>
                </c:pt>
                <c:pt idx="4">
                  <c:v>4417.9999999999991</c:v>
                </c:pt>
                <c:pt idx="5">
                  <c:v>5738.24</c:v>
                </c:pt>
                <c:pt idx="6">
                  <c:v>3378.17</c:v>
                </c:pt>
                <c:pt idx="7">
                  <c:v>5712.58</c:v>
                </c:pt>
                <c:pt idx="8">
                  <c:v>3354.37</c:v>
                </c:pt>
                <c:pt idx="9">
                  <c:v>4617.34</c:v>
                </c:pt>
                <c:pt idx="10">
                  <c:v>5360.2800000000007</c:v>
                </c:pt>
                <c:pt idx="11">
                  <c:v>2674.8399999999997</c:v>
                </c:pt>
                <c:pt idx="12">
                  <c:v>4401.83</c:v>
                </c:pt>
                <c:pt idx="13">
                  <c:v>4388.8499999999995</c:v>
                </c:pt>
                <c:pt idx="14">
                  <c:v>8944.61</c:v>
                </c:pt>
                <c:pt idx="15">
                  <c:v>18063.379999999997</c:v>
                </c:pt>
                <c:pt idx="16">
                  <c:v>23152.720000000001</c:v>
                </c:pt>
                <c:pt idx="17">
                  <c:v>21131.040000000001</c:v>
                </c:pt>
                <c:pt idx="18">
                  <c:v>14913.699999999999</c:v>
                </c:pt>
                <c:pt idx="19">
                  <c:v>14952.58</c:v>
                </c:pt>
                <c:pt idx="20">
                  <c:v>14636.719999999998</c:v>
                </c:pt>
                <c:pt idx="21">
                  <c:v>10183.68</c:v>
                </c:pt>
              </c:numCache>
            </c:numRef>
          </c:val>
          <c:extLst>
            <c:ext xmlns:c16="http://schemas.microsoft.com/office/drawing/2014/chart" uri="{C3380CC4-5D6E-409C-BE32-E72D297353CC}">
              <c16:uniqueId val="{00000000-DD60-4A69-A5CF-35610931D70A}"/>
            </c:ext>
          </c:extLst>
        </c:ser>
        <c:dLbls>
          <c:showLegendKey val="0"/>
          <c:showVal val="0"/>
          <c:showCatName val="0"/>
          <c:showSerName val="0"/>
          <c:showPercent val="0"/>
          <c:showBubbleSize val="0"/>
        </c:dLbls>
        <c:gapWidth val="219"/>
        <c:overlap val="-27"/>
        <c:axId val="102934240"/>
        <c:axId val="102932608"/>
      </c:barChart>
      <c:catAx>
        <c:axId val="1029342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2608"/>
        <c:crosses val="autoZero"/>
        <c:auto val="1"/>
        <c:lblAlgn val="ctr"/>
        <c:lblOffset val="100"/>
        <c:noMultiLvlLbl val="0"/>
      </c:catAx>
      <c:valAx>
        <c:axId val="10293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Frutos Secos: </a:t>
            </a:r>
            <a:r>
              <a:rPr lang="es-ES" sz="1400" b="0"/>
              <a:t>Porcentaje de nuevas plantaciones sobre la superficie total registrada</a:t>
            </a:r>
            <a:endParaRPr lang="es-ES" b="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'FRUTOS SECOS TOTAL'!$B$59</c:f>
              <c:strCache>
                <c:ptCount val="1"/>
                <c:pt idx="0">
                  <c:v>SECANO</c:v>
                </c:pt>
              </c:strCache>
            </c:strRef>
          </c:tx>
          <c:spPr>
            <a:solidFill>
              <a:srgbClr val="CB9661"/>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TOTAL'!$A$60:$A$63</c:f>
              <c:strCache>
                <c:ptCount val="4"/>
                <c:pt idx="0">
                  <c:v>ALMENDRO</c:v>
                </c:pt>
                <c:pt idx="1">
                  <c:v>PISTACHO</c:v>
                </c:pt>
                <c:pt idx="2">
                  <c:v>AVELLANO</c:v>
                </c:pt>
                <c:pt idx="3">
                  <c:v>ALGARROBO</c:v>
                </c:pt>
              </c:strCache>
            </c:strRef>
          </c:cat>
          <c:val>
            <c:numRef>
              <c:f>'FRUTOS SECOS TOTAL'!$B$60:$B$63</c:f>
              <c:numCache>
                <c:formatCode>0%</c:formatCode>
                <c:ptCount val="4"/>
                <c:pt idx="0">
                  <c:v>0.1409301447229383</c:v>
                </c:pt>
                <c:pt idx="1">
                  <c:v>0.62419125407240861</c:v>
                </c:pt>
                <c:pt idx="2">
                  <c:v>2.6289713845726662E-2</c:v>
                </c:pt>
                <c:pt idx="3">
                  <c:v>2.965561799054282E-2</c:v>
                </c:pt>
              </c:numCache>
            </c:numRef>
          </c:val>
          <c:extLst>
            <c:ext xmlns:c16="http://schemas.microsoft.com/office/drawing/2014/chart" uri="{C3380CC4-5D6E-409C-BE32-E72D297353CC}">
              <c16:uniqueId val="{00000000-3BF3-47C3-B045-FAA3B5CF541D}"/>
            </c:ext>
          </c:extLst>
        </c:ser>
        <c:ser>
          <c:idx val="1"/>
          <c:order val="1"/>
          <c:tx>
            <c:strRef>
              <c:f>'FRUTOS SECOS TOTAL'!$C$59</c:f>
              <c:strCache>
                <c:ptCount val="1"/>
                <c:pt idx="0">
                  <c:v>REGADÍO</c:v>
                </c:pt>
              </c:strCache>
            </c:strRef>
          </c:tx>
          <c:spPr>
            <a:solidFill>
              <a:schemeClr val="accent1">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'FRUTOS SECOS TOTAL'!$A$60:$A$63</c:f>
              <c:strCache>
                <c:ptCount val="4"/>
                <c:pt idx="0">
                  <c:v>ALMENDRO</c:v>
                </c:pt>
                <c:pt idx="1">
                  <c:v>PISTACHO</c:v>
                </c:pt>
                <c:pt idx="2">
                  <c:v>AVELLANO</c:v>
                </c:pt>
                <c:pt idx="3">
                  <c:v>ALGARROBO</c:v>
                </c:pt>
              </c:strCache>
            </c:strRef>
          </c:cat>
          <c:val>
            <c:numRef>
              <c:f>'FRUTOS SECOS TOTAL'!$C$60:$C$63</c:f>
              <c:numCache>
                <c:formatCode>0%</c:formatCode>
                <c:ptCount val="4"/>
                <c:pt idx="0">
                  <c:v>0.27891284639735686</c:v>
                </c:pt>
                <c:pt idx="1">
                  <c:v>0.46816075068320384</c:v>
                </c:pt>
                <c:pt idx="2">
                  <c:v>6.2575371238112909E-2</c:v>
                </c:pt>
                <c:pt idx="3">
                  <c:v>9.6393010731858533E-2</c:v>
                </c:pt>
              </c:numCache>
            </c:numRef>
          </c:val>
          <c:extLst>
            <c:ext xmlns:c16="http://schemas.microsoft.com/office/drawing/2014/chart" uri="{C3380CC4-5D6E-409C-BE32-E72D297353CC}">
              <c16:uniqueId val="{00000001-3BF3-47C3-B045-FAA3B5CF541D}"/>
            </c:ext>
          </c:extLst>
        </c:ser>
        <c:dLbls>
          <c:showLegendKey val="0"/>
          <c:showVal val="0"/>
          <c:showCatName val="0"/>
          <c:showSerName val="0"/>
          <c:showPercent val="0"/>
          <c:showBubbleSize val="0"/>
        </c:dLbls>
        <c:gapWidth val="100"/>
        <c:overlap val="-24"/>
        <c:axId val="1449561647"/>
        <c:axId val="1449562063"/>
      </c:barChart>
      <c:catAx>
        <c:axId val="1449561647"/>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49562063"/>
        <c:crosses val="autoZero"/>
        <c:auto val="1"/>
        <c:lblAlgn val="ctr"/>
        <c:lblOffset val="100"/>
        <c:noMultiLvlLbl val="0"/>
      </c:catAx>
      <c:valAx>
        <c:axId val="14495620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49561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Almendro Secano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'ALM-EDAD'!$AK$336</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'ALM-EDAD'!$AJ$182:$AJ$191</c:f>
              <c:strCache>
                <c:ptCount val="10"/>
                <c:pt idx="0">
                  <c:v>ALBACETE</c:v>
                </c:pt>
                <c:pt idx="1">
                  <c:v>CUENCA</c:v>
                </c:pt>
                <c:pt idx="2">
                  <c:v>GRANADA</c:v>
                </c:pt>
                <c:pt idx="3">
                  <c:v>MURCIA</c:v>
                </c:pt>
                <c:pt idx="4">
                  <c:v>CIUDAD REAL</c:v>
                </c:pt>
                <c:pt idx="5">
                  <c:v>TOLEDO</c:v>
                </c:pt>
                <c:pt idx="6">
                  <c:v>CÓRDOBA</c:v>
                </c:pt>
                <c:pt idx="7">
                  <c:v>ZARAGOZA</c:v>
                </c:pt>
                <c:pt idx="8">
                  <c:v>ALMERÍA</c:v>
                </c:pt>
                <c:pt idx="9">
                  <c:v>SEVILLA</c:v>
                </c:pt>
              </c:strCache>
            </c:strRef>
          </c:cat>
          <c:val>
            <c:numRef>
              <c:f>'ALM-EDAD'!$AL$182:$AL$191</c:f>
              <c:numCache>
                <c:formatCode>#,##0</c:formatCode>
                <c:ptCount val="10"/>
                <c:pt idx="0">
                  <c:v>53153.099999999991</c:v>
                </c:pt>
                <c:pt idx="1">
                  <c:v>21428.630800000003</c:v>
                </c:pt>
                <c:pt idx="2">
                  <c:v>56379.058400000024</c:v>
                </c:pt>
                <c:pt idx="3">
                  <c:v>45596.399999999994</c:v>
                </c:pt>
                <c:pt idx="4">
                  <c:v>12118.2</c:v>
                </c:pt>
                <c:pt idx="5">
                  <c:v>16281.44</c:v>
                </c:pt>
                <c:pt idx="6">
                  <c:v>4805.42</c:v>
                </c:pt>
                <c:pt idx="7">
                  <c:v>29249.780000000013</c:v>
                </c:pt>
                <c:pt idx="8">
                  <c:v>35433.257300000012</c:v>
                </c:pt>
                <c:pt idx="9">
                  <c:v>3656.0870000000004</c:v>
                </c:pt>
              </c:numCache>
            </c:numRef>
          </c:val>
          <c:extLst>
            <c:ext xmlns:c16="http://schemas.microsoft.com/office/drawing/2014/chart" uri="{C3380CC4-5D6E-409C-BE32-E72D297353CC}">
              <c16:uniqueId val="{00000000-1919-4DB4-A682-A17F750F00B7}"/>
            </c:ext>
          </c:extLst>
        </c:ser>
        <c:ser>
          <c:idx val="0"/>
          <c:order val="1"/>
          <c:tx>
            <c:strRef>
              <c:f>'ALM-EDAD'!$AJ$336</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B0C11257-F32C-4C65-9AB6-0927D885DC8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919-4DB4-A682-A17F750F00B7}"/>
                </c:ext>
              </c:extLst>
            </c:dLbl>
            <c:dLbl>
              <c:idx val="1"/>
              <c:tx>
                <c:rich>
                  <a:bodyPr/>
                  <a:lstStyle/>
                  <a:p>
                    <a:fld id="{F9501EE2-1E8E-4E48-936B-6E158BD80D0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919-4DB4-A682-A17F750F00B7}"/>
                </c:ext>
              </c:extLst>
            </c:dLbl>
            <c:dLbl>
              <c:idx val="2"/>
              <c:tx>
                <c:rich>
                  <a:bodyPr/>
                  <a:lstStyle/>
                  <a:p>
                    <a:fld id="{FE28D31E-52CE-4D6B-B416-9EAE8E41E1F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919-4DB4-A682-A17F750F00B7}"/>
                </c:ext>
              </c:extLst>
            </c:dLbl>
            <c:dLbl>
              <c:idx val="3"/>
              <c:tx>
                <c:rich>
                  <a:bodyPr/>
                  <a:lstStyle/>
                  <a:p>
                    <a:fld id="{0FFCE30C-3F7F-4239-ABCA-CC1F0969F54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919-4DB4-A682-A17F750F00B7}"/>
                </c:ext>
              </c:extLst>
            </c:dLbl>
            <c:dLbl>
              <c:idx val="4"/>
              <c:tx>
                <c:rich>
                  <a:bodyPr/>
                  <a:lstStyle/>
                  <a:p>
                    <a:fld id="{907B8F61-75CB-49E3-A008-655D0C944F4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919-4DB4-A682-A17F750F00B7}"/>
                </c:ext>
              </c:extLst>
            </c:dLbl>
            <c:dLbl>
              <c:idx val="5"/>
              <c:tx>
                <c:rich>
                  <a:bodyPr/>
                  <a:lstStyle/>
                  <a:p>
                    <a:fld id="{59CAB044-A417-49C1-B3BC-0992B58177A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919-4DB4-A682-A17F750F00B7}"/>
                </c:ext>
              </c:extLst>
            </c:dLbl>
            <c:dLbl>
              <c:idx val="6"/>
              <c:tx>
                <c:rich>
                  <a:bodyPr/>
                  <a:lstStyle/>
                  <a:p>
                    <a:fld id="{E3158077-764C-4026-AC66-74350C6BA6E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919-4DB4-A682-A17F750F00B7}"/>
                </c:ext>
              </c:extLst>
            </c:dLbl>
            <c:dLbl>
              <c:idx val="7"/>
              <c:tx>
                <c:rich>
                  <a:bodyPr/>
                  <a:lstStyle/>
                  <a:p>
                    <a:fld id="{2F44B929-9504-4019-8A19-0BE5619D3F1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919-4DB4-A682-A17F750F00B7}"/>
                </c:ext>
              </c:extLst>
            </c:dLbl>
            <c:dLbl>
              <c:idx val="8"/>
              <c:tx>
                <c:rich>
                  <a:bodyPr/>
                  <a:lstStyle/>
                  <a:p>
                    <a:fld id="{24165D01-2A6F-4E59-98D7-E50785F224C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919-4DB4-A682-A17F750F00B7}"/>
                </c:ext>
              </c:extLst>
            </c:dLbl>
            <c:dLbl>
              <c:idx val="9"/>
              <c:tx>
                <c:rich>
                  <a:bodyPr/>
                  <a:lstStyle/>
                  <a:p>
                    <a:fld id="{9B7367BF-A686-4235-81A6-3E0B18B135C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919-4DB4-A682-A17F750F00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'ALM-EDAD'!$AJ$182:$AJ$191</c:f>
              <c:strCache>
                <c:ptCount val="10"/>
                <c:pt idx="0">
                  <c:v>ALBACETE</c:v>
                </c:pt>
                <c:pt idx="1">
                  <c:v>CUENCA</c:v>
                </c:pt>
                <c:pt idx="2">
                  <c:v>GRANADA</c:v>
                </c:pt>
                <c:pt idx="3">
                  <c:v>MURCIA</c:v>
                </c:pt>
                <c:pt idx="4">
                  <c:v>CIUDAD REAL</c:v>
                </c:pt>
                <c:pt idx="5">
                  <c:v>TOLEDO</c:v>
                </c:pt>
                <c:pt idx="6">
                  <c:v>CÓRDOBA</c:v>
                </c:pt>
                <c:pt idx="7">
                  <c:v>ZARAGOZA</c:v>
                </c:pt>
                <c:pt idx="8">
                  <c:v>ALMERÍA</c:v>
                </c:pt>
                <c:pt idx="9">
                  <c:v>SEVILLA</c:v>
                </c:pt>
              </c:strCache>
            </c:strRef>
          </c:cat>
          <c:val>
            <c:numRef>
              <c:f>'ALM-EDAD'!$AK$182:$AK$191</c:f>
              <c:numCache>
                <c:formatCode>#,##0</c:formatCode>
                <c:ptCount val="10"/>
                <c:pt idx="0">
                  <c:v>10870.489999999998</c:v>
                </c:pt>
                <c:pt idx="1">
                  <c:v>5288.5300000000007</c:v>
                </c:pt>
                <c:pt idx="2">
                  <c:v>4787.8099999999995</c:v>
                </c:pt>
                <c:pt idx="3">
                  <c:v>4566.37</c:v>
                </c:pt>
                <c:pt idx="4">
                  <c:v>3662.6199999999994</c:v>
                </c:pt>
                <c:pt idx="5">
                  <c:v>3570.64</c:v>
                </c:pt>
                <c:pt idx="6">
                  <c:v>3493.9999999999995</c:v>
                </c:pt>
                <c:pt idx="7">
                  <c:v>3289.3500000000004</c:v>
                </c:pt>
                <c:pt idx="8">
                  <c:v>2738.8500000000004</c:v>
                </c:pt>
                <c:pt idx="9">
                  <c:v>1933.9699999999998</c:v>
                </c:pt>
              </c:numCache>
            </c:numRef>
          </c:val>
          <c:extLst>
            <c:ext xmlns:c15="http://schemas.microsoft.com/office/drawing/2012/chart" uri="{02D57815-91ED-43cb-92C2-25804820EDAC}">
              <c15:datalabelsRange>
                <c15:f>'ALM-EDAD'!$AM$182:$AM$191</c15:f>
                <c15:dlblRangeCache>
                  <c:ptCount val="10"/>
                  <c:pt idx="0">
                    <c:v>20%</c:v>
                  </c:pt>
                  <c:pt idx="1">
                    <c:v>25%</c:v>
                  </c:pt>
                  <c:pt idx="2">
                    <c:v>8%</c:v>
                  </c:pt>
                  <c:pt idx="3">
                    <c:v>10%</c:v>
                  </c:pt>
                  <c:pt idx="4">
                    <c:v>30%</c:v>
                  </c:pt>
                  <c:pt idx="5">
                    <c:v>22%</c:v>
                  </c:pt>
                  <c:pt idx="6">
                    <c:v>73%</c:v>
                  </c:pt>
                  <c:pt idx="7">
                    <c:v>11%</c:v>
                  </c:pt>
                  <c:pt idx="8">
                    <c:v>8%</c:v>
                  </c:pt>
                  <c:pt idx="9">
                    <c:v>53%</c:v>
                  </c:pt>
                </c15:dlblRangeCache>
              </c15:datalabelsRange>
            </c:ext>
            <c:ext xmlns:c16="http://schemas.microsoft.com/office/drawing/2014/chart" uri="{C3380CC4-5D6E-409C-BE32-E72D297353CC}">
              <c16:uniqueId val="{0000000B-1919-4DB4-A682-A17F750F00B7}"/>
            </c:ext>
          </c:extLst>
        </c:ser>
        <c:dLbls>
          <c:showLegendKey val="0"/>
          <c:showVal val="0"/>
          <c:showCatName val="0"/>
          <c:showSerName val="0"/>
          <c:showPercent val="0"/>
          <c:showBubbleSize val="0"/>
        </c:dLbls>
        <c:gapWidth val="150"/>
        <c:overlap val="-40"/>
        <c:axId val="102945664"/>
        <c:axId val="102947840"/>
      </c:barChart>
      <c:catAx>
        <c:axId val="102945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2947840"/>
        <c:crosses val="autoZero"/>
        <c:auto val="1"/>
        <c:lblAlgn val="ctr"/>
        <c:lblOffset val="100"/>
        <c:noMultiLvlLbl val="0"/>
      </c:catAx>
      <c:valAx>
        <c:axId val="102947840"/>
        <c:scaling>
          <c:orientation val="minMax"/>
          <c:max val="600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2945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Secano</a:t>
            </a:r>
            <a:r>
              <a:rPr lang="es-ES" b="1" baseline="0">
                <a:solidFill>
                  <a:sysClr val="windowText" lastClr="000000"/>
                </a:solidFill>
              </a:rPr>
              <a:t> 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'ALM-EDAD'!$AP$179</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B142016B-7F31-43BC-B7E1-FC9E6A781F9C}"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6AF-477B-BC4B-0DF5E0A278B0}"/>
                </c:ext>
              </c:extLst>
            </c:dLbl>
            <c:dLbl>
              <c:idx val="1"/>
              <c:tx>
                <c:rich>
                  <a:bodyPr/>
                  <a:lstStyle/>
                  <a:p>
                    <a:fld id="{61648291-F27C-4C44-970B-748C268CD99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6AF-477B-BC4B-0DF5E0A278B0}"/>
                </c:ext>
              </c:extLst>
            </c:dLbl>
            <c:dLbl>
              <c:idx val="2"/>
              <c:tx>
                <c:rich>
                  <a:bodyPr/>
                  <a:lstStyle/>
                  <a:p>
                    <a:fld id="{1AE5898B-7AEB-4801-BB25-C60A64E9F4C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6AF-477B-BC4B-0DF5E0A278B0}"/>
                </c:ext>
              </c:extLst>
            </c:dLbl>
            <c:dLbl>
              <c:idx val="3"/>
              <c:tx>
                <c:rich>
                  <a:bodyPr/>
                  <a:lstStyle/>
                  <a:p>
                    <a:fld id="{99972E6C-BB55-4FC6-BC89-E516271A6A3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6AF-477B-BC4B-0DF5E0A278B0}"/>
                </c:ext>
              </c:extLst>
            </c:dLbl>
            <c:dLbl>
              <c:idx val="4"/>
              <c:tx>
                <c:rich>
                  <a:bodyPr/>
                  <a:lstStyle/>
                  <a:p>
                    <a:fld id="{71732A79-76A9-43D0-B16D-86A77B8E2AF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6AF-477B-BC4B-0DF5E0A278B0}"/>
                </c:ext>
              </c:extLst>
            </c:dLbl>
            <c:dLbl>
              <c:idx val="5"/>
              <c:tx>
                <c:rich>
                  <a:bodyPr/>
                  <a:lstStyle/>
                  <a:p>
                    <a:fld id="{E14181E6-F4F6-4DE1-B13E-D927D66951E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6AF-477B-BC4B-0DF5E0A278B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'ALM-EDAD'!$AO$180:$AO$185</c:f>
              <c:strCache>
                <c:ptCount val="6"/>
                <c:pt idx="0">
                  <c:v>C.-LA MANCHA</c:v>
                </c:pt>
                <c:pt idx="1">
                  <c:v>ANDALUCÍA</c:v>
                </c:pt>
                <c:pt idx="2">
                  <c:v>ARAGÓN</c:v>
                </c:pt>
                <c:pt idx="3">
                  <c:v>MURCIA</c:v>
                </c:pt>
                <c:pt idx="4">
                  <c:v>C. VALENCIANA</c:v>
                </c:pt>
                <c:pt idx="5">
                  <c:v>EXTREMADURA</c:v>
                </c:pt>
              </c:strCache>
            </c:strRef>
          </c:cat>
          <c:val>
            <c:numRef>
              <c:f>'ALM-EDAD'!$AP$180:$AP$185</c:f>
              <c:numCache>
                <c:formatCode>#,##0</c:formatCode>
                <c:ptCount val="6"/>
                <c:pt idx="0">
                  <c:v>23588.649999999998</c:v>
                </c:pt>
                <c:pt idx="1">
                  <c:v>14813.65</c:v>
                </c:pt>
                <c:pt idx="2">
                  <c:v>4993.2800000000007</c:v>
                </c:pt>
                <c:pt idx="3">
                  <c:v>4566.37</c:v>
                </c:pt>
                <c:pt idx="4">
                  <c:v>2182.7900000000004</c:v>
                </c:pt>
                <c:pt idx="5">
                  <c:v>1858.9800000000002</c:v>
                </c:pt>
              </c:numCache>
            </c:numRef>
          </c:val>
          <c:extLst>
            <c:ext xmlns:c15="http://schemas.microsoft.com/office/drawing/2012/chart" uri="{02D57815-91ED-43cb-92C2-25804820EDAC}">
              <c15:datalabelsRange>
                <c15:f>'ALM-EDAD'!$AR$180:$AR$185</c15:f>
                <c15:dlblRangeCache>
                  <c:ptCount val="6"/>
                  <c:pt idx="0">
                    <c:v>23%</c:v>
                  </c:pt>
                  <c:pt idx="1">
                    <c:v>13%</c:v>
                  </c:pt>
                  <c:pt idx="2">
                    <c:v>10%</c:v>
                  </c:pt>
                  <c:pt idx="3">
                    <c:v>10%</c:v>
                  </c:pt>
                  <c:pt idx="4">
                    <c:v>5%</c:v>
                  </c:pt>
                  <c:pt idx="5">
                    <c:v>38%</c:v>
                  </c:pt>
                </c15:dlblRangeCache>
              </c15:datalabelsRange>
            </c:ext>
            <c:ext xmlns:c16="http://schemas.microsoft.com/office/drawing/2014/chart" uri="{C3380CC4-5D6E-409C-BE32-E72D297353CC}">
              <c16:uniqueId val="{00000006-B6AF-477B-BC4B-0DF5E0A278B0}"/>
            </c:ext>
          </c:extLst>
        </c:ser>
        <c:ser>
          <c:idx val="1"/>
          <c:order val="1"/>
          <c:tx>
            <c:strRef>
              <c:f>'ALM-EDAD'!$AQ$179</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'ALM-EDAD'!$AO$180:$AO$185</c:f>
              <c:strCache>
                <c:ptCount val="6"/>
                <c:pt idx="0">
                  <c:v>C.-LA MANCHA</c:v>
                </c:pt>
                <c:pt idx="1">
                  <c:v>ANDALUCÍA</c:v>
                </c:pt>
                <c:pt idx="2">
                  <c:v>ARAGÓN</c:v>
                </c:pt>
                <c:pt idx="3">
                  <c:v>MURCIA</c:v>
                </c:pt>
                <c:pt idx="4">
                  <c:v>C. VALENCIANA</c:v>
                </c:pt>
                <c:pt idx="5">
                  <c:v>EXTREMADURA</c:v>
                </c:pt>
              </c:strCache>
            </c:strRef>
          </c:cat>
          <c:val>
            <c:numRef>
              <c:f>'ALM-EDAD'!$AQ$180:$AQ$185</c:f>
              <c:numCache>
                <c:formatCode>#,##0</c:formatCode>
                <c:ptCount val="6"/>
                <c:pt idx="0">
                  <c:v>103361.62079999999</c:v>
                </c:pt>
                <c:pt idx="1">
                  <c:v>110908.72140000002</c:v>
                </c:pt>
                <c:pt idx="2">
                  <c:v>52355.470000000023</c:v>
                </c:pt>
                <c:pt idx="3">
                  <c:v>45596.399999999994</c:v>
                </c:pt>
                <c:pt idx="4">
                  <c:v>45689.07769999998</c:v>
                </c:pt>
                <c:pt idx="5">
                  <c:v>4930.58</c:v>
                </c:pt>
              </c:numCache>
            </c:numRef>
          </c:val>
          <c:extLst>
            <c:ext xmlns:c16="http://schemas.microsoft.com/office/drawing/2014/chart" uri="{C3380CC4-5D6E-409C-BE32-E72D297353CC}">
              <c16:uniqueId val="{00000007-B6AF-477B-BC4B-0DF5E0A278B0}"/>
            </c:ext>
          </c:extLst>
        </c:ser>
        <c:dLbls>
          <c:showLegendKey val="0"/>
          <c:showVal val="0"/>
          <c:showCatName val="0"/>
          <c:showSerName val="0"/>
          <c:showPercent val="0"/>
          <c:showBubbleSize val="0"/>
        </c:dLbls>
        <c:gapWidth val="100"/>
        <c:axId val="102933152"/>
        <c:axId val="102935872"/>
      </c:barChart>
      <c:catAx>
        <c:axId val="10293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5872"/>
        <c:crosses val="autoZero"/>
        <c:auto val="1"/>
        <c:lblAlgn val="ctr"/>
        <c:lblOffset val="100"/>
        <c:noMultiLvlLbl val="0"/>
      </c:catAx>
      <c:valAx>
        <c:axId val="102935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3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Regadío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'ALM-EDAD'!$C$294:$X$294</c:f>
              <c:numCache>
                <c:formatCode>#,##0</c:formatCode>
                <c:ptCount val="22"/>
                <c:pt idx="0">
                  <c:v>2534.2600000000002</c:v>
                </c:pt>
                <c:pt idx="1">
                  <c:v>463.24</c:v>
                </c:pt>
                <c:pt idx="2">
                  <c:v>404.14</c:v>
                </c:pt>
                <c:pt idx="3">
                  <c:v>487.92999999999995</c:v>
                </c:pt>
                <c:pt idx="4">
                  <c:v>585.03</c:v>
                </c:pt>
                <c:pt idx="5">
                  <c:v>1030.5999999999999</c:v>
                </c:pt>
                <c:pt idx="6">
                  <c:v>778.11</c:v>
                </c:pt>
                <c:pt idx="7">
                  <c:v>1124.51</c:v>
                </c:pt>
                <c:pt idx="8">
                  <c:v>1403.2200000000003</c:v>
                </c:pt>
                <c:pt idx="9">
                  <c:v>1078.1500000000001</c:v>
                </c:pt>
                <c:pt idx="10">
                  <c:v>1298.49</c:v>
                </c:pt>
                <c:pt idx="11">
                  <c:v>947.38000000000011</c:v>
                </c:pt>
                <c:pt idx="12">
                  <c:v>1310.0800000000002</c:v>
                </c:pt>
                <c:pt idx="13">
                  <c:v>1749.0300000000002</c:v>
                </c:pt>
                <c:pt idx="14">
                  <c:v>3400</c:v>
                </c:pt>
                <c:pt idx="15">
                  <c:v>7162.9</c:v>
                </c:pt>
                <c:pt idx="16">
                  <c:v>12260.47</c:v>
                </c:pt>
                <c:pt idx="17">
                  <c:v>12819.939999999999</c:v>
                </c:pt>
                <c:pt idx="18">
                  <c:v>7944.27</c:v>
                </c:pt>
                <c:pt idx="19">
                  <c:v>7661.9199999999992</c:v>
                </c:pt>
                <c:pt idx="20">
                  <c:v>13000.239999999998</c:v>
                </c:pt>
                <c:pt idx="21">
                  <c:v>9039.35</c:v>
                </c:pt>
              </c:numCache>
            </c:numRef>
          </c:val>
          <c:extLst>
            <c:ext xmlns:c16="http://schemas.microsoft.com/office/drawing/2014/chart" uri="{C3380CC4-5D6E-409C-BE32-E72D297353CC}">
              <c16:uniqueId val="{00000000-D441-45ED-882C-DBE7F423D096}"/>
            </c:ext>
          </c:extLst>
        </c:ser>
        <c:dLbls>
          <c:showLegendKey val="0"/>
          <c:showVal val="0"/>
          <c:showCatName val="0"/>
          <c:showSerName val="0"/>
          <c:showPercent val="0"/>
          <c:showBubbleSize val="0"/>
        </c:dLbls>
        <c:gapWidth val="219"/>
        <c:overlap val="-27"/>
        <c:axId val="102936416"/>
        <c:axId val="102940224"/>
      </c:barChart>
      <c:catAx>
        <c:axId val="1029364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0224"/>
        <c:crosses val="autoZero"/>
        <c:auto val="1"/>
        <c:lblAlgn val="ctr"/>
        <c:lblOffset val="100"/>
        <c:noMultiLvlLbl val="0"/>
      </c:catAx>
      <c:valAx>
        <c:axId val="10294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64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Almendro Regadío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'ALM-EDAD'!$AL$260</c:f>
              <c:strCache>
                <c:ptCount val="1"/>
                <c:pt idx="0">
                  <c:v>Total</c:v>
                </c:pt>
              </c:strCache>
            </c:strRef>
          </c:tx>
          <c:spPr>
            <a:solidFill>
              <a:schemeClr val="accent1">
                <a:tint val="77000"/>
              </a:schemeClr>
            </a:solidFill>
            <a:ln>
              <a:solidFill>
                <a:schemeClr val="accent5">
                  <a:lumMod val="75000"/>
                </a:schemeClr>
              </a:solidFill>
            </a:ln>
            <a:effectLst/>
          </c:spPr>
          <c:invertIfNegative val="0"/>
          <c:cat>
            <c:strRef>
              <c:f>'ALM-EDAD'!$AJ$261:$AJ$270</c:f>
              <c:strCache>
                <c:ptCount val="10"/>
                <c:pt idx="0">
                  <c:v>SEVILLA</c:v>
                </c:pt>
                <c:pt idx="1">
                  <c:v>CÓRDOBA</c:v>
                </c:pt>
                <c:pt idx="2">
                  <c:v>ZARAGOZA</c:v>
                </c:pt>
                <c:pt idx="3">
                  <c:v>HUESCA</c:v>
                </c:pt>
                <c:pt idx="4">
                  <c:v>BADAJOZ</c:v>
                </c:pt>
                <c:pt idx="5">
                  <c:v>LLEIDA</c:v>
                </c:pt>
                <c:pt idx="6">
                  <c:v>ALBACETE</c:v>
                </c:pt>
                <c:pt idx="7">
                  <c:v>CÁCERES</c:v>
                </c:pt>
                <c:pt idx="8">
                  <c:v>CIUDAD REAL</c:v>
                </c:pt>
                <c:pt idx="9">
                  <c:v>TOLEDO</c:v>
                </c:pt>
              </c:strCache>
            </c:strRef>
          </c:cat>
          <c:val>
            <c:numRef>
              <c:f>'ALM-EDAD'!$AL$261:$AL$270</c:f>
              <c:numCache>
                <c:formatCode>#,##0</c:formatCode>
                <c:ptCount val="10"/>
                <c:pt idx="0">
                  <c:v>11166.859999999999</c:v>
                </c:pt>
                <c:pt idx="1">
                  <c:v>7396.2000000000007</c:v>
                </c:pt>
                <c:pt idx="2">
                  <c:v>12469.379999999997</c:v>
                </c:pt>
                <c:pt idx="3">
                  <c:v>6702.92</c:v>
                </c:pt>
                <c:pt idx="4">
                  <c:v>5707.7800000000007</c:v>
                </c:pt>
                <c:pt idx="5">
                  <c:v>7273.32</c:v>
                </c:pt>
                <c:pt idx="6">
                  <c:v>10934.63</c:v>
                </c:pt>
                <c:pt idx="7">
                  <c:v>2513.1</c:v>
                </c:pt>
                <c:pt idx="8">
                  <c:v>2841.38</c:v>
                </c:pt>
                <c:pt idx="9">
                  <c:v>2825.91</c:v>
                </c:pt>
              </c:numCache>
            </c:numRef>
          </c:val>
          <c:extLst>
            <c:ext xmlns:c16="http://schemas.microsoft.com/office/drawing/2014/chart" uri="{C3380CC4-5D6E-409C-BE32-E72D297353CC}">
              <c16:uniqueId val="{00000000-DC23-41ED-A337-D79273662551}"/>
            </c:ext>
          </c:extLst>
        </c:ser>
        <c:ser>
          <c:idx val="0"/>
          <c:order val="1"/>
          <c:tx>
            <c:strRef>
              <c:f>'ALM-EDAD'!$AK$260</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8B9647A7-48A0-4824-B378-9C1DF7894214}"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C23-41ED-A337-D79273662551}"/>
                </c:ext>
              </c:extLst>
            </c:dLbl>
            <c:dLbl>
              <c:idx val="1"/>
              <c:tx>
                <c:rich>
                  <a:bodyPr/>
                  <a:lstStyle/>
                  <a:p>
                    <a:fld id="{5B50950D-FA4D-4ADC-918A-E2C329EFBFA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C23-41ED-A337-D79273662551}"/>
                </c:ext>
              </c:extLst>
            </c:dLbl>
            <c:dLbl>
              <c:idx val="2"/>
              <c:tx>
                <c:rich>
                  <a:bodyPr/>
                  <a:lstStyle/>
                  <a:p>
                    <a:fld id="{207249F4-D7CF-486D-BFAD-7C82B80ACC6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23-41ED-A337-D79273662551}"/>
                </c:ext>
              </c:extLst>
            </c:dLbl>
            <c:dLbl>
              <c:idx val="3"/>
              <c:tx>
                <c:rich>
                  <a:bodyPr/>
                  <a:lstStyle/>
                  <a:p>
                    <a:fld id="{38C11083-86A2-4864-8A2B-4A55992D860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23-41ED-A337-D79273662551}"/>
                </c:ext>
              </c:extLst>
            </c:dLbl>
            <c:dLbl>
              <c:idx val="4"/>
              <c:tx>
                <c:rich>
                  <a:bodyPr/>
                  <a:lstStyle/>
                  <a:p>
                    <a:fld id="{081C8923-ABC9-41F9-94F4-511268F6E07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23-41ED-A337-D79273662551}"/>
                </c:ext>
              </c:extLst>
            </c:dLbl>
            <c:dLbl>
              <c:idx val="5"/>
              <c:tx>
                <c:rich>
                  <a:bodyPr/>
                  <a:lstStyle/>
                  <a:p>
                    <a:fld id="{9E5787F0-8D41-4B76-8622-9F4FCB0894B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23-41ED-A337-D79273662551}"/>
                </c:ext>
              </c:extLst>
            </c:dLbl>
            <c:dLbl>
              <c:idx val="6"/>
              <c:tx>
                <c:rich>
                  <a:bodyPr/>
                  <a:lstStyle/>
                  <a:p>
                    <a:fld id="{EA473A9E-46BB-4344-898F-DE8B3E89D62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23-41ED-A337-D79273662551}"/>
                </c:ext>
              </c:extLst>
            </c:dLbl>
            <c:dLbl>
              <c:idx val="7"/>
              <c:tx>
                <c:rich>
                  <a:bodyPr/>
                  <a:lstStyle/>
                  <a:p>
                    <a:fld id="{C54EAD30-D890-4450-A65C-BBA1D7BA11A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23-41ED-A337-D79273662551}"/>
                </c:ext>
              </c:extLst>
            </c:dLbl>
            <c:dLbl>
              <c:idx val="8"/>
              <c:tx>
                <c:rich>
                  <a:bodyPr/>
                  <a:lstStyle/>
                  <a:p>
                    <a:fld id="{196255F0-575B-44B1-B20A-E934696D47E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23-41ED-A337-D79273662551}"/>
                </c:ext>
              </c:extLst>
            </c:dLbl>
            <c:dLbl>
              <c:idx val="9"/>
              <c:tx>
                <c:rich>
                  <a:bodyPr/>
                  <a:lstStyle/>
                  <a:p>
                    <a:fld id="{BB94F459-85C3-405E-B534-FDDB7819327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C23-41ED-A337-D792736625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'ALM-EDAD'!$AJ$261:$AJ$270</c:f>
              <c:strCache>
                <c:ptCount val="10"/>
                <c:pt idx="0">
                  <c:v>SEVILLA</c:v>
                </c:pt>
                <c:pt idx="1">
                  <c:v>CÓRDOBA</c:v>
                </c:pt>
                <c:pt idx="2">
                  <c:v>ZARAGOZA</c:v>
                </c:pt>
                <c:pt idx="3">
                  <c:v>HUESCA</c:v>
                </c:pt>
                <c:pt idx="4">
                  <c:v>BADAJOZ</c:v>
                </c:pt>
                <c:pt idx="5">
                  <c:v>LLEIDA</c:v>
                </c:pt>
                <c:pt idx="6">
                  <c:v>ALBACETE</c:v>
                </c:pt>
                <c:pt idx="7">
                  <c:v>CÁCERES</c:v>
                </c:pt>
                <c:pt idx="8">
                  <c:v>CIUDAD REAL</c:v>
                </c:pt>
                <c:pt idx="9">
                  <c:v>TOLEDO</c:v>
                </c:pt>
              </c:strCache>
            </c:strRef>
          </c:cat>
          <c:val>
            <c:numRef>
              <c:f>'ALM-EDAD'!$AK$261:$AK$270</c:f>
              <c:numCache>
                <c:formatCode>#,##0</c:formatCode>
                <c:ptCount val="10"/>
                <c:pt idx="0">
                  <c:v>4893.2999999999993</c:v>
                </c:pt>
                <c:pt idx="1">
                  <c:v>3570.4000000000005</c:v>
                </c:pt>
                <c:pt idx="2">
                  <c:v>2998.48</c:v>
                </c:pt>
                <c:pt idx="3">
                  <c:v>2727.1299999999997</c:v>
                </c:pt>
                <c:pt idx="4">
                  <c:v>2445.2599999999998</c:v>
                </c:pt>
                <c:pt idx="5">
                  <c:v>1896.48</c:v>
                </c:pt>
                <c:pt idx="6">
                  <c:v>1832.81</c:v>
                </c:pt>
                <c:pt idx="7">
                  <c:v>1147.0999999999999</c:v>
                </c:pt>
                <c:pt idx="8">
                  <c:v>1120.46</c:v>
                </c:pt>
                <c:pt idx="9">
                  <c:v>900.55</c:v>
                </c:pt>
              </c:numCache>
            </c:numRef>
          </c:val>
          <c:extLst>
            <c:ext xmlns:c15="http://schemas.microsoft.com/office/drawing/2012/chart" uri="{02D57815-91ED-43cb-92C2-25804820EDAC}">
              <c15:datalabelsRange>
                <c15:f>'ALM-EDAD'!$AM$261:$AM$270</c15:f>
                <c15:dlblRangeCache>
                  <c:ptCount val="10"/>
                  <c:pt idx="0">
                    <c:v>44%</c:v>
                  </c:pt>
                  <c:pt idx="1">
                    <c:v>48%</c:v>
                  </c:pt>
                  <c:pt idx="2">
                    <c:v>24%</c:v>
                  </c:pt>
                  <c:pt idx="3">
                    <c:v>41%</c:v>
                  </c:pt>
                  <c:pt idx="4">
                    <c:v>43%</c:v>
                  </c:pt>
                  <c:pt idx="5">
                    <c:v>26%</c:v>
                  </c:pt>
                  <c:pt idx="6">
                    <c:v>17%</c:v>
                  </c:pt>
                  <c:pt idx="7">
                    <c:v>46%</c:v>
                  </c:pt>
                  <c:pt idx="8">
                    <c:v>39%</c:v>
                  </c:pt>
                  <c:pt idx="9">
                    <c:v>32%</c:v>
                  </c:pt>
                </c15:dlblRangeCache>
              </c15:datalabelsRange>
            </c:ext>
            <c:ext xmlns:c16="http://schemas.microsoft.com/office/drawing/2014/chart" uri="{C3380CC4-5D6E-409C-BE32-E72D297353CC}">
              <c16:uniqueId val="{0000000B-DC23-41ED-A337-D79273662551}"/>
            </c:ext>
          </c:extLst>
        </c:ser>
        <c:dLbls>
          <c:showLegendKey val="0"/>
          <c:showVal val="0"/>
          <c:showCatName val="0"/>
          <c:showSerName val="0"/>
          <c:showPercent val="0"/>
          <c:showBubbleSize val="0"/>
        </c:dLbls>
        <c:gapWidth val="150"/>
        <c:overlap val="-40"/>
        <c:axId val="102946208"/>
        <c:axId val="102936960"/>
      </c:barChart>
      <c:catAx>
        <c:axId val="102946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2936960"/>
        <c:crosses val="autoZero"/>
        <c:auto val="1"/>
        <c:lblAlgn val="ctr"/>
        <c:lblOffset val="100"/>
        <c:noMultiLvlLbl val="0"/>
      </c:catAx>
      <c:valAx>
        <c:axId val="10293696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2946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Regadío </a:t>
            </a:r>
            <a:r>
              <a:rPr lang="es-ES" b="1" baseline="0">
                <a:solidFill>
                  <a:sysClr val="windowText" lastClr="000000"/>
                </a:solidFill>
              </a:rPr>
              <a:t>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'ALM-EDAD'!$AP$258</c:f>
              <c:strCache>
                <c:ptCount val="1"/>
                <c:pt idx="0">
                  <c:v>Plantaciones jóvenes</c:v>
                </c:pt>
              </c:strCache>
            </c:strRef>
          </c:tx>
          <c:spPr>
            <a:solidFill>
              <a:schemeClr val="accent1">
                <a:shade val="76000"/>
              </a:schemeClr>
            </a:solidFill>
            <a:ln>
              <a:solidFill>
                <a:schemeClr val="accent5">
                  <a:lumMod val="50000"/>
                </a:schemeClr>
              </a:solidFill>
            </a:ln>
            <a:effectLst/>
          </c:spPr>
          <c:invertIfNegative val="0"/>
          <c:dLbls>
            <c:dLbl>
              <c:idx val="0"/>
              <c:tx>
                <c:rich>
                  <a:bodyPr/>
                  <a:lstStyle/>
                  <a:p>
                    <a:fld id="{29A00204-B0B6-4ACD-999D-0280FD4E0BFD}"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7A3-42B9-AE55-7907C688F786}"/>
                </c:ext>
              </c:extLst>
            </c:dLbl>
            <c:dLbl>
              <c:idx val="1"/>
              <c:tx>
                <c:rich>
                  <a:bodyPr/>
                  <a:lstStyle/>
                  <a:p>
                    <a:fld id="{2B0E2F68-5A20-4BED-A0EE-C721BD1D129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7A3-42B9-AE55-7907C688F786}"/>
                </c:ext>
              </c:extLst>
            </c:dLbl>
            <c:dLbl>
              <c:idx val="2"/>
              <c:tx>
                <c:rich>
                  <a:bodyPr/>
                  <a:lstStyle/>
                  <a:p>
                    <a:fld id="{D6ACA112-8F1D-445E-9F2B-1803C593429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7A3-42B9-AE55-7907C688F786}"/>
                </c:ext>
              </c:extLst>
            </c:dLbl>
            <c:dLbl>
              <c:idx val="3"/>
              <c:tx>
                <c:rich>
                  <a:bodyPr/>
                  <a:lstStyle/>
                  <a:p>
                    <a:fld id="{F162EA78-7CED-4240-A564-FF1E51D2A49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7A3-42B9-AE55-7907C688F786}"/>
                </c:ext>
              </c:extLst>
            </c:dLbl>
            <c:dLbl>
              <c:idx val="4"/>
              <c:tx>
                <c:rich>
                  <a:bodyPr/>
                  <a:lstStyle/>
                  <a:p>
                    <a:fld id="{3167AE01-AA15-49DB-99B6-50850C68407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7A3-42B9-AE55-7907C688F786}"/>
                </c:ext>
              </c:extLst>
            </c:dLbl>
            <c:dLbl>
              <c:idx val="5"/>
              <c:tx>
                <c:rich>
                  <a:bodyPr/>
                  <a:lstStyle/>
                  <a:p>
                    <a:fld id="{25617CD2-175F-4F25-A684-2EA2CA09224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7A3-42B9-AE55-7907C688F78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'ALM-EDAD'!$AO$259:$AO$264</c:f>
              <c:strCache>
                <c:ptCount val="6"/>
                <c:pt idx="0">
                  <c:v>ANDALUCÍA</c:v>
                </c:pt>
                <c:pt idx="1">
                  <c:v>ARAGÓN</c:v>
                </c:pt>
                <c:pt idx="2">
                  <c:v>C.-LA MANCHA</c:v>
                </c:pt>
                <c:pt idx="3">
                  <c:v>EXTREMADURA</c:v>
                </c:pt>
                <c:pt idx="4">
                  <c:v>CATALUÑA</c:v>
                </c:pt>
                <c:pt idx="5">
                  <c:v>MURCIA</c:v>
                </c:pt>
              </c:strCache>
            </c:strRef>
          </c:cat>
          <c:val>
            <c:numRef>
              <c:f>'ALM-EDAD'!$AP$259:$AP$264</c:f>
              <c:numCache>
                <c:formatCode>#,##0</c:formatCode>
                <c:ptCount val="6"/>
                <c:pt idx="0">
                  <c:v>10805.17</c:v>
                </c:pt>
                <c:pt idx="1">
                  <c:v>6242.6399999999994</c:v>
                </c:pt>
                <c:pt idx="2">
                  <c:v>4129.2800000000007</c:v>
                </c:pt>
                <c:pt idx="3">
                  <c:v>3592.3599999999997</c:v>
                </c:pt>
                <c:pt idx="4">
                  <c:v>2573.29</c:v>
                </c:pt>
                <c:pt idx="5">
                  <c:v>704.51</c:v>
                </c:pt>
              </c:numCache>
            </c:numRef>
          </c:val>
          <c:extLst>
            <c:ext xmlns:c15="http://schemas.microsoft.com/office/drawing/2012/chart" uri="{02D57815-91ED-43cb-92C2-25804820EDAC}">
              <c15:datalabelsRange>
                <c15:f>'ALM-EDAD'!$AR$259:$AR$264</c15:f>
                <c15:dlblRangeCache>
                  <c:ptCount val="6"/>
                  <c:pt idx="0">
                    <c:v>39%</c:v>
                  </c:pt>
                  <c:pt idx="1">
                    <c:v>30%</c:v>
                  </c:pt>
                  <c:pt idx="2">
                    <c:v>24%</c:v>
                  </c:pt>
                  <c:pt idx="3">
                    <c:v>44%</c:v>
                  </c:pt>
                  <c:pt idx="4">
                    <c:v>24%</c:v>
                  </c:pt>
                  <c:pt idx="5">
                    <c:v>13%</c:v>
                  </c:pt>
                </c15:dlblRangeCache>
              </c15:datalabelsRange>
            </c:ext>
            <c:ext xmlns:c16="http://schemas.microsoft.com/office/drawing/2014/chart" uri="{C3380CC4-5D6E-409C-BE32-E72D297353CC}">
              <c16:uniqueId val="{00000006-E7A3-42B9-AE55-7907C688F786}"/>
            </c:ext>
          </c:extLst>
        </c:ser>
        <c:ser>
          <c:idx val="1"/>
          <c:order val="1"/>
          <c:tx>
            <c:strRef>
              <c:f>'ALM-EDAD'!$AQ$258</c:f>
              <c:strCache>
                <c:ptCount val="1"/>
                <c:pt idx="0">
                  <c:v>Total</c:v>
                </c:pt>
              </c:strCache>
            </c:strRef>
          </c:tx>
          <c:spPr>
            <a:solidFill>
              <a:schemeClr val="accent1">
                <a:tint val="77000"/>
              </a:schemeClr>
            </a:solidFill>
            <a:ln>
              <a:solidFill>
                <a:schemeClr val="accent5">
                  <a:lumMod val="75000"/>
                </a:schemeClr>
              </a:solidFill>
            </a:ln>
            <a:effectLst/>
          </c:spPr>
          <c:invertIfNegative val="0"/>
          <c:cat>
            <c:strRef>
              <c:f>'ALM-EDAD'!$AO$259:$AO$264</c:f>
              <c:strCache>
                <c:ptCount val="6"/>
                <c:pt idx="0">
                  <c:v>ANDALUCÍA</c:v>
                </c:pt>
                <c:pt idx="1">
                  <c:v>ARAGÓN</c:v>
                </c:pt>
                <c:pt idx="2">
                  <c:v>C.-LA MANCHA</c:v>
                </c:pt>
                <c:pt idx="3">
                  <c:v>EXTREMADURA</c:v>
                </c:pt>
                <c:pt idx="4">
                  <c:v>CATALUÑA</c:v>
                </c:pt>
                <c:pt idx="5">
                  <c:v>MURCIA</c:v>
                </c:pt>
              </c:strCache>
            </c:strRef>
          </c:cat>
          <c:val>
            <c:numRef>
              <c:f>'ALM-EDAD'!$AQ$259:$AQ$264</c:f>
              <c:numCache>
                <c:formatCode>#,##0</c:formatCode>
                <c:ptCount val="6"/>
                <c:pt idx="0">
                  <c:v>27855.901899999997</c:v>
                </c:pt>
                <c:pt idx="1">
                  <c:v>20866.849999999995</c:v>
                </c:pt>
                <c:pt idx="2">
                  <c:v>17510.86</c:v>
                </c:pt>
                <c:pt idx="3">
                  <c:v>8220.880000000001</c:v>
                </c:pt>
                <c:pt idx="4">
                  <c:v>10918.139999999998</c:v>
                </c:pt>
                <c:pt idx="5">
                  <c:v>5403.25</c:v>
                </c:pt>
              </c:numCache>
            </c:numRef>
          </c:val>
          <c:extLst>
            <c:ext xmlns:c16="http://schemas.microsoft.com/office/drawing/2014/chart" uri="{C3380CC4-5D6E-409C-BE32-E72D297353CC}">
              <c16:uniqueId val="{00000007-E7A3-42B9-AE55-7907C688F786}"/>
            </c:ext>
          </c:extLst>
        </c:ser>
        <c:dLbls>
          <c:showLegendKey val="0"/>
          <c:showVal val="0"/>
          <c:showCatName val="0"/>
          <c:showSerName val="0"/>
          <c:showPercent val="0"/>
          <c:showBubbleSize val="0"/>
        </c:dLbls>
        <c:gapWidth val="100"/>
        <c:axId val="102942400"/>
        <c:axId val="102939680"/>
      </c:barChart>
      <c:catAx>
        <c:axId val="10294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39680"/>
        <c:crosses val="autoZero"/>
        <c:auto val="1"/>
        <c:lblAlgn val="ctr"/>
        <c:lblOffset val="100"/>
        <c:noMultiLvlLbl val="0"/>
      </c:catAx>
      <c:valAx>
        <c:axId val="10293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2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Secano</a:t>
            </a:r>
            <a:r>
              <a:rPr lang="es-ES" baseline="0"/>
              <a:t> Convencional: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1"/>
            <c:invertIfNegative val="0"/>
            <c:bubble3D val="0"/>
            <c:spPr>
              <a:solidFill>
                <a:srgbClr val="C0504D"/>
              </a:solidFill>
              <a:ln>
                <a:noFill/>
              </a:ln>
              <a:effectLst/>
            </c:spPr>
            <c:extLst>
              <c:ext xmlns:c16="http://schemas.microsoft.com/office/drawing/2014/chart" uri="{C3380CC4-5D6E-409C-BE32-E72D297353CC}">
                <c16:uniqueId val="{00000001-6297-432B-A05E-0E2695B83FC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'ALM-EDAD'!$A$225:$A$237</c15:sqref>
                  </c15:fullRef>
                </c:ext>
              </c:extLst>
              <c:f>('ALM-EDAD'!$A$225:$A$227,'ALM-EDAD'!$A$229:$A$237)</c:f>
              <c:strCache>
                <c:ptCount val="12"/>
                <c:pt idx="0">
                  <c:v>ANDALUCÍA</c:v>
                </c:pt>
                <c:pt idx="1">
                  <c:v>ARAGÓN</c:v>
                </c:pt>
                <c:pt idx="2">
                  <c:v>C. VALENCIANA</c:v>
                </c:pt>
                <c:pt idx="3">
                  <c:v>C.-LA MANCHA</c:v>
                </c:pt>
                <c:pt idx="4">
                  <c:v>C. y LEÓN</c:v>
                </c:pt>
                <c:pt idx="5">
                  <c:v>ISLAS BALEARES</c:v>
                </c:pt>
                <c:pt idx="6">
                  <c:v>EXTREMADURA</c:v>
                </c:pt>
                <c:pt idx="7">
                  <c:v>LA RIOJA</c:v>
                </c:pt>
                <c:pt idx="8">
                  <c:v>MADRID</c:v>
                </c:pt>
                <c:pt idx="9">
                  <c:v>MURCIA</c:v>
                </c:pt>
                <c:pt idx="10">
                  <c:v>NAVARRA</c:v>
                </c:pt>
                <c:pt idx="11">
                  <c:v>ESPAÑA</c:v>
                </c:pt>
              </c:strCache>
            </c:strRef>
          </c:cat>
          <c:val>
            <c:numRef>
              <c:extLst>
                <c:ext xmlns:c15="http://schemas.microsoft.com/office/drawing/2012/chart" uri="{02D57815-91ED-43cb-92C2-25804820EDAC}">
                  <c15:fullRef>
                    <c15:sqref>'ALM-EDAD'!$Y$225:$Y$237</c15:sqref>
                  </c15:fullRef>
                </c:ext>
              </c:extLst>
              <c:f>('ALM-EDAD'!$Y$225:$Y$227,'ALM-EDAD'!$Y$229:$Y$237)</c:f>
              <c:numCache>
                <c:formatCode>0.0%</c:formatCode>
                <c:ptCount val="12"/>
                <c:pt idx="0">
                  <c:v>6.8492178245694061E-4</c:v>
                </c:pt>
                <c:pt idx="1">
                  <c:v>1.0547926784169773E-3</c:v>
                </c:pt>
                <c:pt idx="2">
                  <c:v>2.5533699568244606E-3</c:v>
                </c:pt>
                <c:pt idx="3">
                  <c:v>7.5052666200675546E-4</c:v>
                </c:pt>
                <c:pt idx="4">
                  <c:v>2.7559743450535092E-3</c:v>
                </c:pt>
                <c:pt idx="5">
                  <c:v>3.092025982423655E-3</c:v>
                </c:pt>
                <c:pt idx="6">
                  <c:v>9.0017636108298776E-4</c:v>
                </c:pt>
                <c:pt idx="7">
                  <c:v>2.5576622660581378E-3</c:v>
                </c:pt>
                <c:pt idx="8" formatCode="0.00%">
                  <c:v>4.3459365493263795E-4</c:v>
                </c:pt>
                <c:pt idx="9">
                  <c:v>1.3558754015865187E-3</c:v>
                </c:pt>
                <c:pt idx="10">
                  <c:v>3.1951047943522067E-3</c:v>
                </c:pt>
                <c:pt idx="11">
                  <c:v>1.0617750075918716E-3</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2940768"/>
        <c:axId val="105937328"/>
      </c:barChart>
      <c:catAx>
        <c:axId val="1029407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7328"/>
        <c:crosses val="autoZero"/>
        <c:auto val="1"/>
        <c:lblAlgn val="ctr"/>
        <c:lblOffset val="100"/>
        <c:noMultiLvlLbl val="0"/>
      </c:catAx>
      <c:valAx>
        <c:axId val="10593732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0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Regadío </a:t>
            </a:r>
            <a:r>
              <a:rPr lang="es-ES" baseline="0"/>
              <a:t>Convencional: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1"/>
            <c:invertIfNegative val="0"/>
            <c:bubble3D val="0"/>
            <c:spPr>
              <a:solidFill>
                <a:srgbClr val="C0504D"/>
              </a:solidFill>
              <a:ln>
                <a:noFill/>
              </a:ln>
              <a:effectLst/>
            </c:spPr>
            <c:extLst>
              <c:ext xmlns:c16="http://schemas.microsoft.com/office/drawing/2014/chart" uri="{C3380CC4-5D6E-409C-BE32-E72D297353CC}">
                <c16:uniqueId val="{00000001-4D19-4F7B-A09F-283ADB7CD1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'ALM-EDAD'!$A$300:$A$312</c15:sqref>
                  </c15:fullRef>
                </c:ext>
              </c:extLst>
              <c:f>('ALM-EDAD'!$A$300:$A$302,'ALM-EDAD'!$A$304:$A$312)</c:f>
              <c:strCache>
                <c:ptCount val="12"/>
                <c:pt idx="0">
                  <c:v>ANDALUCÍA</c:v>
                </c:pt>
                <c:pt idx="1">
                  <c:v>ARAGÓN</c:v>
                </c:pt>
                <c:pt idx="2">
                  <c:v>C. VALENCIANA</c:v>
                </c:pt>
                <c:pt idx="3">
                  <c:v>C.-LA MANCHA</c:v>
                </c:pt>
                <c:pt idx="4">
                  <c:v>C. y LEÓN</c:v>
                </c:pt>
                <c:pt idx="5">
                  <c:v>ISLAS BALEARES</c:v>
                </c:pt>
                <c:pt idx="6">
                  <c:v>EXTREMADURA</c:v>
                </c:pt>
                <c:pt idx="7">
                  <c:v>LA RIOJA</c:v>
                </c:pt>
                <c:pt idx="8">
                  <c:v>MADRID</c:v>
                </c:pt>
                <c:pt idx="9">
                  <c:v>MURCIA</c:v>
                </c:pt>
                <c:pt idx="10">
                  <c:v>NAVARRA</c:v>
                </c:pt>
                <c:pt idx="11">
                  <c:v>ESPAÑA</c:v>
                </c:pt>
              </c:strCache>
            </c:strRef>
          </c:cat>
          <c:val>
            <c:numRef>
              <c:extLst>
                <c:ext xmlns:c15="http://schemas.microsoft.com/office/drawing/2012/chart" uri="{02D57815-91ED-43cb-92C2-25804820EDAC}">
                  <c15:fullRef>
                    <c15:sqref>'ALM-EDAD'!$Y$300:$Y$312</c15:sqref>
                  </c15:fullRef>
                </c:ext>
              </c:extLst>
              <c:f>('ALM-EDAD'!$Y$300:$Y$302,'ALM-EDAD'!$Y$304:$Y$312)</c:f>
              <c:numCache>
                <c:formatCode>0.0%</c:formatCode>
                <c:ptCount val="12"/>
                <c:pt idx="0" formatCode="0.00%">
                  <c:v>4.0999128274450556E-4</c:v>
                </c:pt>
                <c:pt idx="1">
                  <c:v>8.9903363468851305E-4</c:v>
                </c:pt>
                <c:pt idx="2">
                  <c:v>2.076130549025031E-3</c:v>
                </c:pt>
                <c:pt idx="3" formatCode="0.00%">
                  <c:v>3.8338387982200941E-4</c:v>
                </c:pt>
                <c:pt idx="4">
                  <c:v>1.5499917941610897E-3</c:v>
                </c:pt>
                <c:pt idx="5" formatCode="0.00%">
                  <c:v>3.5058052009651265E-4</c:v>
                </c:pt>
                <c:pt idx="6" formatCode="0.00%">
                  <c:v>3.491186881895702E-4</c:v>
                </c:pt>
                <c:pt idx="7">
                  <c:v>6.484467832286539E-3</c:v>
                </c:pt>
                <c:pt idx="8">
                  <c:v>1.0612244897959184E-3</c:v>
                </c:pt>
                <c:pt idx="9">
                  <c:v>2.3917820442331574E-3</c:v>
                </c:pt>
                <c:pt idx="10">
                  <c:v>2.102670740349206E-3</c:v>
                </c:pt>
                <c:pt idx="11">
                  <c:v>7.5045901547475199E-4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5932432"/>
        <c:axId val="105926448"/>
      </c:barChart>
      <c:catAx>
        <c:axId val="105932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6448"/>
        <c:crosses val="autoZero"/>
        <c:auto val="1"/>
        <c:lblAlgn val="ctr"/>
        <c:lblOffset val="100"/>
        <c:noMultiLvlLbl val="0"/>
      </c:catAx>
      <c:valAx>
        <c:axId val="10592644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Secano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'ALM-EDAD'!$C$66:$X$66</c:f>
              <c:numCache>
                <c:formatCode>#,##0</c:formatCode>
                <c:ptCount val="22"/>
                <c:pt idx="0">
                  <c:v>26518.68</c:v>
                </c:pt>
                <c:pt idx="1">
                  <c:v>3176.75</c:v>
                </c:pt>
                <c:pt idx="2">
                  <c:v>3648.7</c:v>
                </c:pt>
                <c:pt idx="3">
                  <c:v>3195.7999999999993</c:v>
                </c:pt>
                <c:pt idx="4">
                  <c:v>5936.6899999999987</c:v>
                </c:pt>
                <c:pt idx="5">
                  <c:v>7572.4699999999993</c:v>
                </c:pt>
                <c:pt idx="6">
                  <c:v>4635.74</c:v>
                </c:pt>
                <c:pt idx="7">
                  <c:v>7459.54</c:v>
                </c:pt>
                <c:pt idx="8">
                  <c:v>4457.7299999999996</c:v>
                </c:pt>
                <c:pt idx="9">
                  <c:v>6082.75</c:v>
                </c:pt>
                <c:pt idx="10">
                  <c:v>7225.59</c:v>
                </c:pt>
                <c:pt idx="11">
                  <c:v>3443.5799999999995</c:v>
                </c:pt>
                <c:pt idx="12">
                  <c:v>5442.77</c:v>
                </c:pt>
                <c:pt idx="13">
                  <c:v>6140.6699999999992</c:v>
                </c:pt>
                <c:pt idx="14">
                  <c:v>11908.810000000001</c:v>
                </c:pt>
                <c:pt idx="15">
                  <c:v>25081.85</c:v>
                </c:pt>
                <c:pt idx="16">
                  <c:v>31416.980000000003</c:v>
                </c:pt>
                <c:pt idx="17">
                  <c:v>29050.050000000003</c:v>
                </c:pt>
                <c:pt idx="18">
                  <c:v>19780.899999999998</c:v>
                </c:pt>
                <c:pt idx="19">
                  <c:v>19534.300000000003</c:v>
                </c:pt>
                <c:pt idx="20">
                  <c:v>18937.829999999994</c:v>
                </c:pt>
                <c:pt idx="21">
                  <c:v>13827.54</c:v>
                </c:pt>
              </c:numCache>
            </c:numRef>
          </c:val>
          <c:extLst>
            <c:ext xmlns:c16="http://schemas.microsoft.com/office/drawing/2014/chart" uri="{C3380CC4-5D6E-409C-BE32-E72D297353CC}">
              <c16:uniqueId val="{00000000-9938-4936-B861-5A7AF1F76EEE}"/>
            </c:ext>
          </c:extLst>
        </c:ser>
        <c:dLbls>
          <c:showLegendKey val="0"/>
          <c:showVal val="0"/>
          <c:showCatName val="0"/>
          <c:showSerName val="0"/>
          <c:showPercent val="0"/>
          <c:showBubbleSize val="0"/>
        </c:dLbls>
        <c:gapWidth val="219"/>
        <c:overlap val="-27"/>
        <c:axId val="105925360"/>
        <c:axId val="105941136"/>
      </c:barChart>
      <c:catAx>
        <c:axId val="1059253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41136"/>
        <c:crosses val="autoZero"/>
        <c:auto val="1"/>
        <c:lblAlgn val="ctr"/>
        <c:lblOffset val="100"/>
        <c:noMultiLvlLbl val="0"/>
      </c:catAx>
      <c:valAx>
        <c:axId val="10594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5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Almendro Secano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'ALM-EDAD'!$AL$30</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'ALM-EDAD'!$AJ$31:$AJ$40</c:f>
              <c:strCache>
                <c:ptCount val="10"/>
                <c:pt idx="0">
                  <c:v>ALBACETE</c:v>
                </c:pt>
                <c:pt idx="1">
                  <c:v>GRANADA</c:v>
                </c:pt>
                <c:pt idx="2">
                  <c:v>MURCIA</c:v>
                </c:pt>
                <c:pt idx="3">
                  <c:v>CUENCA</c:v>
                </c:pt>
                <c:pt idx="4">
                  <c:v>CIUDAD REAL</c:v>
                </c:pt>
                <c:pt idx="5">
                  <c:v>TOLEDO</c:v>
                </c:pt>
                <c:pt idx="6">
                  <c:v>ZARAGOZA</c:v>
                </c:pt>
                <c:pt idx="7">
                  <c:v>CÓRDOBA</c:v>
                </c:pt>
                <c:pt idx="8">
                  <c:v>ALMERÍA</c:v>
                </c:pt>
                <c:pt idx="9">
                  <c:v>SEVILLA</c:v>
                </c:pt>
              </c:strCache>
            </c:strRef>
          </c:cat>
          <c:val>
            <c:numRef>
              <c:f>'ALM-EDAD'!$AL$31:$AL$40</c:f>
              <c:numCache>
                <c:formatCode>#,##0</c:formatCode>
                <c:ptCount val="10"/>
                <c:pt idx="0">
                  <c:v>66010.019999999975</c:v>
                </c:pt>
                <c:pt idx="1">
                  <c:v>82587.188399999999</c:v>
                </c:pt>
                <c:pt idx="2">
                  <c:v>74140.409999999974</c:v>
                </c:pt>
                <c:pt idx="3">
                  <c:v>27012.9408</c:v>
                </c:pt>
                <c:pt idx="4">
                  <c:v>15263.380000000001</c:v>
                </c:pt>
                <c:pt idx="5">
                  <c:v>20127.730000000003</c:v>
                </c:pt>
                <c:pt idx="6">
                  <c:v>31577.830000000013</c:v>
                </c:pt>
                <c:pt idx="7">
                  <c:v>5041.5899999999992</c:v>
                </c:pt>
                <c:pt idx="8">
                  <c:v>44169.807300000015</c:v>
                </c:pt>
                <c:pt idx="9">
                  <c:v>4007.2769999999996</c:v>
                </c:pt>
              </c:numCache>
            </c:numRef>
          </c:val>
          <c:extLst>
            <c:ext xmlns:c16="http://schemas.microsoft.com/office/drawing/2014/chart" uri="{C3380CC4-5D6E-409C-BE32-E72D297353CC}">
              <c16:uniqueId val="{00000000-A362-4528-81DA-0E63096E9EFC}"/>
            </c:ext>
          </c:extLst>
        </c:ser>
        <c:ser>
          <c:idx val="0"/>
          <c:order val="1"/>
          <c:tx>
            <c:strRef>
              <c:f>'ALM-EDAD'!$AK$30</c:f>
              <c:strCache>
                <c:ptCount val="1"/>
                <c:pt idx="0">
                  <c:v>Plantº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E3ACCBFD-EA83-4E06-8BDE-B933431B4050}"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362-4528-81DA-0E63096E9EFC}"/>
                </c:ext>
              </c:extLst>
            </c:dLbl>
            <c:dLbl>
              <c:idx val="1"/>
              <c:tx>
                <c:rich>
                  <a:bodyPr/>
                  <a:lstStyle/>
                  <a:p>
                    <a:fld id="{656E90E4-B144-4F05-81C9-084C736B9BF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362-4528-81DA-0E63096E9EFC}"/>
                </c:ext>
              </c:extLst>
            </c:dLbl>
            <c:dLbl>
              <c:idx val="2"/>
              <c:tx>
                <c:rich>
                  <a:bodyPr/>
                  <a:lstStyle/>
                  <a:p>
                    <a:fld id="{3E806166-CE1F-4C55-AE76-3D4567B4D59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362-4528-81DA-0E63096E9EFC}"/>
                </c:ext>
              </c:extLst>
            </c:dLbl>
            <c:dLbl>
              <c:idx val="3"/>
              <c:tx>
                <c:rich>
                  <a:bodyPr/>
                  <a:lstStyle/>
                  <a:p>
                    <a:fld id="{05FF66B2-C83E-4366-B5EA-BA5B0F3F220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362-4528-81DA-0E63096E9EFC}"/>
                </c:ext>
              </c:extLst>
            </c:dLbl>
            <c:dLbl>
              <c:idx val="4"/>
              <c:tx>
                <c:rich>
                  <a:bodyPr/>
                  <a:lstStyle/>
                  <a:p>
                    <a:fld id="{6B059950-33C3-4E69-9AFB-3E6BC2129A8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362-4528-81DA-0E63096E9EFC}"/>
                </c:ext>
              </c:extLst>
            </c:dLbl>
            <c:dLbl>
              <c:idx val="5"/>
              <c:tx>
                <c:rich>
                  <a:bodyPr/>
                  <a:lstStyle/>
                  <a:p>
                    <a:fld id="{9EE82552-EB5A-43D5-8E47-2569F47BF1A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362-4528-81DA-0E63096E9EFC}"/>
                </c:ext>
              </c:extLst>
            </c:dLbl>
            <c:dLbl>
              <c:idx val="6"/>
              <c:tx>
                <c:rich>
                  <a:bodyPr/>
                  <a:lstStyle/>
                  <a:p>
                    <a:fld id="{CBD63D30-8D37-4D3E-AA6C-4EBA46AD6C8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362-4528-81DA-0E63096E9EFC}"/>
                </c:ext>
              </c:extLst>
            </c:dLbl>
            <c:dLbl>
              <c:idx val="7"/>
              <c:tx>
                <c:rich>
                  <a:bodyPr/>
                  <a:lstStyle/>
                  <a:p>
                    <a:fld id="{B96A33E7-F118-4083-83A8-22A701FE456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362-4528-81DA-0E63096E9EFC}"/>
                </c:ext>
              </c:extLst>
            </c:dLbl>
            <c:dLbl>
              <c:idx val="8"/>
              <c:tx>
                <c:rich>
                  <a:bodyPr/>
                  <a:lstStyle/>
                  <a:p>
                    <a:fld id="{0B2BD577-77B2-49C2-BEA0-9E2148C5033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362-4528-81DA-0E63096E9EFC}"/>
                </c:ext>
              </c:extLst>
            </c:dLbl>
            <c:dLbl>
              <c:idx val="9"/>
              <c:tx>
                <c:rich>
                  <a:bodyPr/>
                  <a:lstStyle/>
                  <a:p>
                    <a:fld id="{165F60CE-E668-4B78-BF32-3E57767682B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362-4528-81DA-0E63096E9E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'ALM-EDAD'!$AJ$31:$AJ$40</c:f>
              <c:strCache>
                <c:ptCount val="10"/>
                <c:pt idx="0">
                  <c:v>ALBACETE</c:v>
                </c:pt>
                <c:pt idx="1">
                  <c:v>GRANADA</c:v>
                </c:pt>
                <c:pt idx="2">
                  <c:v>MURCIA</c:v>
                </c:pt>
                <c:pt idx="3">
                  <c:v>CUENCA</c:v>
                </c:pt>
                <c:pt idx="4">
                  <c:v>CIUDAD REAL</c:v>
                </c:pt>
                <c:pt idx="5">
                  <c:v>TOLEDO</c:v>
                </c:pt>
                <c:pt idx="6">
                  <c:v>ZARAGOZA</c:v>
                </c:pt>
                <c:pt idx="7">
                  <c:v>CÓRDOBA</c:v>
                </c:pt>
                <c:pt idx="8">
                  <c:v>ALMERÍA</c:v>
                </c:pt>
                <c:pt idx="9">
                  <c:v>SEVILLA</c:v>
                </c:pt>
              </c:strCache>
            </c:strRef>
          </c:cat>
          <c:val>
            <c:numRef>
              <c:f>'ALM-EDAD'!$AK$31:$AK$40</c:f>
              <c:numCache>
                <c:formatCode>#,##0</c:formatCode>
                <c:ptCount val="10"/>
                <c:pt idx="0">
                  <c:v>13025.71</c:v>
                </c:pt>
                <c:pt idx="1">
                  <c:v>9497.8599999999988</c:v>
                </c:pt>
                <c:pt idx="2">
                  <c:v>8021.2899999999991</c:v>
                </c:pt>
                <c:pt idx="3">
                  <c:v>6687.0500000000011</c:v>
                </c:pt>
                <c:pt idx="4">
                  <c:v>4775.1299999999992</c:v>
                </c:pt>
                <c:pt idx="5">
                  <c:v>4486.34</c:v>
                </c:pt>
                <c:pt idx="6">
                  <c:v>3679.3</c:v>
                </c:pt>
                <c:pt idx="7">
                  <c:v>3626.8799999999997</c:v>
                </c:pt>
                <c:pt idx="8">
                  <c:v>3553.82</c:v>
                </c:pt>
                <c:pt idx="9">
                  <c:v>2099.7599999999998</c:v>
                </c:pt>
              </c:numCache>
            </c:numRef>
          </c:val>
          <c:extLst>
            <c:ext xmlns:c15="http://schemas.microsoft.com/office/drawing/2012/chart" uri="{02D57815-91ED-43cb-92C2-25804820EDAC}">
              <c15:datalabelsRange>
                <c15:f>'ALM-EDAD'!$AM$31:$AM$40</c15:f>
                <c15:dlblRangeCache>
                  <c:ptCount val="10"/>
                  <c:pt idx="0">
                    <c:v>20%</c:v>
                  </c:pt>
                  <c:pt idx="1">
                    <c:v>12%</c:v>
                  </c:pt>
                  <c:pt idx="2">
                    <c:v>11%</c:v>
                  </c:pt>
                  <c:pt idx="3">
                    <c:v>25%</c:v>
                  </c:pt>
                  <c:pt idx="4">
                    <c:v>31%</c:v>
                  </c:pt>
                  <c:pt idx="5">
                    <c:v>22%</c:v>
                  </c:pt>
                  <c:pt idx="6">
                    <c:v>12%</c:v>
                  </c:pt>
                  <c:pt idx="7">
                    <c:v>72%</c:v>
                  </c:pt>
                  <c:pt idx="8">
                    <c:v>8%</c:v>
                  </c:pt>
                  <c:pt idx="9">
                    <c:v>52%</c:v>
                  </c:pt>
                </c15:dlblRangeCache>
              </c15:datalabelsRange>
            </c:ext>
            <c:ext xmlns:c16="http://schemas.microsoft.com/office/drawing/2014/chart" uri="{C3380CC4-5D6E-409C-BE32-E72D297353CC}">
              <c16:uniqueId val="{0000000B-A362-4528-81DA-0E63096E9EFC}"/>
            </c:ext>
          </c:extLst>
        </c:ser>
        <c:dLbls>
          <c:showLegendKey val="0"/>
          <c:showVal val="0"/>
          <c:showCatName val="0"/>
          <c:showSerName val="0"/>
          <c:showPercent val="0"/>
          <c:showBubbleSize val="0"/>
        </c:dLbls>
        <c:gapWidth val="150"/>
        <c:overlap val="-40"/>
        <c:axId val="105935152"/>
        <c:axId val="105910672"/>
      </c:barChart>
      <c:catAx>
        <c:axId val="105935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5910672"/>
        <c:crosses val="autoZero"/>
        <c:auto val="1"/>
        <c:lblAlgn val="ctr"/>
        <c:lblOffset val="100"/>
        <c:noMultiLvlLbl val="0"/>
      </c:catAx>
      <c:valAx>
        <c:axId val="10591067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593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sz="1600" b="1">
                <a:solidFill>
                  <a:sysClr val="windowText" lastClr="000000"/>
                </a:solidFill>
              </a:rPr>
              <a:t>Almendro Secano </a:t>
            </a:r>
            <a:r>
              <a:rPr lang="es-ES" sz="1600" b="1" baseline="0">
                <a:solidFill>
                  <a:sysClr val="windowText" lastClr="000000"/>
                </a:solidFill>
              </a:rPr>
              <a:t>Total</a:t>
            </a:r>
            <a:r>
              <a:rPr lang="es-ES" sz="1600"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'ALM-EDAD'!$AP$29</c:f>
              <c:strCache>
                <c:ptCount val="1"/>
                <c:pt idx="0">
                  <c:v>Plantº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8A987717-32EB-47FE-B4CD-A9BE59B9580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C98-4632-B1BE-798C831C95C1}"/>
                </c:ext>
              </c:extLst>
            </c:dLbl>
            <c:dLbl>
              <c:idx val="1"/>
              <c:tx>
                <c:rich>
                  <a:bodyPr/>
                  <a:lstStyle/>
                  <a:p>
                    <a:fld id="{361DA80C-A784-4421-9AEA-0ED8418FA18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C98-4632-B1BE-798C831C95C1}"/>
                </c:ext>
              </c:extLst>
            </c:dLbl>
            <c:dLbl>
              <c:idx val="2"/>
              <c:tx>
                <c:rich>
                  <a:bodyPr/>
                  <a:lstStyle/>
                  <a:p>
                    <a:fld id="{FB60DA0B-9F12-41BE-8206-FF89E4580ED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C98-4632-B1BE-798C831C95C1}"/>
                </c:ext>
              </c:extLst>
            </c:dLbl>
            <c:dLbl>
              <c:idx val="3"/>
              <c:tx>
                <c:rich>
                  <a:bodyPr/>
                  <a:lstStyle/>
                  <a:p>
                    <a:fld id="{A5F3E795-6078-4DF8-AF91-6604ADEC428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C98-4632-B1BE-798C831C95C1}"/>
                </c:ext>
              </c:extLst>
            </c:dLbl>
            <c:dLbl>
              <c:idx val="4"/>
              <c:tx>
                <c:rich>
                  <a:bodyPr/>
                  <a:lstStyle/>
                  <a:p>
                    <a:fld id="{60CF1240-C02D-4AD7-834E-77BB33460DE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C98-4632-B1BE-798C831C95C1}"/>
                </c:ext>
              </c:extLst>
            </c:dLbl>
            <c:dLbl>
              <c:idx val="5"/>
              <c:tx>
                <c:rich>
                  <a:bodyPr/>
                  <a:lstStyle/>
                  <a:p>
                    <a:fld id="{8FF44952-F236-4877-BC52-1E9C6F9B508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C98-4632-B1BE-798C831C95C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'ALM-EDAD'!$AO$30:$AO$36</c15:sqref>
                  </c15:fullRef>
                </c:ext>
              </c:extLst>
              <c:f>'ALM-EDAD'!$AO$30:$AO$35</c:f>
              <c:strCache>
                <c:ptCount val="6"/>
                <c:pt idx="0">
                  <c:v>ANDALUCÍA</c:v>
                </c:pt>
                <c:pt idx="1">
                  <c:v>C.-LA MANCHA</c:v>
                </c:pt>
                <c:pt idx="2">
                  <c:v>MURCIA</c:v>
                </c:pt>
                <c:pt idx="3">
                  <c:v>ARAGÓN</c:v>
                </c:pt>
                <c:pt idx="4">
                  <c:v>C. VALENCIANA</c:v>
                </c:pt>
                <c:pt idx="5">
                  <c:v>EXTREMADURA</c:v>
                </c:pt>
              </c:strCache>
            </c:strRef>
          </c:cat>
          <c:val>
            <c:numRef>
              <c:extLst>
                <c:ext xmlns:c15="http://schemas.microsoft.com/office/drawing/2012/chart" uri="{02D57815-91ED-43cb-92C2-25804820EDAC}">
                  <c15:fullRef>
                    <c15:sqref>'ALM-EDAD'!$AP$30:$AP$36</c15:sqref>
                  </c15:fullRef>
                </c:ext>
              </c:extLst>
              <c:f>'ALM-EDAD'!$AP$30:$AP$35</c:f>
              <c:numCache>
                <c:formatCode>#,##0</c:formatCode>
                <c:ptCount val="6"/>
                <c:pt idx="0">
                  <c:v>20908.64</c:v>
                </c:pt>
                <c:pt idx="1">
                  <c:v>29197.4</c:v>
                </c:pt>
                <c:pt idx="2">
                  <c:v>8021.2899999999991</c:v>
                </c:pt>
                <c:pt idx="3">
                  <c:v>5727.71</c:v>
                </c:pt>
                <c:pt idx="4">
                  <c:v>3049.59</c:v>
                </c:pt>
                <c:pt idx="5">
                  <c:v>2095.56</c:v>
                </c:pt>
              </c:numCache>
            </c:numRef>
          </c:val>
          <c:extLst>
            <c:ext xmlns:c15="http://schemas.microsoft.com/office/drawing/2012/chart" uri="{02D57815-91ED-43cb-92C2-25804820EDAC}">
              <c15:datalabelsRange>
                <c15:f>'ALM-EDAD'!$AR$30:$AR$36</c15:f>
                <c15:dlblRangeCache>
                  <c:ptCount val="7"/>
                  <c:pt idx="0">
                    <c:v>14%</c:v>
                  </c:pt>
                  <c:pt idx="1">
                    <c:v>23%</c:v>
                  </c:pt>
                  <c:pt idx="2">
                    <c:v>11%</c:v>
                  </c:pt>
                  <c:pt idx="3">
                    <c:v>10%</c:v>
                  </c:pt>
                  <c:pt idx="4">
                    <c:v>6%</c:v>
                  </c:pt>
                  <c:pt idx="5">
                    <c:v>36%</c:v>
                  </c:pt>
                  <c:pt idx="6">
                    <c:v>40%</c:v>
                  </c:pt>
                </c15:dlblRangeCache>
              </c15:datalabelsRange>
            </c:ext>
            <c:ext xmlns:c16="http://schemas.microsoft.com/office/drawing/2014/chart" uri="{C3380CC4-5D6E-409C-BE32-E72D297353CC}">
              <c16:uniqueId val="{00000006-3C98-4632-B1BE-798C831C95C1}"/>
            </c:ext>
          </c:extLst>
        </c:ser>
        <c:ser>
          <c:idx val="1"/>
          <c:order val="1"/>
          <c:tx>
            <c:strRef>
              <c:f>'ALM-EDAD'!$AQ$29</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extLst>
                <c:ext xmlns:c15="http://schemas.microsoft.com/office/drawing/2012/chart" uri="{02D57815-91ED-43cb-92C2-25804820EDAC}">
                  <c15:fullRef>
                    <c15:sqref>'ALM-EDAD'!$AO$30:$AO$36</c15:sqref>
                  </c15:fullRef>
                </c:ext>
              </c:extLst>
              <c:f>'ALM-EDAD'!$AO$30:$AO$35</c:f>
              <c:strCache>
                <c:ptCount val="6"/>
                <c:pt idx="0">
                  <c:v>ANDALUCÍA</c:v>
                </c:pt>
                <c:pt idx="1">
                  <c:v>C.-LA MANCHA</c:v>
                </c:pt>
                <c:pt idx="2">
                  <c:v>MURCIA</c:v>
                </c:pt>
                <c:pt idx="3">
                  <c:v>ARAGÓN</c:v>
                </c:pt>
                <c:pt idx="4">
                  <c:v>C. VALENCIANA</c:v>
                </c:pt>
                <c:pt idx="5">
                  <c:v>EXTREMADURA</c:v>
                </c:pt>
              </c:strCache>
            </c:strRef>
          </c:cat>
          <c:val>
            <c:numRef>
              <c:extLst>
                <c:ext xmlns:c15="http://schemas.microsoft.com/office/drawing/2012/chart" uri="{02D57815-91ED-43cb-92C2-25804820EDAC}">
                  <c15:fullRef>
                    <c15:sqref>'ALM-EDAD'!$AQ$30:$AQ$36</c15:sqref>
                  </c15:fullRef>
                </c:ext>
              </c:extLst>
              <c:f>'ALM-EDAD'!$AQ$30:$AQ$35</c:f>
              <c:numCache>
                <c:formatCode>#,##0</c:formatCode>
                <c:ptCount val="6"/>
                <c:pt idx="0">
                  <c:v>148042.37140000003</c:v>
                </c:pt>
                <c:pt idx="1">
                  <c:v>128880.31079999999</c:v>
                </c:pt>
                <c:pt idx="2">
                  <c:v>74140.409999999974</c:v>
                </c:pt>
                <c:pt idx="3">
                  <c:v>58530.640000000029</c:v>
                </c:pt>
                <c:pt idx="4">
                  <c:v>54378.517699999975</c:v>
                </c:pt>
                <c:pt idx="5">
                  <c:v>5864.2199999999993</c:v>
                </c:pt>
              </c:numCache>
            </c:numRef>
          </c:val>
          <c:extLst>
            <c:ext xmlns:c16="http://schemas.microsoft.com/office/drawing/2014/chart" uri="{C3380CC4-5D6E-409C-BE32-E72D297353CC}">
              <c16:uniqueId val="{00000007-3C98-4632-B1BE-798C831C95C1}"/>
            </c:ext>
          </c:extLst>
        </c:ser>
        <c:dLbls>
          <c:showLegendKey val="0"/>
          <c:showVal val="0"/>
          <c:showCatName val="0"/>
          <c:showSerName val="0"/>
          <c:showPercent val="0"/>
          <c:showBubbleSize val="0"/>
        </c:dLbls>
        <c:gapWidth val="100"/>
        <c:axId val="105915024"/>
        <c:axId val="105925904"/>
      </c:barChart>
      <c:catAx>
        <c:axId val="10591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05925904"/>
        <c:crosses val="autoZero"/>
        <c:auto val="1"/>
        <c:lblAlgn val="ctr"/>
        <c:lblOffset val="100"/>
        <c:noMultiLvlLbl val="0"/>
      </c:catAx>
      <c:valAx>
        <c:axId val="1059259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0591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58498223327653"/>
          <c:y val="3.6055475637195231E-2"/>
          <c:w val="0.52646250156850916"/>
          <c:h val="0.85988903444739129"/>
        </c:manualLayout>
      </c:layout>
      <c:doughnutChart>
        <c:varyColors val="1"/>
        <c:ser>
          <c:idx val="0"/>
          <c:order val="0"/>
          <c:tx>
            <c:strRef>
              <c:f>'FRUTOS SECOS TOTAL'!$N$28</c:f>
              <c:strCache>
                <c:ptCount val="1"/>
                <c:pt idx="0">
                  <c:v>RSU REGEPA </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2-F317-49A8-A240-AAC4023B768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F317-49A8-A240-AAC4023B7685}"/>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F317-49A8-A240-AAC4023B7685}"/>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A-F317-49A8-A240-AAC4023B7685}"/>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F317-49A8-A240-AAC4023B7685}"/>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5-F317-49A8-A240-AAC4023B7685}"/>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4-F317-49A8-A240-AAC4023B7685}"/>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6-F317-49A8-A240-AAC4023B7685}"/>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8-F317-49A8-A240-AAC4023B7685}"/>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07-F317-49A8-A240-AAC4023B7685}"/>
              </c:ext>
            </c:extLst>
          </c:dPt>
          <c:dLbls>
            <c:dLbl>
              <c:idx val="0"/>
              <c:layout>
                <c:manualLayout>
                  <c:x val="1.6190474282551642E-2"/>
                  <c:y val="-1.8888892855060617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317-49A8-A240-AAC4023B7685}"/>
                </c:ext>
              </c:extLst>
            </c:dLbl>
            <c:dLbl>
              <c:idx val="1"/>
              <c:layout>
                <c:manualLayout>
                  <c:x val="-8.5578221207772961E-2"/>
                  <c:y val="-3.400000713910918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17-49A8-A240-AAC4023B7685}"/>
                </c:ext>
              </c:extLst>
            </c:dLbl>
            <c:dLbl>
              <c:idx val="2"/>
              <c:layout>
                <c:manualLayout>
                  <c:x val="-0.12258501956789099"/>
                  <c:y val="-3.400000713910911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317-49A8-A240-AAC4023B7685}"/>
                </c:ext>
              </c:extLst>
            </c:dLbl>
            <c:dLbl>
              <c:idx val="3"/>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317-49A8-A240-AAC4023B7685}"/>
                </c:ext>
              </c:extLst>
            </c:dLbl>
            <c:dLbl>
              <c:idx val="4"/>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E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17-49A8-A240-AAC4023B7685}"/>
                </c:ext>
              </c:extLst>
            </c:dLbl>
            <c:dLbl>
              <c:idx val="5"/>
              <c:layout>
                <c:manualLayout>
                  <c:x val="0.22897956485323034"/>
                  <c:y val="-0.1888889285506062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317-49A8-A240-AAC4023B7685}"/>
                </c:ext>
              </c:extLst>
            </c:dLbl>
            <c:dLbl>
              <c:idx val="6"/>
              <c:layout>
                <c:manualLayout>
                  <c:x val="0.24748296403328937"/>
                  <c:y val="-0.10955557855935158"/>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317-49A8-A240-AAC4023B7685}"/>
                </c:ext>
              </c:extLst>
            </c:dLbl>
            <c:dLbl>
              <c:idx val="7"/>
              <c:layout>
                <c:manualLayout>
                  <c:x val="0.24517003913578198"/>
                  <c:y val="-3.400000713910911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317-49A8-A240-AAC4023B7685}"/>
                </c:ext>
              </c:extLst>
            </c:dLbl>
            <c:dLbl>
              <c:idx val="8"/>
              <c:layout>
                <c:manualLayout>
                  <c:x val="0.23360541464824511"/>
                  <c:y val="2.26666714260728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F317-49A8-A240-AAC4023B7685}"/>
                </c:ext>
              </c:extLst>
            </c:dLbl>
            <c:dLbl>
              <c:idx val="9"/>
              <c:layout>
                <c:manualLayout>
                  <c:x val="0.24285711423827461"/>
                  <c:y val="0.1360000285564364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317-49A8-A240-AAC4023B768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'FRUTOS SECOS TOTAL'!$A$29:$A$38</c:f>
              <c:strCache>
                <c:ptCount val="10"/>
                <c:pt idx="0">
                  <c:v>ANDALUCÍA</c:v>
                </c:pt>
                <c:pt idx="1">
                  <c:v>C.-LA MANCHA</c:v>
                </c:pt>
                <c:pt idx="2">
                  <c:v>C. VALENCIANA</c:v>
                </c:pt>
                <c:pt idx="3">
                  <c:v>ARAGÓN</c:v>
                </c:pt>
                <c:pt idx="4">
                  <c:v>MURCIA</c:v>
                </c:pt>
                <c:pt idx="5">
                  <c:v>CATALUÑA</c:v>
                </c:pt>
                <c:pt idx="6">
                  <c:v>ISLAS BALEARES</c:v>
                </c:pt>
                <c:pt idx="7">
                  <c:v>EXTREMADURA</c:v>
                </c:pt>
                <c:pt idx="8">
                  <c:v>CASTILLA Y LEÓN</c:v>
                </c:pt>
                <c:pt idx="9">
                  <c:v>RESTO CC.AA.</c:v>
                </c:pt>
              </c:strCache>
            </c:strRef>
          </c:cat>
          <c:val>
            <c:numRef>
              <c:f>'FRUTOS SECOS TOTAL'!$N$29:$N$38</c:f>
              <c:numCache>
                <c:formatCode>#,##0</c:formatCode>
                <c:ptCount val="10"/>
                <c:pt idx="0">
                  <c:v>190841.77330000015</c:v>
                </c:pt>
                <c:pt idx="1">
                  <c:v>198462.54080000008</c:v>
                </c:pt>
                <c:pt idx="2">
                  <c:v>72704.687699999966</c:v>
                </c:pt>
                <c:pt idx="3">
                  <c:v>82484.86000000003</c:v>
                </c:pt>
                <c:pt idx="4">
                  <c:v>83008.730000000054</c:v>
                </c:pt>
                <c:pt idx="5">
                  <c:v>48670.400000000038</c:v>
                </c:pt>
                <c:pt idx="6">
                  <c:v>13070.662600000029</c:v>
                </c:pt>
                <c:pt idx="7">
                  <c:v>21934.379999999997</c:v>
                </c:pt>
                <c:pt idx="8">
                  <c:v>6743.11</c:v>
                </c:pt>
                <c:pt idx="9">
                  <c:v>14285.089399999939</c:v>
                </c:pt>
              </c:numCache>
            </c:numRef>
          </c:val>
          <c:extLst>
            <c:ext xmlns:c16="http://schemas.microsoft.com/office/drawing/2014/chart" uri="{C3380CC4-5D6E-409C-BE32-E72D297353CC}">
              <c16:uniqueId val="{00000000-F317-49A8-A240-AAC4023B7685}"/>
            </c:ext>
          </c:extLst>
        </c:ser>
        <c:dLbls>
          <c:showLegendKey val="0"/>
          <c:showVal val="0"/>
          <c:showCatName val="0"/>
          <c:showSerName val="0"/>
          <c:showPercent val="0"/>
          <c:showBubbleSize val="0"/>
          <c:showLeaderLines val="1"/>
        </c:dLbls>
        <c:firstSliceAng val="98"/>
        <c:holeSize val="62"/>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Secano </a:t>
            </a:r>
            <a:r>
              <a:rPr lang="es-ES" baseline="0"/>
              <a:t>Total: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1"/>
            <c:invertIfNegative val="0"/>
            <c:bubble3D val="0"/>
            <c:spPr>
              <a:solidFill>
                <a:srgbClr val="C0504D"/>
              </a:solidFill>
              <a:ln>
                <a:noFill/>
              </a:ln>
              <a:effectLst/>
            </c:spPr>
            <c:extLst>
              <c:ext xmlns:c16="http://schemas.microsoft.com/office/drawing/2014/chart" uri="{C3380CC4-5D6E-409C-BE32-E72D297353CC}">
                <c16:uniqueId val="{00000001-58CF-4CE4-A52D-A78B17556C9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'ALM-EDAD'!$A$72:$A$84</c15:sqref>
                  </c15:fullRef>
                </c:ext>
              </c:extLst>
              <c:f>('ALM-EDAD'!$A$72:$A$75,'ALM-EDAD'!$A$77:$A$84)</c:f>
              <c:strCache>
                <c:ptCount val="12"/>
                <c:pt idx="0">
                  <c:v>ANDALUCÍA</c:v>
                </c:pt>
                <c:pt idx="1">
                  <c:v>ARAGÓN</c:v>
                </c:pt>
                <c:pt idx="2">
                  <c:v>C. VALENCIANA</c:v>
                </c:pt>
                <c:pt idx="3">
                  <c:v>CATALUÑA</c:v>
                </c:pt>
                <c:pt idx="4">
                  <c:v>C. y LEÓN</c:v>
                </c:pt>
                <c:pt idx="5">
                  <c:v>ISLAS BALEARES</c:v>
                </c:pt>
                <c:pt idx="6">
                  <c:v>EXTREMADURA</c:v>
                </c:pt>
                <c:pt idx="7">
                  <c:v>LA RIOJA</c:v>
                </c:pt>
                <c:pt idx="8">
                  <c:v>MADRID</c:v>
                </c:pt>
                <c:pt idx="9">
                  <c:v>MURCIA</c:v>
                </c:pt>
                <c:pt idx="10">
                  <c:v>NAVARRA</c:v>
                </c:pt>
                <c:pt idx="11">
                  <c:v>ESPAÑA</c:v>
                </c:pt>
              </c:strCache>
            </c:strRef>
          </c:cat>
          <c:val>
            <c:numRef>
              <c:extLst>
                <c:ext xmlns:c15="http://schemas.microsoft.com/office/drawing/2012/chart" uri="{02D57815-91ED-43cb-92C2-25804820EDAC}">
                  <c15:fullRef>
                    <c15:sqref>'ALM-EDAD'!$Y$72:$Y$84</c15:sqref>
                  </c15:fullRef>
                </c:ext>
              </c:extLst>
              <c:f>('ALM-EDAD'!$Y$72:$Y$75,'ALM-EDAD'!$Y$77:$Y$84)</c:f>
              <c:numCache>
                <c:formatCode>0.0%</c:formatCode>
                <c:ptCount val="12"/>
                <c:pt idx="0">
                  <c:v>5.9255751016717073E-4</c:v>
                </c:pt>
                <c:pt idx="1">
                  <c:v>1.0463602161680415E-3</c:v>
                </c:pt>
                <c:pt idx="2">
                  <c:v>2.3219354836239128E-3</c:v>
                </c:pt>
                <c:pt idx="3" formatCode="0%">
                  <c:v>2.9530286716368373E-5</c:v>
                </c:pt>
                <c:pt idx="4">
                  <c:v>2.5167242226139669E-3</c:v>
                </c:pt>
                <c:pt idx="5">
                  <c:v>3.0418086896492219E-3</c:v>
                </c:pt>
                <c:pt idx="6">
                  <c:v>8.7438364525398279E-4</c:v>
                </c:pt>
                <c:pt idx="7">
                  <c:v>2.6154600253688407E-3</c:v>
                </c:pt>
                <c:pt idx="8" formatCode="0.00%">
                  <c:v>3.7600042971477681E-4</c:v>
                </c:pt>
                <c:pt idx="9">
                  <c:v>1.1260056729212493E-3</c:v>
                </c:pt>
                <c:pt idx="10">
                  <c:v>2.8321163496499288E-3</c:v>
                </c:pt>
                <c:pt idx="11">
                  <c:v>9.4873168297902953E-4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5911216"/>
        <c:axId val="105916112"/>
      </c:barChart>
      <c:catAx>
        <c:axId val="105911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6112"/>
        <c:crosses val="autoZero"/>
        <c:auto val="1"/>
        <c:lblAlgn val="ctr"/>
        <c:lblOffset val="100"/>
        <c:noMultiLvlLbl val="0"/>
      </c:catAx>
      <c:valAx>
        <c:axId val="10591611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1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Almendro Regadío Total</a:t>
            </a:r>
            <a:r>
              <a:rPr lang="es-ES" baseline="0"/>
              <a:t>: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11"/>
            <c:invertIfNegative val="0"/>
            <c:bubble3D val="0"/>
            <c:spPr>
              <a:solidFill>
                <a:srgbClr val="C0504D"/>
              </a:solidFill>
              <a:ln>
                <a:noFill/>
              </a:ln>
              <a:effectLst/>
            </c:spPr>
            <c:extLst>
              <c:ext xmlns:c16="http://schemas.microsoft.com/office/drawing/2014/chart" uri="{C3380CC4-5D6E-409C-BE32-E72D297353CC}">
                <c16:uniqueId val="{00000001-721F-42CF-BA65-39D7846D78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'ALM-EDAD'!$A$148:$A$160</c15:sqref>
                  </c15:fullRef>
                </c:ext>
              </c:extLst>
              <c:f>('ALM-EDAD'!$A$148:$A$150,'ALM-EDAD'!$A$152:$A$160)</c:f>
              <c:strCache>
                <c:ptCount val="12"/>
                <c:pt idx="0">
                  <c:v>ANDALUCÍA</c:v>
                </c:pt>
                <c:pt idx="1">
                  <c:v>ARAGÓN</c:v>
                </c:pt>
                <c:pt idx="2">
                  <c:v>C. VALENCIANA</c:v>
                </c:pt>
                <c:pt idx="3">
                  <c:v>C.-LA MANCHA</c:v>
                </c:pt>
                <c:pt idx="4">
                  <c:v>C. y LEÓN</c:v>
                </c:pt>
                <c:pt idx="5">
                  <c:v>ISLAS BALEARES</c:v>
                </c:pt>
                <c:pt idx="6">
                  <c:v>EXTREMADURA</c:v>
                </c:pt>
                <c:pt idx="7">
                  <c:v>LA RIOJA</c:v>
                </c:pt>
                <c:pt idx="8">
                  <c:v>MADRID</c:v>
                </c:pt>
                <c:pt idx="9">
                  <c:v>MURCIA</c:v>
                </c:pt>
                <c:pt idx="10">
                  <c:v>NAVARRA</c:v>
                </c:pt>
                <c:pt idx="11">
                  <c:v>ESPAÑA</c:v>
                </c:pt>
              </c:strCache>
            </c:strRef>
          </c:cat>
          <c:val>
            <c:numRef>
              <c:extLst>
                <c:ext xmlns:c15="http://schemas.microsoft.com/office/drawing/2012/chart" uri="{02D57815-91ED-43cb-92C2-25804820EDAC}">
                  <c15:fullRef>
                    <c15:sqref>'ALM-EDAD'!$Y$148:$Y$160</c15:sqref>
                  </c15:fullRef>
                </c:ext>
              </c:extLst>
              <c:f>('ALM-EDAD'!$Y$148:$Y$150,'ALM-EDAD'!$Y$152:$Y$160)</c:f>
              <c:numCache>
                <c:formatCode>0.0%</c:formatCode>
                <c:ptCount val="12"/>
                <c:pt idx="0" formatCode="0.00%">
                  <c:v>4.0813055047930508E-4</c:v>
                </c:pt>
                <c:pt idx="1">
                  <c:v>8.9796907026124439E-4</c:v>
                </c:pt>
                <c:pt idx="2">
                  <c:v>1.5701484969052951E-3</c:v>
                </c:pt>
                <c:pt idx="3">
                  <c:v>5.2542925074343394E-4</c:v>
                </c:pt>
                <c:pt idx="4">
                  <c:v>1.2346216973869594E-3</c:v>
                </c:pt>
                <c:pt idx="5" formatCode="0.00%">
                  <c:v>4.3159257660768224E-4</c:v>
                </c:pt>
                <c:pt idx="6" formatCode="0.00%">
                  <c:v>3.4899636925472116E-4</c:v>
                </c:pt>
                <c:pt idx="7">
                  <c:v>6.4731865475208712E-3</c:v>
                </c:pt>
                <c:pt idx="8">
                  <c:v>9.7825269019489818E-4</c:v>
                </c:pt>
                <c:pt idx="9">
                  <c:v>2.0336455031766741E-3</c:v>
                </c:pt>
                <c:pt idx="10">
                  <c:v>1.951122026642545E-3</c:v>
                </c:pt>
                <c:pt idx="11">
                  <c:v>7.4743892763608482E-4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5926992"/>
        <c:axId val="105935696"/>
      </c:barChart>
      <c:catAx>
        <c:axId val="105926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5696"/>
        <c:crosses val="autoZero"/>
        <c:auto val="1"/>
        <c:lblAlgn val="ctr"/>
        <c:lblOffset val="100"/>
        <c:noMultiLvlLbl val="0"/>
      </c:catAx>
      <c:valAx>
        <c:axId val="10593569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Regadío </a:t>
            </a:r>
            <a:r>
              <a:rPr lang="es-ES" b="1" baseline="0">
                <a:solidFill>
                  <a:sysClr val="windowText" lastClr="000000"/>
                </a:solidFill>
              </a:rPr>
              <a:t>Total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'ALM-EDAD'!$C$141:$X$141</c:f>
              <c:numCache>
                <c:formatCode>#,##0</c:formatCode>
                <c:ptCount val="22"/>
                <c:pt idx="0">
                  <c:v>2988.1900000000005</c:v>
                </c:pt>
                <c:pt idx="1">
                  <c:v>512.69000000000005</c:v>
                </c:pt>
                <c:pt idx="2">
                  <c:v>430.64</c:v>
                </c:pt>
                <c:pt idx="3">
                  <c:v>520.89</c:v>
                </c:pt>
                <c:pt idx="4">
                  <c:v>723.17</c:v>
                </c:pt>
                <c:pt idx="5">
                  <c:v>1230.47</c:v>
                </c:pt>
                <c:pt idx="6">
                  <c:v>1099.71</c:v>
                </c:pt>
                <c:pt idx="7">
                  <c:v>1235.02</c:v>
                </c:pt>
                <c:pt idx="8">
                  <c:v>1574.7000000000003</c:v>
                </c:pt>
                <c:pt idx="9">
                  <c:v>1215.3000000000002</c:v>
                </c:pt>
                <c:pt idx="10">
                  <c:v>1525.3200000000002</c:v>
                </c:pt>
                <c:pt idx="11">
                  <c:v>1123.5300000000002</c:v>
                </c:pt>
                <c:pt idx="12">
                  <c:v>1462.3700000000001</c:v>
                </c:pt>
                <c:pt idx="13">
                  <c:v>2143.6400000000003</c:v>
                </c:pt>
                <c:pt idx="14">
                  <c:v>3879.81</c:v>
                </c:pt>
                <c:pt idx="15">
                  <c:v>8731.49</c:v>
                </c:pt>
                <c:pt idx="16">
                  <c:v>14109.73</c:v>
                </c:pt>
                <c:pt idx="17">
                  <c:v>14083.499999999998</c:v>
                </c:pt>
                <c:pt idx="18">
                  <c:v>9032.9600000000009</c:v>
                </c:pt>
                <c:pt idx="19">
                  <c:v>8369.74</c:v>
                </c:pt>
                <c:pt idx="20">
                  <c:v>13855.849999999999</c:v>
                </c:pt>
                <c:pt idx="21">
                  <c:v>9765.09</c:v>
                </c:pt>
              </c:numCache>
            </c:numRef>
          </c:val>
          <c:extLst>
            <c:ext xmlns:c16="http://schemas.microsoft.com/office/drawing/2014/chart" uri="{C3380CC4-5D6E-409C-BE32-E72D297353CC}">
              <c16:uniqueId val="{00000000-03C1-4189-B0F1-FEFC59895C4D}"/>
            </c:ext>
          </c:extLst>
        </c:ser>
        <c:dLbls>
          <c:showLegendKey val="0"/>
          <c:showVal val="0"/>
          <c:showCatName val="0"/>
          <c:showSerName val="0"/>
          <c:showPercent val="0"/>
          <c:showBubbleSize val="0"/>
        </c:dLbls>
        <c:gapWidth val="219"/>
        <c:overlap val="-27"/>
        <c:axId val="105932976"/>
        <c:axId val="105913936"/>
      </c:barChart>
      <c:catAx>
        <c:axId val="1059329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3936"/>
        <c:crosses val="autoZero"/>
        <c:auto val="1"/>
        <c:lblAlgn val="ctr"/>
        <c:lblOffset val="100"/>
        <c:noMultiLvlLbl val="0"/>
      </c:catAx>
      <c:valAx>
        <c:axId val="105913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2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sz="1600" b="1">
                <a:solidFill>
                  <a:sysClr val="windowText" lastClr="000000"/>
                </a:solidFill>
              </a:rPr>
              <a:t>Almendro Regadío </a:t>
            </a:r>
            <a:r>
              <a:rPr lang="es-ES" sz="1600" b="1" baseline="0">
                <a:solidFill>
                  <a:sysClr val="windowText" lastClr="000000"/>
                </a:solidFill>
              </a:rPr>
              <a:t>Total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'ALM-EDAD'!$AP$105</c:f>
              <c:strCache>
                <c:ptCount val="1"/>
                <c:pt idx="0">
                  <c:v>Plantaciones jóvenes</c:v>
                </c:pt>
              </c:strCache>
            </c:strRef>
          </c:tx>
          <c:spPr>
            <a:solidFill>
              <a:schemeClr val="accent1">
                <a:shade val="76000"/>
              </a:schemeClr>
            </a:solidFill>
            <a:ln>
              <a:solidFill>
                <a:schemeClr val="accent1">
                  <a:lumMod val="50000"/>
                </a:schemeClr>
              </a:solidFill>
            </a:ln>
            <a:effectLst/>
          </c:spPr>
          <c:invertIfNegative val="0"/>
          <c:dLbls>
            <c:dLbl>
              <c:idx val="0"/>
              <c:tx>
                <c:rich>
                  <a:bodyPr/>
                  <a:lstStyle/>
                  <a:p>
                    <a:fld id="{9168C62A-DF10-429C-A4D4-93CAAB18B6F9}"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7CA-4EA2-8BB1-F90AE8A74568}"/>
                </c:ext>
              </c:extLst>
            </c:dLbl>
            <c:dLbl>
              <c:idx val="1"/>
              <c:tx>
                <c:rich>
                  <a:bodyPr/>
                  <a:lstStyle/>
                  <a:p>
                    <a:fld id="{30A44EB6-61E7-4D12-BCB9-BA8504C0477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7CA-4EA2-8BB1-F90AE8A74568}"/>
                </c:ext>
              </c:extLst>
            </c:dLbl>
            <c:dLbl>
              <c:idx val="2"/>
              <c:tx>
                <c:rich>
                  <a:bodyPr/>
                  <a:lstStyle/>
                  <a:p>
                    <a:fld id="{485B3CE6-1EB2-4FF6-91F5-0A2254863CE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7CA-4EA2-8BB1-F90AE8A74568}"/>
                </c:ext>
              </c:extLst>
            </c:dLbl>
            <c:dLbl>
              <c:idx val="3"/>
              <c:tx>
                <c:rich>
                  <a:bodyPr/>
                  <a:lstStyle/>
                  <a:p>
                    <a:fld id="{EB7795C1-B368-4378-ABAB-79AF1C7F606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7CA-4EA2-8BB1-F90AE8A74568}"/>
                </c:ext>
              </c:extLst>
            </c:dLbl>
            <c:dLbl>
              <c:idx val="4"/>
              <c:tx>
                <c:rich>
                  <a:bodyPr/>
                  <a:lstStyle/>
                  <a:p>
                    <a:fld id="{B5683BBA-A705-4DC9-8D42-F770361C905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7CA-4EA2-8BB1-F90AE8A7456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'ALM-EDAD'!$AO$106:$AO$110</c:f>
              <c:strCache>
                <c:ptCount val="5"/>
                <c:pt idx="0">
                  <c:v>ANDALUCÍA</c:v>
                </c:pt>
                <c:pt idx="1">
                  <c:v>ARAGÓN</c:v>
                </c:pt>
                <c:pt idx="2">
                  <c:v>C.-LA MANCHA</c:v>
                </c:pt>
                <c:pt idx="3">
                  <c:v>EXTREMADURA</c:v>
                </c:pt>
                <c:pt idx="4">
                  <c:v>CATALUÑA</c:v>
                </c:pt>
              </c:strCache>
            </c:strRef>
          </c:cat>
          <c:val>
            <c:numRef>
              <c:f>'ALM-EDAD'!$AP$106:$AP$110</c:f>
              <c:numCache>
                <c:formatCode>#,##0</c:formatCode>
                <c:ptCount val="5"/>
                <c:pt idx="0">
                  <c:v>11357.89</c:v>
                </c:pt>
                <c:pt idx="1">
                  <c:v>6554.4699999999993</c:v>
                </c:pt>
                <c:pt idx="2">
                  <c:v>4822.41</c:v>
                </c:pt>
                <c:pt idx="3">
                  <c:v>3672.6199999999994</c:v>
                </c:pt>
                <c:pt idx="4">
                  <c:v>2621.8700000000003</c:v>
                </c:pt>
              </c:numCache>
            </c:numRef>
          </c:val>
          <c:extLst>
            <c:ext xmlns:c15="http://schemas.microsoft.com/office/drawing/2012/chart" uri="{02D57815-91ED-43cb-92C2-25804820EDAC}">
              <c15:datalabelsRange>
                <c15:f>'ALM-EDAD'!$AR$106:$AR$110</c15:f>
                <c15:dlblRangeCache>
                  <c:ptCount val="5"/>
                  <c:pt idx="0">
                    <c:v>36%</c:v>
                  </c:pt>
                  <c:pt idx="1">
                    <c:v>30%</c:v>
                  </c:pt>
                  <c:pt idx="2">
                    <c:v>22%</c:v>
                  </c:pt>
                  <c:pt idx="3">
                    <c:v>43%</c:v>
                  </c:pt>
                  <c:pt idx="4">
                    <c:v>23%</c:v>
                  </c:pt>
                </c15:dlblRangeCache>
              </c15:datalabelsRange>
            </c:ext>
            <c:ext xmlns:c16="http://schemas.microsoft.com/office/drawing/2014/chart" uri="{C3380CC4-5D6E-409C-BE32-E72D297353CC}">
              <c16:uniqueId val="{00000005-B7CA-4EA2-8BB1-F90AE8A74568}"/>
            </c:ext>
          </c:extLst>
        </c:ser>
        <c:ser>
          <c:idx val="1"/>
          <c:order val="1"/>
          <c:tx>
            <c:strRef>
              <c:f>'ALM-EDAD'!$AQ$105</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'ALM-EDAD'!$AO$106:$AO$110</c:f>
              <c:strCache>
                <c:ptCount val="5"/>
                <c:pt idx="0">
                  <c:v>ANDALUCÍA</c:v>
                </c:pt>
                <c:pt idx="1">
                  <c:v>ARAGÓN</c:v>
                </c:pt>
                <c:pt idx="2">
                  <c:v>C.-LA MANCHA</c:v>
                </c:pt>
                <c:pt idx="3">
                  <c:v>EXTREMADURA</c:v>
                </c:pt>
                <c:pt idx="4">
                  <c:v>CATALUÑA</c:v>
                </c:pt>
              </c:strCache>
            </c:strRef>
          </c:cat>
          <c:val>
            <c:numRef>
              <c:f>'ALM-EDAD'!$AQ$106:$AQ$110</c:f>
              <c:numCache>
                <c:formatCode>#,##0</c:formatCode>
                <c:ptCount val="5"/>
                <c:pt idx="0">
                  <c:v>31217.041899999997</c:v>
                </c:pt>
                <c:pt idx="1">
                  <c:v>21715.67</c:v>
                </c:pt>
                <c:pt idx="2">
                  <c:v>21648.27</c:v>
                </c:pt>
                <c:pt idx="3">
                  <c:v>8452.99</c:v>
                </c:pt>
                <c:pt idx="4">
                  <c:v>11402.1</c:v>
                </c:pt>
              </c:numCache>
            </c:numRef>
          </c:val>
          <c:extLst>
            <c:ext xmlns:c16="http://schemas.microsoft.com/office/drawing/2014/chart" uri="{C3380CC4-5D6E-409C-BE32-E72D297353CC}">
              <c16:uniqueId val="{00000006-B7CA-4EA2-8BB1-F90AE8A74568}"/>
            </c:ext>
          </c:extLst>
        </c:ser>
        <c:dLbls>
          <c:showLegendKey val="0"/>
          <c:showVal val="0"/>
          <c:showCatName val="0"/>
          <c:showSerName val="0"/>
          <c:showPercent val="0"/>
          <c:showBubbleSize val="0"/>
        </c:dLbls>
        <c:gapWidth val="100"/>
        <c:axId val="105940592"/>
        <c:axId val="105922096"/>
      </c:barChart>
      <c:catAx>
        <c:axId val="10594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105922096"/>
        <c:crosses val="autoZero"/>
        <c:auto val="1"/>
        <c:lblAlgn val="ctr"/>
        <c:lblOffset val="100"/>
        <c:noMultiLvlLbl val="0"/>
      </c:catAx>
      <c:valAx>
        <c:axId val="1059220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10594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Almendro Regadío </a:t>
            </a:r>
            <a:r>
              <a:rPr lang="en-US" b="1" baseline="0"/>
              <a:t>Total: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'ALM-EDAD'!$AL$107</c:f>
              <c:strCache>
                <c:ptCount val="1"/>
                <c:pt idx="0">
                  <c:v>Total</c:v>
                </c:pt>
              </c:strCache>
            </c:strRef>
          </c:tx>
          <c:spPr>
            <a:solidFill>
              <a:schemeClr val="accent1">
                <a:tint val="77000"/>
              </a:schemeClr>
            </a:solidFill>
            <a:ln>
              <a:solidFill>
                <a:schemeClr val="accent1">
                  <a:lumMod val="75000"/>
                </a:schemeClr>
              </a:solidFill>
            </a:ln>
            <a:effectLst/>
          </c:spPr>
          <c:invertIfNegative val="0"/>
          <c:cat>
            <c:strRef>
              <c:f>'ALM-EDAD'!$AJ$108:$AJ$117</c:f>
              <c:strCache>
                <c:ptCount val="10"/>
                <c:pt idx="0">
                  <c:v>SEVILLA</c:v>
                </c:pt>
                <c:pt idx="1">
                  <c:v>CÓRDOBA</c:v>
                </c:pt>
                <c:pt idx="2">
                  <c:v>ZARAGOZA</c:v>
                </c:pt>
                <c:pt idx="3">
                  <c:v>HUESCA</c:v>
                </c:pt>
                <c:pt idx="4">
                  <c:v>BADAJOZ</c:v>
                </c:pt>
                <c:pt idx="5">
                  <c:v>ALBACETE</c:v>
                </c:pt>
                <c:pt idx="6">
                  <c:v>LLEIDA</c:v>
                </c:pt>
                <c:pt idx="7">
                  <c:v>CIUDAD REAL</c:v>
                </c:pt>
                <c:pt idx="8">
                  <c:v>CÁCERES</c:v>
                </c:pt>
                <c:pt idx="9">
                  <c:v>TOLEDO</c:v>
                </c:pt>
              </c:strCache>
            </c:strRef>
          </c:cat>
          <c:val>
            <c:numRef>
              <c:f>'ALM-EDAD'!$AL$108:$AL$117</c:f>
              <c:numCache>
                <c:formatCode>#,##0</c:formatCode>
                <c:ptCount val="10"/>
                <c:pt idx="0">
                  <c:v>11457.049999999997</c:v>
                </c:pt>
                <c:pt idx="1">
                  <c:v>7682.93</c:v>
                </c:pt>
                <c:pt idx="2">
                  <c:v>12974.179999999997</c:v>
                </c:pt>
                <c:pt idx="3">
                  <c:v>6928.84</c:v>
                </c:pt>
                <c:pt idx="4">
                  <c:v>5825.8300000000008</c:v>
                </c:pt>
                <c:pt idx="5">
                  <c:v>13011.749999999998</c:v>
                </c:pt>
                <c:pt idx="6">
                  <c:v>7500.03</c:v>
                </c:pt>
                <c:pt idx="7">
                  <c:v>3871.55</c:v>
                </c:pt>
                <c:pt idx="8">
                  <c:v>2627.16</c:v>
                </c:pt>
                <c:pt idx="9">
                  <c:v>3588.0200000000004</c:v>
                </c:pt>
              </c:numCache>
            </c:numRef>
          </c:val>
          <c:extLst>
            <c:ext xmlns:c16="http://schemas.microsoft.com/office/drawing/2014/chart" uri="{C3380CC4-5D6E-409C-BE32-E72D297353CC}">
              <c16:uniqueId val="{00000000-DCFD-4A26-B5DA-775251613FAE}"/>
            </c:ext>
          </c:extLst>
        </c:ser>
        <c:ser>
          <c:idx val="0"/>
          <c:order val="1"/>
          <c:tx>
            <c:strRef>
              <c:f>'ALM-EDAD'!$AK$107</c:f>
              <c:strCache>
                <c:ptCount val="1"/>
                <c:pt idx="0">
                  <c:v>Plantaciones jóvenes</c:v>
                </c:pt>
              </c:strCache>
            </c:strRef>
          </c:tx>
          <c:spPr>
            <a:solidFill>
              <a:schemeClr val="accent1">
                <a:shade val="76000"/>
              </a:schemeClr>
            </a:solidFill>
            <a:ln>
              <a:solidFill>
                <a:schemeClr val="accent1">
                  <a:lumMod val="50000"/>
                </a:schemeClr>
              </a:solidFill>
            </a:ln>
            <a:effectLst/>
          </c:spPr>
          <c:invertIfNegative val="0"/>
          <c:dLbls>
            <c:dLbl>
              <c:idx val="0"/>
              <c:tx>
                <c:rich>
                  <a:bodyPr/>
                  <a:lstStyle/>
                  <a:p>
                    <a:fld id="{467C36EF-AFD6-4673-A390-1010CE076485}"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CFD-4A26-B5DA-775251613FAE}"/>
                </c:ext>
              </c:extLst>
            </c:dLbl>
            <c:dLbl>
              <c:idx val="1"/>
              <c:tx>
                <c:rich>
                  <a:bodyPr/>
                  <a:lstStyle/>
                  <a:p>
                    <a:fld id="{72A272F2-029F-45FB-B39F-74604CABEAD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CFD-4A26-B5DA-775251613FAE}"/>
                </c:ext>
              </c:extLst>
            </c:dLbl>
            <c:dLbl>
              <c:idx val="2"/>
              <c:tx>
                <c:rich>
                  <a:bodyPr/>
                  <a:lstStyle/>
                  <a:p>
                    <a:fld id="{7CF7C1F9-BD48-48C1-BAB7-58E03B2FCCB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FD-4A26-B5DA-775251613FAE}"/>
                </c:ext>
              </c:extLst>
            </c:dLbl>
            <c:dLbl>
              <c:idx val="3"/>
              <c:tx>
                <c:rich>
                  <a:bodyPr/>
                  <a:lstStyle/>
                  <a:p>
                    <a:fld id="{9764E43C-8E05-4A8B-8AF0-A3F972F3F07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FD-4A26-B5DA-775251613FAE}"/>
                </c:ext>
              </c:extLst>
            </c:dLbl>
            <c:dLbl>
              <c:idx val="4"/>
              <c:tx>
                <c:rich>
                  <a:bodyPr/>
                  <a:lstStyle/>
                  <a:p>
                    <a:fld id="{D11F26E4-5BED-42DF-B6A3-EC8DBDC20D8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FD-4A26-B5DA-775251613FAE}"/>
                </c:ext>
              </c:extLst>
            </c:dLbl>
            <c:dLbl>
              <c:idx val="5"/>
              <c:tx>
                <c:rich>
                  <a:bodyPr/>
                  <a:lstStyle/>
                  <a:p>
                    <a:fld id="{FE615AF3-62C9-43EC-A73E-37D4BAEB29F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FD-4A26-B5DA-775251613FAE}"/>
                </c:ext>
              </c:extLst>
            </c:dLbl>
            <c:dLbl>
              <c:idx val="6"/>
              <c:tx>
                <c:rich>
                  <a:bodyPr/>
                  <a:lstStyle/>
                  <a:p>
                    <a:fld id="{F5C34786-7E3B-4476-ACDE-169B381E213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CFD-4A26-B5DA-775251613FAE}"/>
                </c:ext>
              </c:extLst>
            </c:dLbl>
            <c:dLbl>
              <c:idx val="7"/>
              <c:tx>
                <c:rich>
                  <a:bodyPr/>
                  <a:lstStyle/>
                  <a:p>
                    <a:fld id="{8B17318D-0714-4F42-9774-23626BA3A6A9}"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FD-4A26-B5DA-775251613FAE}"/>
                </c:ext>
              </c:extLst>
            </c:dLbl>
            <c:dLbl>
              <c:idx val="8"/>
              <c:tx>
                <c:rich>
                  <a:bodyPr/>
                  <a:lstStyle/>
                  <a:p>
                    <a:fld id="{01A8C925-48D2-4D1F-83E2-C73C66BF035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FD-4A26-B5DA-775251613FAE}"/>
                </c:ext>
              </c:extLst>
            </c:dLbl>
            <c:dLbl>
              <c:idx val="9"/>
              <c:tx>
                <c:rich>
                  <a:bodyPr/>
                  <a:lstStyle/>
                  <a:p>
                    <a:fld id="{18E3871A-AD1D-4D6F-A461-6293C94806E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CFD-4A26-B5DA-775251613F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'ALM-EDAD'!$AJ$108:$AJ$117</c:f>
              <c:strCache>
                <c:ptCount val="10"/>
                <c:pt idx="0">
                  <c:v>SEVILLA</c:v>
                </c:pt>
                <c:pt idx="1">
                  <c:v>CÓRDOBA</c:v>
                </c:pt>
                <c:pt idx="2">
                  <c:v>ZARAGOZA</c:v>
                </c:pt>
                <c:pt idx="3">
                  <c:v>HUESCA</c:v>
                </c:pt>
                <c:pt idx="4">
                  <c:v>BADAJOZ</c:v>
                </c:pt>
                <c:pt idx="5">
                  <c:v>ALBACETE</c:v>
                </c:pt>
                <c:pt idx="6">
                  <c:v>LLEIDA</c:v>
                </c:pt>
                <c:pt idx="7">
                  <c:v>CIUDAD REAL</c:v>
                </c:pt>
                <c:pt idx="8">
                  <c:v>CÁCERES</c:v>
                </c:pt>
                <c:pt idx="9">
                  <c:v>TOLEDO</c:v>
                </c:pt>
              </c:strCache>
            </c:strRef>
          </c:cat>
          <c:val>
            <c:numRef>
              <c:f>'ALM-EDAD'!$AK$108:$AK$117</c:f>
              <c:numCache>
                <c:formatCode>#,##0</c:formatCode>
                <c:ptCount val="10"/>
                <c:pt idx="0">
                  <c:v>4942.32</c:v>
                </c:pt>
                <c:pt idx="1">
                  <c:v>3805.02</c:v>
                </c:pt>
                <c:pt idx="2">
                  <c:v>3215.7200000000003</c:v>
                </c:pt>
                <c:pt idx="3">
                  <c:v>2784.7099999999996</c:v>
                </c:pt>
                <c:pt idx="4">
                  <c:v>2479.35</c:v>
                </c:pt>
                <c:pt idx="5">
                  <c:v>2125.34</c:v>
                </c:pt>
                <c:pt idx="6">
                  <c:v>1916.7</c:v>
                </c:pt>
                <c:pt idx="7">
                  <c:v>1405.85</c:v>
                </c:pt>
                <c:pt idx="8">
                  <c:v>1193.27</c:v>
                </c:pt>
                <c:pt idx="9">
                  <c:v>932.92</c:v>
                </c:pt>
              </c:numCache>
            </c:numRef>
          </c:val>
          <c:extLst>
            <c:ext xmlns:c15="http://schemas.microsoft.com/office/drawing/2012/chart" uri="{02D57815-91ED-43cb-92C2-25804820EDAC}">
              <c15:datalabelsRange>
                <c15:f>'ALM-EDAD'!$AM$108:$AM$117</c15:f>
                <c15:dlblRangeCache>
                  <c:ptCount val="10"/>
                  <c:pt idx="0">
                    <c:v>43%</c:v>
                  </c:pt>
                  <c:pt idx="1">
                    <c:v>50%</c:v>
                  </c:pt>
                  <c:pt idx="2">
                    <c:v>25%</c:v>
                  </c:pt>
                  <c:pt idx="3">
                    <c:v>40%</c:v>
                  </c:pt>
                  <c:pt idx="4">
                    <c:v>43%</c:v>
                  </c:pt>
                  <c:pt idx="5">
                    <c:v>16%</c:v>
                  </c:pt>
                  <c:pt idx="6">
                    <c:v>26%</c:v>
                  </c:pt>
                  <c:pt idx="7">
                    <c:v>36%</c:v>
                  </c:pt>
                  <c:pt idx="8">
                    <c:v>45%</c:v>
                  </c:pt>
                  <c:pt idx="9">
                    <c:v>26%</c:v>
                  </c:pt>
                </c15:dlblRangeCache>
              </c15:datalabelsRange>
            </c:ext>
            <c:ext xmlns:c16="http://schemas.microsoft.com/office/drawing/2014/chart" uri="{C3380CC4-5D6E-409C-BE32-E72D297353CC}">
              <c16:uniqueId val="{0000000B-DCFD-4A26-B5DA-775251613FAE}"/>
            </c:ext>
          </c:extLst>
        </c:ser>
        <c:dLbls>
          <c:showLegendKey val="0"/>
          <c:showVal val="0"/>
          <c:showCatName val="0"/>
          <c:showSerName val="0"/>
          <c:showPercent val="0"/>
          <c:showBubbleSize val="0"/>
        </c:dLbls>
        <c:gapWidth val="150"/>
        <c:overlap val="-40"/>
        <c:axId val="105927536"/>
        <c:axId val="105934064"/>
      </c:barChart>
      <c:catAx>
        <c:axId val="105927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5934064"/>
        <c:crosses val="autoZero"/>
        <c:auto val="1"/>
        <c:lblAlgn val="ctr"/>
        <c:lblOffset val="100"/>
        <c:noMultiLvlLbl val="0"/>
      </c:catAx>
      <c:valAx>
        <c:axId val="1059340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5927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Secano</a:t>
            </a:r>
            <a:r>
              <a:rPr lang="es-ES" b="1" baseline="0">
                <a:solidFill>
                  <a:sysClr val="windowText" lastClr="000000"/>
                </a:solidFill>
              </a:rPr>
              <a:t> Convencional vs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'ALM-EDAD'!$C$219:$X$219</c:f>
              <c:numCache>
                <c:formatCode>#,##0</c:formatCode>
                <c:ptCount val="22"/>
                <c:pt idx="0">
                  <c:v>20263.77</c:v>
                </c:pt>
                <c:pt idx="1">
                  <c:v>2332.87</c:v>
                </c:pt>
                <c:pt idx="2">
                  <c:v>2926</c:v>
                </c:pt>
                <c:pt idx="3">
                  <c:v>2380.6399999999994</c:v>
                </c:pt>
                <c:pt idx="4">
                  <c:v>4417.9999999999991</c:v>
                </c:pt>
                <c:pt idx="5">
                  <c:v>5738.24</c:v>
                </c:pt>
                <c:pt idx="6">
                  <c:v>3378.17</c:v>
                </c:pt>
                <c:pt idx="7">
                  <c:v>5712.58</c:v>
                </c:pt>
                <c:pt idx="8">
                  <c:v>3354.37</c:v>
                </c:pt>
                <c:pt idx="9">
                  <c:v>4617.34</c:v>
                </c:pt>
                <c:pt idx="10">
                  <c:v>5360.2800000000007</c:v>
                </c:pt>
                <c:pt idx="11">
                  <c:v>2674.8399999999997</c:v>
                </c:pt>
                <c:pt idx="12">
                  <c:v>4401.83</c:v>
                </c:pt>
                <c:pt idx="13">
                  <c:v>4388.8499999999995</c:v>
                </c:pt>
                <c:pt idx="14">
                  <c:v>8944.61</c:v>
                </c:pt>
                <c:pt idx="15">
                  <c:v>18063.379999999997</c:v>
                </c:pt>
                <c:pt idx="16">
                  <c:v>23152.720000000001</c:v>
                </c:pt>
                <c:pt idx="17">
                  <c:v>21131.040000000001</c:v>
                </c:pt>
                <c:pt idx="18">
                  <c:v>14913.699999999999</c:v>
                </c:pt>
                <c:pt idx="19">
                  <c:v>14952.58</c:v>
                </c:pt>
                <c:pt idx="20">
                  <c:v>14636.719999999998</c:v>
                </c:pt>
                <c:pt idx="21">
                  <c:v>10183.68</c:v>
                </c:pt>
              </c:numCache>
            </c:numRef>
          </c:val>
          <c:extLst>
            <c:ext xmlns:c16="http://schemas.microsoft.com/office/drawing/2014/chart" uri="{C3380CC4-5D6E-409C-BE32-E72D297353CC}">
              <c16:uniqueId val="{00000004-D325-44D9-B5E1-2C60100C7DD7}"/>
            </c:ext>
          </c:extLst>
        </c:ser>
        <c:ser>
          <c:idx val="0"/>
          <c:order val="1"/>
          <c:tx>
            <c:v>Ecológico</c:v>
          </c:tx>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'ALM-EDAD'!$C$370:$X$370</c:f>
              <c:numCache>
                <c:formatCode>#,##0</c:formatCode>
                <c:ptCount val="22"/>
                <c:pt idx="0">
                  <c:v>6254.91</c:v>
                </c:pt>
                <c:pt idx="1">
                  <c:v>843.87999999999988</c:v>
                </c:pt>
                <c:pt idx="2">
                  <c:v>722.69999999999993</c:v>
                </c:pt>
                <c:pt idx="3">
                  <c:v>815.16</c:v>
                </c:pt>
                <c:pt idx="4">
                  <c:v>1518.6899999999998</c:v>
                </c:pt>
                <c:pt idx="5">
                  <c:v>1834.23</c:v>
                </c:pt>
                <c:pt idx="6">
                  <c:v>1257.5699999999997</c:v>
                </c:pt>
                <c:pt idx="7">
                  <c:v>1746.9599999999998</c:v>
                </c:pt>
                <c:pt idx="8">
                  <c:v>1103.3600000000001</c:v>
                </c:pt>
                <c:pt idx="9">
                  <c:v>1465.4099999999999</c:v>
                </c:pt>
                <c:pt idx="10">
                  <c:v>1865.31</c:v>
                </c:pt>
                <c:pt idx="11">
                  <c:v>768.7399999999999</c:v>
                </c:pt>
                <c:pt idx="12">
                  <c:v>1040.9400000000005</c:v>
                </c:pt>
                <c:pt idx="13">
                  <c:v>1751.82</c:v>
                </c:pt>
                <c:pt idx="14">
                  <c:v>2964.2000000000003</c:v>
                </c:pt>
                <c:pt idx="15">
                  <c:v>7018.4699999999993</c:v>
                </c:pt>
                <c:pt idx="16">
                  <c:v>8264.260000000002</c:v>
                </c:pt>
                <c:pt idx="17">
                  <c:v>7919.01</c:v>
                </c:pt>
                <c:pt idx="18">
                  <c:v>4867.199999999998</c:v>
                </c:pt>
                <c:pt idx="19">
                  <c:v>4581.7200000000012</c:v>
                </c:pt>
                <c:pt idx="20">
                  <c:v>4301.1099999999988</c:v>
                </c:pt>
                <c:pt idx="21">
                  <c:v>3643.8599999999997</c:v>
                </c:pt>
              </c:numCache>
              <c:extLst/>
            </c:numRef>
          </c:val>
          <c:extLst>
            <c:ext xmlns:c16="http://schemas.microsoft.com/office/drawing/2014/chart" uri="{C3380CC4-5D6E-409C-BE32-E72D297353CC}">
              <c16:uniqueId val="{00000003-D325-44D9-B5E1-2C60100C7DD7}"/>
            </c:ext>
          </c:extLst>
        </c:ser>
        <c:dLbls>
          <c:showLegendKey val="0"/>
          <c:showVal val="0"/>
          <c:showCatName val="0"/>
          <c:showSerName val="0"/>
          <c:showPercent val="0"/>
          <c:showBubbleSize val="0"/>
        </c:dLbls>
        <c:gapWidth val="219"/>
        <c:overlap val="-27"/>
        <c:axId val="96709808"/>
        <c:axId val="96710352"/>
      </c:barChart>
      <c:catAx>
        <c:axId val="967098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6710352"/>
        <c:crosses val="autoZero"/>
        <c:auto val="1"/>
        <c:lblAlgn val="ctr"/>
        <c:lblOffset val="100"/>
        <c:noMultiLvlLbl val="0"/>
      </c:catAx>
      <c:valAx>
        <c:axId val="96710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670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Almendro Regadío Convencional vs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1"/>
          <c:order val="0"/>
          <c:tx>
            <c:v>Convencional</c:v>
          </c:tx>
          <c:spPr>
            <a:solidFill>
              <a:schemeClr val="accent1"/>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'ALM-EDAD'!$C$294:$X$294</c:f>
              <c:numCache>
                <c:formatCode>#,##0</c:formatCode>
                <c:ptCount val="22"/>
                <c:pt idx="0">
                  <c:v>2534.2600000000002</c:v>
                </c:pt>
                <c:pt idx="1">
                  <c:v>463.24</c:v>
                </c:pt>
                <c:pt idx="2">
                  <c:v>404.14</c:v>
                </c:pt>
                <c:pt idx="3">
                  <c:v>487.92999999999995</c:v>
                </c:pt>
                <c:pt idx="4">
                  <c:v>585.03</c:v>
                </c:pt>
                <c:pt idx="5">
                  <c:v>1030.5999999999999</c:v>
                </c:pt>
                <c:pt idx="6">
                  <c:v>778.11</c:v>
                </c:pt>
                <c:pt idx="7">
                  <c:v>1124.51</c:v>
                </c:pt>
                <c:pt idx="8">
                  <c:v>1403.2200000000003</c:v>
                </c:pt>
                <c:pt idx="9">
                  <c:v>1078.1500000000001</c:v>
                </c:pt>
                <c:pt idx="10">
                  <c:v>1298.49</c:v>
                </c:pt>
                <c:pt idx="11">
                  <c:v>947.38000000000011</c:v>
                </c:pt>
                <c:pt idx="12">
                  <c:v>1310.0800000000002</c:v>
                </c:pt>
                <c:pt idx="13">
                  <c:v>1749.0300000000002</c:v>
                </c:pt>
                <c:pt idx="14">
                  <c:v>3400</c:v>
                </c:pt>
                <c:pt idx="15">
                  <c:v>7162.9</c:v>
                </c:pt>
                <c:pt idx="16">
                  <c:v>12260.47</c:v>
                </c:pt>
                <c:pt idx="17">
                  <c:v>12819.939999999999</c:v>
                </c:pt>
                <c:pt idx="18">
                  <c:v>7944.27</c:v>
                </c:pt>
                <c:pt idx="19">
                  <c:v>7661.9199999999992</c:v>
                </c:pt>
                <c:pt idx="20">
                  <c:v>13000.239999999998</c:v>
                </c:pt>
                <c:pt idx="21">
                  <c:v>9039.35</c:v>
                </c:pt>
              </c:numCache>
            </c:numRef>
          </c:val>
          <c:extLst>
            <c:ext xmlns:c16="http://schemas.microsoft.com/office/drawing/2014/chart" uri="{C3380CC4-5D6E-409C-BE32-E72D297353CC}">
              <c16:uniqueId val="{00000007-42B5-445B-9987-A13714DB8216}"/>
            </c:ext>
          </c:extLst>
        </c:ser>
        <c:ser>
          <c:idx val="0"/>
          <c:order val="1"/>
          <c:tx>
            <c:v>Ecológico</c:v>
          </c:tx>
          <c:spPr>
            <a:solidFill>
              <a:srgbClr val="00FFCC"/>
            </a:solidFill>
            <a:ln>
              <a:solidFill>
                <a:sysClr val="windowText" lastClr="000000"/>
              </a:solid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'ALM-EDAD'!$C$445:$X$445</c:f>
              <c:numCache>
                <c:formatCode>#,##0</c:formatCode>
                <c:ptCount val="22"/>
                <c:pt idx="0">
                  <c:v>453.93000000000006</c:v>
                </c:pt>
                <c:pt idx="1">
                  <c:v>49.45</c:v>
                </c:pt>
                <c:pt idx="2">
                  <c:v>26.5</c:v>
                </c:pt>
                <c:pt idx="3">
                  <c:v>32.96</c:v>
                </c:pt>
                <c:pt idx="4">
                  <c:v>138.14000000000001</c:v>
                </c:pt>
                <c:pt idx="5">
                  <c:v>199.87000000000003</c:v>
                </c:pt>
                <c:pt idx="6">
                  <c:v>321.59999999999997</c:v>
                </c:pt>
                <c:pt idx="7">
                  <c:v>110.51</c:v>
                </c:pt>
                <c:pt idx="8">
                  <c:v>171.48000000000002</c:v>
                </c:pt>
                <c:pt idx="9">
                  <c:v>137.15</c:v>
                </c:pt>
                <c:pt idx="10">
                  <c:v>226.83000000000004</c:v>
                </c:pt>
                <c:pt idx="11">
                  <c:v>176.14999999999998</c:v>
                </c:pt>
                <c:pt idx="12">
                  <c:v>152.29</c:v>
                </c:pt>
                <c:pt idx="13">
                  <c:v>394.60999999999996</c:v>
                </c:pt>
                <c:pt idx="14">
                  <c:v>479.80999999999995</c:v>
                </c:pt>
                <c:pt idx="15">
                  <c:v>1568.59</c:v>
                </c:pt>
                <c:pt idx="16">
                  <c:v>1849.2600000000002</c:v>
                </c:pt>
                <c:pt idx="17">
                  <c:v>1263.5599999999997</c:v>
                </c:pt>
                <c:pt idx="18">
                  <c:v>1088.69</c:v>
                </c:pt>
                <c:pt idx="19">
                  <c:v>707.81999999999982</c:v>
                </c:pt>
                <c:pt idx="20">
                  <c:v>855.61</c:v>
                </c:pt>
                <c:pt idx="21">
                  <c:v>725.74</c:v>
                </c:pt>
              </c:numCache>
            </c:numRef>
          </c:val>
          <c:extLst>
            <c:ext xmlns:c16="http://schemas.microsoft.com/office/drawing/2014/chart" uri="{C3380CC4-5D6E-409C-BE32-E72D297353CC}">
              <c16:uniqueId val="{00000006-42B5-445B-9987-A13714DB8216}"/>
            </c:ext>
          </c:extLst>
        </c:ser>
        <c:dLbls>
          <c:showLegendKey val="0"/>
          <c:showVal val="0"/>
          <c:showCatName val="0"/>
          <c:showSerName val="0"/>
          <c:showPercent val="0"/>
          <c:showBubbleSize val="0"/>
        </c:dLbls>
        <c:gapWidth val="219"/>
        <c:overlap val="-27"/>
        <c:axId val="102947296"/>
        <c:axId val="102944032"/>
      </c:barChart>
      <c:catAx>
        <c:axId val="10294729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4032"/>
        <c:crosses val="autoZero"/>
        <c:auto val="1"/>
        <c:lblAlgn val="ctr"/>
        <c:lblOffset val="100"/>
        <c:noMultiLvlLbl val="0"/>
      </c:catAx>
      <c:valAx>
        <c:axId val="102944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2947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sz="1800" b="1"/>
              <a:t>Almendro: </a:t>
            </a:r>
            <a:r>
              <a:rPr lang="en-US" sz="1800"/>
              <a:t>Nuevas Plantaciones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ES"/>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996633"/>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2-CEB1-4EA7-8E22-8763503417E0}"/>
              </c:ext>
            </c:extLst>
          </c:dPt>
          <c:dPt>
            <c:idx val="1"/>
            <c:invertIfNegative val="0"/>
            <c:bubble3D val="0"/>
            <c:spPr>
              <a:solidFill>
                <a:schemeClr val="accent1">
                  <a:lumMod val="75000"/>
                </a:schemeClr>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4-CEB1-4EA7-8E22-8763503417E0}"/>
              </c:ext>
            </c:extLst>
          </c:dPt>
          <c:dPt>
            <c:idx val="2"/>
            <c:invertIfNegative val="0"/>
            <c:bubble3D val="0"/>
            <c:spPr>
              <a:solidFill>
                <a:schemeClr val="accent6"/>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3-CEB1-4EA7-8E22-8763503417E0}"/>
              </c:ext>
            </c:extLst>
          </c:dPt>
          <c:dPt>
            <c:idx val="3"/>
            <c:invertIfNegative val="0"/>
            <c:bubble3D val="0"/>
            <c:spPr>
              <a:solidFill>
                <a:srgbClr val="00FFCC"/>
              </a:solidFill>
              <a:ln>
                <a:noFill/>
              </a:ln>
              <a:effectLst>
                <a:outerShdw blurRad="76200" dir="18900000" sy="23000" kx="-1200000" algn="bl" rotWithShape="0">
                  <a:prstClr val="black">
                    <a:alpha val="20000"/>
                  </a:prstClr>
                </a:outerShdw>
              </a:effectLst>
            </c:spPr>
            <c:extLst>
              <c:ext xmlns:c16="http://schemas.microsoft.com/office/drawing/2014/chart" uri="{C3380CC4-5D6E-409C-BE32-E72D297353CC}">
                <c16:uniqueId val="{00000005-CEB1-4EA7-8E22-8763503417E0}"/>
              </c:ext>
            </c:extLst>
          </c:dPt>
          <c:dLbls>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50000"/>
                          <a:lumOff val="50000"/>
                        </a:schemeClr>
                      </a:solidFill>
                      <a:latin typeface="+mn-lt"/>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5-CEB1-4EA7-8E22-8763503417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lt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'ALM-EDAD'!$H$471:$I$474</c:f>
              <c:multiLvlStrCache>
                <c:ptCount val="4"/>
                <c:lvl>
                  <c:pt idx="0">
                    <c:v>SECANO</c:v>
                  </c:pt>
                  <c:pt idx="1">
                    <c:v>REGADÍO</c:v>
                  </c:pt>
                  <c:pt idx="2">
                    <c:v>SECANO </c:v>
                  </c:pt>
                  <c:pt idx="3">
                    <c:v>REGADÍO</c:v>
                  </c:pt>
                </c:lvl>
                <c:lvl>
                  <c:pt idx="0">
                    <c:v>CONVENCIONAL</c:v>
                  </c:pt>
                  <c:pt idx="2">
                    <c:v>ECOLÓGICO</c:v>
                  </c:pt>
                </c:lvl>
              </c:multiLvlStrCache>
            </c:multiLvlStrRef>
          </c:cat>
          <c:val>
            <c:numRef>
              <c:f>'ALM-EDAD'!$J$471:$J$474</c:f>
              <c:numCache>
                <c:formatCode>0%</c:formatCode>
                <c:ptCount val="4"/>
                <c:pt idx="0">
                  <c:v>0.13613474051804111</c:v>
                </c:pt>
                <c:pt idx="1">
                  <c:v>0.29554098706980775</c:v>
                </c:pt>
                <c:pt idx="2">
                  <c:v>0.15848025999892487</c:v>
                </c:pt>
                <c:pt idx="3">
                  <c:v>0.16122164393016358</c:v>
                </c:pt>
              </c:numCache>
            </c:numRef>
          </c:val>
          <c:extLst>
            <c:ext xmlns:c16="http://schemas.microsoft.com/office/drawing/2014/chart" uri="{C3380CC4-5D6E-409C-BE32-E72D297353CC}">
              <c16:uniqueId val="{00000000-CEB1-4EA7-8E22-8763503417E0}"/>
            </c:ext>
          </c:extLst>
        </c:ser>
        <c:dLbls>
          <c:dLblPos val="inEnd"/>
          <c:showLegendKey val="0"/>
          <c:showVal val="1"/>
          <c:showCatName val="0"/>
          <c:showSerName val="0"/>
          <c:showPercent val="0"/>
          <c:showBubbleSize val="0"/>
        </c:dLbls>
        <c:gapWidth val="41"/>
        <c:axId val="1449655487"/>
        <c:axId val="1449638847"/>
      </c:barChart>
      <c:catAx>
        <c:axId val="14496554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dk1">
                    <a:lumMod val="65000"/>
                    <a:lumOff val="35000"/>
                  </a:schemeClr>
                </a:solidFill>
                <a:effectLst/>
                <a:latin typeface="+mn-lt"/>
                <a:ea typeface="+mn-ea"/>
                <a:cs typeface="+mn-cs"/>
              </a:defRPr>
            </a:pPr>
            <a:endParaRPr lang="es-ES"/>
          </a:p>
        </c:txPr>
        <c:crossAx val="1449638847"/>
        <c:crosses val="autoZero"/>
        <c:auto val="1"/>
        <c:lblAlgn val="ctr"/>
        <c:lblOffset val="100"/>
        <c:noMultiLvlLbl val="0"/>
      </c:catAx>
      <c:valAx>
        <c:axId val="1449638847"/>
        <c:scaling>
          <c:orientation val="minMax"/>
        </c:scaling>
        <c:delete val="1"/>
        <c:axPos val="l"/>
        <c:numFmt formatCode="0%" sourceLinked="1"/>
        <c:majorTickMark val="none"/>
        <c:minorTickMark val="none"/>
        <c:tickLblPos val="nextTo"/>
        <c:crossAx val="14496554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Almendro: </a:t>
            </a:r>
            <a:r>
              <a:rPr lang="en-US" sz="1800" b="0" i="0" u="none" strike="noStrike" kern="1200" baseline="0">
                <a:solidFill>
                  <a:sysClr val="windowText" lastClr="000000">
                    <a:lumMod val="65000"/>
                    <a:lumOff val="35000"/>
                  </a:sysClr>
                </a:solidFill>
                <a:effectLst/>
                <a:latin typeface="+mn-lt"/>
                <a:ea typeface="+mn-ea"/>
                <a:cs typeface="+mn-cs"/>
              </a:rPr>
              <a:t>Nuevas</a:t>
            </a:r>
            <a:r>
              <a:rPr lang="en-US" b="0"/>
              <a:t> plantaciones por regiones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S"/>
        </a:p>
      </c:txPr>
    </c:title>
    <c:autoTitleDeleted val="0"/>
    <c:plotArea>
      <c:layout/>
      <c:barChart>
        <c:barDir val="col"/>
        <c:grouping val="clustered"/>
        <c:varyColors val="0"/>
        <c:ser>
          <c:idx val="0"/>
          <c:order val="0"/>
          <c:tx>
            <c:strRef>
              <c:f>'ALM-EDAD'!$H$492:$I$492</c:f>
              <c:strCache>
                <c:ptCount val="2"/>
                <c:pt idx="0">
                  <c:v>CONVENCIONAL</c:v>
                </c:pt>
                <c:pt idx="1">
                  <c:v>SECANO</c:v>
                </c:pt>
              </c:strCache>
            </c:strRef>
          </c:tx>
          <c:spPr>
            <a:solidFill>
              <a:srgbClr val="996633"/>
            </a:solidFill>
            <a:ln>
              <a:solidFill>
                <a:schemeClr val="tx1">
                  <a:lumMod val="50000"/>
                  <a:lumOff val="50000"/>
                </a:schemeClr>
              </a:solidFill>
            </a:ln>
            <a:effectLst/>
          </c:spPr>
          <c:invertIfNegative val="0"/>
          <c:cat>
            <c:strRef>
              <c:f>'ALM-EDAD'!$J$491:$N$491</c:f>
              <c:strCache>
                <c:ptCount val="5"/>
                <c:pt idx="0">
                  <c:v>ANDALUCÍA</c:v>
                </c:pt>
                <c:pt idx="1">
                  <c:v>ARAGÓN </c:v>
                </c:pt>
                <c:pt idx="2">
                  <c:v>C. VALENCIANA</c:v>
                </c:pt>
                <c:pt idx="3">
                  <c:v>C.-LA MANCHA</c:v>
                </c:pt>
                <c:pt idx="4">
                  <c:v>MURCIA</c:v>
                </c:pt>
              </c:strCache>
            </c:strRef>
          </c:cat>
          <c:val>
            <c:numRef>
              <c:f>'ALM-EDAD'!$J$492:$N$492</c:f>
              <c:numCache>
                <c:formatCode>0%</c:formatCode>
                <c:ptCount val="5"/>
                <c:pt idx="0">
                  <c:v>0.13356614171552425</c:v>
                </c:pt>
                <c:pt idx="1">
                  <c:v>9.5372651606412825E-2</c:v>
                </c:pt>
                <c:pt idx="2">
                  <c:v>4.7774875525666421E-2</c:v>
                </c:pt>
                <c:pt idx="3">
                  <c:v>0.22821478434092046</c:v>
                </c:pt>
                <c:pt idx="4">
                  <c:v>0.10014759937188025</c:v>
                </c:pt>
              </c:numCache>
            </c:numRef>
          </c:val>
          <c:extLst>
            <c:ext xmlns:c16="http://schemas.microsoft.com/office/drawing/2014/chart" uri="{C3380CC4-5D6E-409C-BE32-E72D297353CC}">
              <c16:uniqueId val="{00000000-41FB-40FF-B8E4-C3C38DD22E9F}"/>
            </c:ext>
          </c:extLst>
        </c:ser>
        <c:ser>
          <c:idx val="1"/>
          <c:order val="1"/>
          <c:tx>
            <c:strRef>
              <c:f>'ALM-EDAD'!$H$493:$I$493</c:f>
              <c:strCache>
                <c:ptCount val="2"/>
                <c:pt idx="0">
                  <c:v>CONVENCIONAL</c:v>
                </c:pt>
                <c:pt idx="1">
                  <c:v>REGADÍO</c:v>
                </c:pt>
              </c:strCache>
            </c:strRef>
          </c:tx>
          <c:spPr>
            <a:solidFill>
              <a:schemeClr val="accent1">
                <a:lumMod val="75000"/>
              </a:schemeClr>
            </a:solidFill>
            <a:ln>
              <a:solidFill>
                <a:schemeClr val="tx1">
                  <a:lumMod val="50000"/>
                  <a:lumOff val="50000"/>
                </a:schemeClr>
              </a:solidFill>
            </a:ln>
            <a:effectLst/>
          </c:spPr>
          <c:invertIfNegative val="0"/>
          <c:cat>
            <c:strRef>
              <c:f>'ALM-EDAD'!$J$491:$N$491</c:f>
              <c:strCache>
                <c:ptCount val="5"/>
                <c:pt idx="0">
                  <c:v>ANDALUCÍA</c:v>
                </c:pt>
                <c:pt idx="1">
                  <c:v>ARAGÓN </c:v>
                </c:pt>
                <c:pt idx="2">
                  <c:v>C. VALENCIANA</c:v>
                </c:pt>
                <c:pt idx="3">
                  <c:v>C.-LA MANCHA</c:v>
                </c:pt>
                <c:pt idx="4">
                  <c:v>MURCIA</c:v>
                </c:pt>
              </c:strCache>
            </c:strRef>
          </c:cat>
          <c:val>
            <c:numRef>
              <c:f>'ALM-EDAD'!$J$493:$N$493</c:f>
              <c:numCache>
                <c:formatCode>0%</c:formatCode>
                <c:ptCount val="5"/>
                <c:pt idx="0">
                  <c:v>0.38789517707197274</c:v>
                </c:pt>
                <c:pt idx="1">
                  <c:v>0.29916542266801177</c:v>
                </c:pt>
                <c:pt idx="2">
                  <c:v>9.5352060523088519E-2</c:v>
                </c:pt>
                <c:pt idx="3">
                  <c:v>0.23581251863129513</c:v>
                </c:pt>
                <c:pt idx="4">
                  <c:v>0.13038634155369452</c:v>
                </c:pt>
              </c:numCache>
            </c:numRef>
          </c:val>
          <c:extLst>
            <c:ext xmlns:c16="http://schemas.microsoft.com/office/drawing/2014/chart" uri="{C3380CC4-5D6E-409C-BE32-E72D297353CC}">
              <c16:uniqueId val="{00000001-41FB-40FF-B8E4-C3C38DD22E9F}"/>
            </c:ext>
          </c:extLst>
        </c:ser>
        <c:ser>
          <c:idx val="2"/>
          <c:order val="2"/>
          <c:tx>
            <c:strRef>
              <c:f>'ALM-EDAD'!$H$494:$I$494</c:f>
              <c:strCache>
                <c:ptCount val="2"/>
                <c:pt idx="0">
                  <c:v>ECOLÓGICO</c:v>
                </c:pt>
                <c:pt idx="1">
                  <c:v>SECANO </c:v>
                </c:pt>
              </c:strCache>
            </c:strRef>
          </c:tx>
          <c:spPr>
            <a:solidFill>
              <a:schemeClr val="accent6"/>
            </a:solidFill>
            <a:ln>
              <a:solidFill>
                <a:schemeClr val="tx1">
                  <a:lumMod val="50000"/>
                  <a:lumOff val="50000"/>
                </a:schemeClr>
              </a:solidFill>
            </a:ln>
            <a:effectLst/>
          </c:spPr>
          <c:invertIfNegative val="0"/>
          <c:cat>
            <c:strRef>
              <c:f>'ALM-EDAD'!$J$491:$N$491</c:f>
              <c:strCache>
                <c:ptCount val="5"/>
                <c:pt idx="0">
                  <c:v>ANDALUCÍA</c:v>
                </c:pt>
                <c:pt idx="1">
                  <c:v>ARAGÓN </c:v>
                </c:pt>
                <c:pt idx="2">
                  <c:v>C. VALENCIANA</c:v>
                </c:pt>
                <c:pt idx="3">
                  <c:v>C.-LA MANCHA</c:v>
                </c:pt>
                <c:pt idx="4">
                  <c:v>MURCIA</c:v>
                </c:pt>
              </c:strCache>
            </c:strRef>
          </c:cat>
          <c:val>
            <c:numRef>
              <c:f>'ALM-EDAD'!$J$494:$N$494</c:f>
              <c:numCache>
                <c:formatCode>0%</c:formatCode>
                <c:ptCount val="5"/>
                <c:pt idx="0">
                  <c:v>0.16413657154629285</c:v>
                </c:pt>
                <c:pt idx="1">
                  <c:v>0.11893275812649685</c:v>
                </c:pt>
                <c:pt idx="2">
                  <c:v>9.9753263731609837E-2</c:v>
                </c:pt>
                <c:pt idx="3">
                  <c:v>0.21978988733355831</c:v>
                </c:pt>
                <c:pt idx="4">
                  <c:v>0.12103835445685451</c:v>
                </c:pt>
              </c:numCache>
            </c:numRef>
          </c:val>
          <c:extLst>
            <c:ext xmlns:c16="http://schemas.microsoft.com/office/drawing/2014/chart" uri="{C3380CC4-5D6E-409C-BE32-E72D297353CC}">
              <c16:uniqueId val="{00000002-41FB-40FF-B8E4-C3C38DD22E9F}"/>
            </c:ext>
          </c:extLst>
        </c:ser>
        <c:ser>
          <c:idx val="3"/>
          <c:order val="3"/>
          <c:tx>
            <c:strRef>
              <c:f>'ALM-EDAD'!$H$495:$I$495</c:f>
              <c:strCache>
                <c:ptCount val="2"/>
                <c:pt idx="0">
                  <c:v>ECOLÓGICO</c:v>
                </c:pt>
                <c:pt idx="1">
                  <c:v>REGADÍO</c:v>
                </c:pt>
              </c:strCache>
            </c:strRef>
          </c:tx>
          <c:spPr>
            <a:solidFill>
              <a:srgbClr val="00FFCC"/>
            </a:solidFill>
            <a:ln>
              <a:solidFill>
                <a:schemeClr val="tx1">
                  <a:lumMod val="50000"/>
                  <a:lumOff val="50000"/>
                </a:schemeClr>
              </a:solidFill>
            </a:ln>
            <a:effectLst/>
          </c:spPr>
          <c:invertIfNegative val="0"/>
          <c:cat>
            <c:strRef>
              <c:f>'ALM-EDAD'!$J$491:$N$491</c:f>
              <c:strCache>
                <c:ptCount val="5"/>
                <c:pt idx="0">
                  <c:v>ANDALUCÍA</c:v>
                </c:pt>
                <c:pt idx="1">
                  <c:v>ARAGÓN </c:v>
                </c:pt>
                <c:pt idx="2">
                  <c:v>C. VALENCIANA</c:v>
                </c:pt>
                <c:pt idx="3">
                  <c:v>C.-LA MANCHA</c:v>
                </c:pt>
                <c:pt idx="4">
                  <c:v>MURCIA</c:v>
                </c:pt>
              </c:strCache>
            </c:strRef>
          </c:cat>
          <c:val>
            <c:numRef>
              <c:f>'ALM-EDAD'!$J$495:$N$495</c:f>
              <c:numCache>
                <c:formatCode>0%</c:formatCode>
                <c:ptCount val="5"/>
                <c:pt idx="0">
                  <c:v>0.16444420642996124</c:v>
                </c:pt>
                <c:pt idx="1">
                  <c:v>0.36736881788836268</c:v>
                </c:pt>
                <c:pt idx="2">
                  <c:v>8.7032961552129362E-2</c:v>
                </c:pt>
                <c:pt idx="3">
                  <c:v>0.16752751117244849</c:v>
                </c:pt>
                <c:pt idx="4">
                  <c:v>8.9861032421524351E-2</c:v>
                </c:pt>
              </c:numCache>
            </c:numRef>
          </c:val>
          <c:extLst>
            <c:ext xmlns:c16="http://schemas.microsoft.com/office/drawing/2014/chart" uri="{C3380CC4-5D6E-409C-BE32-E72D297353CC}">
              <c16:uniqueId val="{00000003-41FB-40FF-B8E4-C3C38DD22E9F}"/>
            </c:ext>
          </c:extLst>
        </c:ser>
        <c:dLbls>
          <c:showLegendKey val="0"/>
          <c:showVal val="0"/>
          <c:showCatName val="0"/>
          <c:showSerName val="0"/>
          <c:showPercent val="0"/>
          <c:showBubbleSize val="0"/>
        </c:dLbls>
        <c:gapWidth val="100"/>
        <c:overlap val="-24"/>
        <c:axId val="515883599"/>
        <c:axId val="515888175"/>
      </c:barChart>
      <c:catAx>
        <c:axId val="5158835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ES"/>
          </a:p>
        </c:txPr>
        <c:crossAx val="515888175"/>
        <c:crosses val="autoZero"/>
        <c:auto val="1"/>
        <c:lblAlgn val="ctr"/>
        <c:lblOffset val="100"/>
        <c:noMultiLvlLbl val="0"/>
      </c:catAx>
      <c:valAx>
        <c:axId val="51588817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s-ES"/>
          </a:p>
        </c:txPr>
        <c:crossAx val="51588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a:t>
            </a:r>
            <a:r>
              <a:rPr lang="es-ES" b="1" baseline="0">
                <a:solidFill>
                  <a:sysClr val="windowText" lastClr="000000"/>
                </a:solidFill>
              </a:rPr>
              <a:t> </a:t>
            </a:r>
            <a:r>
              <a:rPr lang="es-ES" b="1">
                <a:solidFill>
                  <a:sysClr val="windowText" lastClr="000000"/>
                </a:solidFill>
              </a:rPr>
              <a:t>Secano</a:t>
            </a:r>
            <a:r>
              <a:rPr lang="es-ES" b="1" baseline="0">
                <a:solidFill>
                  <a:sysClr val="windowText" lastClr="000000"/>
                </a:solidFill>
              </a:rPr>
              <a:t> 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6"/>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'PIS-EDAD'!$C$373:$X$373</c:f>
              <c:numCache>
                <c:formatCode>#,##0</c:formatCode>
                <c:ptCount val="22"/>
                <c:pt idx="0">
                  <c:v>118.16000000000003</c:v>
                </c:pt>
                <c:pt idx="1">
                  <c:v>63.04</c:v>
                </c:pt>
                <c:pt idx="2">
                  <c:v>55.430000000000007</c:v>
                </c:pt>
                <c:pt idx="3">
                  <c:v>31.03</c:v>
                </c:pt>
                <c:pt idx="4">
                  <c:v>76.48</c:v>
                </c:pt>
                <c:pt idx="5">
                  <c:v>36.429999999999993</c:v>
                </c:pt>
                <c:pt idx="6">
                  <c:v>82.32</c:v>
                </c:pt>
                <c:pt idx="7">
                  <c:v>49.31</c:v>
                </c:pt>
                <c:pt idx="8">
                  <c:v>59.21</c:v>
                </c:pt>
                <c:pt idx="9">
                  <c:v>120.81</c:v>
                </c:pt>
                <c:pt idx="10">
                  <c:v>140.30000000000001</c:v>
                </c:pt>
                <c:pt idx="11">
                  <c:v>220.43</c:v>
                </c:pt>
                <c:pt idx="12">
                  <c:v>185.78999999999996</c:v>
                </c:pt>
                <c:pt idx="13">
                  <c:v>294.12</c:v>
                </c:pt>
                <c:pt idx="14">
                  <c:v>349.71999999999997</c:v>
                </c:pt>
                <c:pt idx="15">
                  <c:v>818.76000000000022</c:v>
                </c:pt>
                <c:pt idx="16">
                  <c:v>1202.5500000000002</c:v>
                </c:pt>
                <c:pt idx="17">
                  <c:v>1390.71</c:v>
                </c:pt>
                <c:pt idx="18">
                  <c:v>1512.0000000000002</c:v>
                </c:pt>
                <c:pt idx="19">
                  <c:v>1374.9300000000003</c:v>
                </c:pt>
                <c:pt idx="20">
                  <c:v>1132.44</c:v>
                </c:pt>
                <c:pt idx="21">
                  <c:v>1039.71</c:v>
                </c:pt>
              </c:numCache>
            </c:numRef>
          </c:val>
          <c:extLst>
            <c:ext xmlns:c16="http://schemas.microsoft.com/office/drawing/2014/chart" uri="{C3380CC4-5D6E-409C-BE32-E72D297353CC}">
              <c16:uniqueId val="{00000000-FC26-4812-9B0F-B2B1F4E08D21}"/>
            </c:ext>
          </c:extLst>
        </c:ser>
        <c:dLbls>
          <c:showLegendKey val="0"/>
          <c:showVal val="0"/>
          <c:showCatName val="0"/>
          <c:showSerName val="0"/>
          <c:showPercent val="0"/>
          <c:showBubbleSize val="0"/>
        </c:dLbls>
        <c:gapWidth val="219"/>
        <c:overlap val="-27"/>
        <c:axId val="105936784"/>
        <c:axId val="105937872"/>
      </c:barChart>
      <c:catAx>
        <c:axId val="10593678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7872"/>
        <c:crosses val="autoZero"/>
        <c:auto val="1"/>
        <c:lblAlgn val="ctr"/>
        <c:lblOffset val="100"/>
        <c:noMultiLvlLbl val="0"/>
      </c:catAx>
      <c:valAx>
        <c:axId val="105937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6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Frutos</a:t>
            </a:r>
            <a:r>
              <a:rPr lang="es-ES" baseline="0"/>
              <a:t> Secos: </a:t>
            </a:r>
            <a:r>
              <a:rPr lang="es-ES" sz="1400" b="0" baseline="0"/>
              <a:t>Porcentaje de Ecológico respecto el total registrado</a:t>
            </a:r>
            <a:endParaRPr lang="es-ES" b="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S"/>
        </a:p>
      </c:txPr>
    </c:title>
    <c:autoTitleDeleted val="0"/>
    <c:plotArea>
      <c:layout/>
      <c:barChart>
        <c:barDir val="bar"/>
        <c:grouping val="clustered"/>
        <c:varyColors val="0"/>
        <c:ser>
          <c:idx val="1"/>
          <c:order val="0"/>
          <c:tx>
            <c:strRef>
              <c:f>'FRUTOS SECOS TOTAL'!$F$74</c:f>
              <c:strCache>
                <c:ptCount val="1"/>
                <c:pt idx="0">
                  <c:v>REGADÍO</c:v>
                </c:pt>
              </c:strCache>
            </c:strRef>
          </c:tx>
          <c:spPr>
            <a:solidFill>
              <a:srgbClr val="00FFCC"/>
            </a:solidFill>
            <a:ln>
              <a:solidFill>
                <a:sysClr val="windowText" lastClr="000000"/>
              </a:solidFill>
            </a:ln>
            <a:effectLst/>
          </c:spPr>
          <c:invertIfNegative val="0"/>
          <c:cat>
            <c:strRef>
              <c:f>'FRUTOS SECOS TOTAL'!$A$75:$A$78</c:f>
              <c:strCache>
                <c:ptCount val="4"/>
                <c:pt idx="0">
                  <c:v>ALMENDRO</c:v>
                </c:pt>
                <c:pt idx="1">
                  <c:v>PISTACHO</c:v>
                </c:pt>
                <c:pt idx="2">
                  <c:v>AVELLANO</c:v>
                </c:pt>
                <c:pt idx="3">
                  <c:v>ALGARROBO</c:v>
                </c:pt>
              </c:strCache>
            </c:strRef>
          </c:cat>
          <c:val>
            <c:numRef>
              <c:f>'FRUTOS SECOS TOTAL'!$F$75:$F$78</c:f>
              <c:numCache>
                <c:formatCode>0%</c:formatCode>
                <c:ptCount val="4"/>
                <c:pt idx="0">
                  <c:v>0.12379474046000721</c:v>
                </c:pt>
                <c:pt idx="1">
                  <c:v>0.21762554385121163</c:v>
                </c:pt>
                <c:pt idx="2">
                  <c:v>3.6863447727589621E-2</c:v>
                </c:pt>
                <c:pt idx="3">
                  <c:v>0.17594266528925609</c:v>
                </c:pt>
              </c:numCache>
            </c:numRef>
          </c:val>
          <c:extLst>
            <c:ext xmlns:c16="http://schemas.microsoft.com/office/drawing/2014/chart" uri="{C3380CC4-5D6E-409C-BE32-E72D297353CC}">
              <c16:uniqueId val="{00000001-38E9-4A76-B50F-00799919B412}"/>
            </c:ext>
          </c:extLst>
        </c:ser>
        <c:ser>
          <c:idx val="0"/>
          <c:order val="1"/>
          <c:tx>
            <c:strRef>
              <c:f>'FRUTOS SECOS TOTAL'!$E$74</c:f>
              <c:strCache>
                <c:ptCount val="1"/>
                <c:pt idx="0">
                  <c:v>SECANO</c:v>
                </c:pt>
              </c:strCache>
            </c:strRef>
          </c:tx>
          <c:spPr>
            <a:solidFill>
              <a:schemeClr val="accent6"/>
            </a:solidFill>
            <a:ln>
              <a:solidFill>
                <a:sysClr val="windowText" lastClr="000000"/>
              </a:solidFill>
            </a:ln>
            <a:effectLst/>
          </c:spPr>
          <c:invertIfNegative val="0"/>
          <c:cat>
            <c:strRef>
              <c:f>'FRUTOS SECOS TOTAL'!$A$75:$A$78</c:f>
              <c:strCache>
                <c:ptCount val="4"/>
                <c:pt idx="0">
                  <c:v>ALMENDRO</c:v>
                </c:pt>
                <c:pt idx="1">
                  <c:v>PISTACHO</c:v>
                </c:pt>
                <c:pt idx="2">
                  <c:v>AVELLANO</c:v>
                </c:pt>
                <c:pt idx="3">
                  <c:v>ALGARROBO</c:v>
                </c:pt>
              </c:strCache>
            </c:strRef>
          </c:cat>
          <c:val>
            <c:numRef>
              <c:f>'FRUTOS SECOS TOTAL'!$E$75:$E$78</c:f>
              <c:numCache>
                <c:formatCode>0%</c:formatCode>
                <c:ptCount val="4"/>
                <c:pt idx="0">
                  <c:v>0.21458904184266001</c:v>
                </c:pt>
                <c:pt idx="1">
                  <c:v>0.23724677723711388</c:v>
                </c:pt>
                <c:pt idx="2">
                  <c:v>3.9501669306843283E-2</c:v>
                </c:pt>
                <c:pt idx="3">
                  <c:v>9.0833682974982788E-2</c:v>
                </c:pt>
              </c:numCache>
            </c:numRef>
          </c:val>
          <c:extLst>
            <c:ext xmlns:c16="http://schemas.microsoft.com/office/drawing/2014/chart" uri="{C3380CC4-5D6E-409C-BE32-E72D297353CC}">
              <c16:uniqueId val="{00000000-38E9-4A76-B50F-00799919B412}"/>
            </c:ext>
          </c:extLst>
        </c:ser>
        <c:dLbls>
          <c:showLegendKey val="0"/>
          <c:showVal val="0"/>
          <c:showCatName val="0"/>
          <c:showSerName val="0"/>
          <c:showPercent val="0"/>
          <c:showBubbleSize val="0"/>
        </c:dLbls>
        <c:gapWidth val="100"/>
        <c:axId val="1420050463"/>
        <c:axId val="1420067519"/>
      </c:barChart>
      <c:catAx>
        <c:axId val="142005046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ES"/>
          </a:p>
        </c:txPr>
        <c:crossAx val="1420067519"/>
        <c:crosses val="autoZero"/>
        <c:auto val="1"/>
        <c:lblAlgn val="ctr"/>
        <c:lblOffset val="100"/>
        <c:noMultiLvlLbl val="0"/>
      </c:catAx>
      <c:valAx>
        <c:axId val="1420067519"/>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ES"/>
          </a:p>
        </c:txPr>
        <c:crossAx val="14200504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Secano</a:t>
            </a:r>
            <a:r>
              <a:rPr lang="en-US" b="1" baseline="0"/>
              <a:t> Ecológico:</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'PIS-EDAD'!$AK$337</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f>'PIS-EDAD'!$AI$338:$AI$347</c:f>
              <c:strCache>
                <c:ptCount val="10"/>
                <c:pt idx="0">
                  <c:v>ALBACETE</c:v>
                </c:pt>
                <c:pt idx="1">
                  <c:v>TOLEDO</c:v>
                </c:pt>
                <c:pt idx="2">
                  <c:v>CIUDAD REAL</c:v>
                </c:pt>
                <c:pt idx="3">
                  <c:v>CUENCA</c:v>
                </c:pt>
                <c:pt idx="4">
                  <c:v>GRANADA</c:v>
                </c:pt>
                <c:pt idx="5">
                  <c:v>ZAMORA</c:v>
                </c:pt>
                <c:pt idx="6">
                  <c:v>JAÉN</c:v>
                </c:pt>
                <c:pt idx="7">
                  <c:v>MURCIA</c:v>
                </c:pt>
                <c:pt idx="8">
                  <c:v>CÓRDOBA</c:v>
                </c:pt>
                <c:pt idx="9">
                  <c:v>VALLADOLID</c:v>
                </c:pt>
              </c:strCache>
            </c:strRef>
          </c:cat>
          <c:val>
            <c:numRef>
              <c:f>'PIS-EDAD'!$AK$338:$AK$347</c:f>
              <c:numCache>
                <c:formatCode>#,##0</c:formatCode>
                <c:ptCount val="10"/>
                <c:pt idx="0">
                  <c:v>2268.6799999999998</c:v>
                </c:pt>
                <c:pt idx="1">
                  <c:v>2097.6699999999996</c:v>
                </c:pt>
                <c:pt idx="2">
                  <c:v>2392.9699999999998</c:v>
                </c:pt>
                <c:pt idx="3">
                  <c:v>1393.46</c:v>
                </c:pt>
                <c:pt idx="4">
                  <c:v>519.61999999999989</c:v>
                </c:pt>
                <c:pt idx="5">
                  <c:v>281.32</c:v>
                </c:pt>
                <c:pt idx="6">
                  <c:v>188.12</c:v>
                </c:pt>
                <c:pt idx="7">
                  <c:v>302.47999999999996</c:v>
                </c:pt>
                <c:pt idx="8">
                  <c:v>99.360000000000014</c:v>
                </c:pt>
                <c:pt idx="9">
                  <c:v>104.03999999999999</c:v>
                </c:pt>
              </c:numCache>
            </c:numRef>
          </c:val>
          <c:extLst>
            <c:ext xmlns:c16="http://schemas.microsoft.com/office/drawing/2014/chart" uri="{C3380CC4-5D6E-409C-BE32-E72D297353CC}">
              <c16:uniqueId val="{00000000-0D7E-4FF1-942D-2A58FD5E8CD4}"/>
            </c:ext>
          </c:extLst>
        </c:ser>
        <c:ser>
          <c:idx val="0"/>
          <c:order val="1"/>
          <c:tx>
            <c:strRef>
              <c:f>'PIS-EDAD'!$AJ$337</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69060B96-C632-427A-9140-7453ABAF2F5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D7E-4FF1-942D-2A58FD5E8CD4}"/>
                </c:ext>
              </c:extLst>
            </c:dLbl>
            <c:dLbl>
              <c:idx val="1"/>
              <c:tx>
                <c:rich>
                  <a:bodyPr/>
                  <a:lstStyle/>
                  <a:p>
                    <a:fld id="{1981DCFF-678D-4574-8104-13EC69C6880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D7E-4FF1-942D-2A58FD5E8CD4}"/>
                </c:ext>
              </c:extLst>
            </c:dLbl>
            <c:dLbl>
              <c:idx val="2"/>
              <c:tx>
                <c:rich>
                  <a:bodyPr/>
                  <a:lstStyle/>
                  <a:p>
                    <a:fld id="{BD23AB35-821B-4B72-8B40-0B03E98912C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D7E-4FF1-942D-2A58FD5E8CD4}"/>
                </c:ext>
              </c:extLst>
            </c:dLbl>
            <c:dLbl>
              <c:idx val="3"/>
              <c:tx>
                <c:rich>
                  <a:bodyPr/>
                  <a:lstStyle/>
                  <a:p>
                    <a:fld id="{91744F2D-AFE3-4DFD-8681-C7F6909779A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7E-4FF1-942D-2A58FD5E8CD4}"/>
                </c:ext>
              </c:extLst>
            </c:dLbl>
            <c:dLbl>
              <c:idx val="4"/>
              <c:tx>
                <c:rich>
                  <a:bodyPr/>
                  <a:lstStyle/>
                  <a:p>
                    <a:fld id="{F2C22D0E-AA36-4AE0-A5C5-42A31EDFCF1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D7E-4FF1-942D-2A58FD5E8CD4}"/>
                </c:ext>
              </c:extLst>
            </c:dLbl>
            <c:dLbl>
              <c:idx val="5"/>
              <c:tx>
                <c:rich>
                  <a:bodyPr/>
                  <a:lstStyle/>
                  <a:p>
                    <a:fld id="{C5803DDD-5A4E-49A8-9681-2FFC9F003DCF}"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D7E-4FF1-942D-2A58FD5E8CD4}"/>
                </c:ext>
              </c:extLst>
            </c:dLbl>
            <c:dLbl>
              <c:idx val="6"/>
              <c:tx>
                <c:rich>
                  <a:bodyPr/>
                  <a:lstStyle/>
                  <a:p>
                    <a:fld id="{E89FF824-FD95-4F9A-A1FF-F45D21725FD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D7E-4FF1-942D-2A58FD5E8CD4}"/>
                </c:ext>
              </c:extLst>
            </c:dLbl>
            <c:dLbl>
              <c:idx val="7"/>
              <c:tx>
                <c:rich>
                  <a:bodyPr/>
                  <a:lstStyle/>
                  <a:p>
                    <a:fld id="{F4554A7C-6C67-4555-9D50-60DB157F09F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D7E-4FF1-942D-2A58FD5E8CD4}"/>
                </c:ext>
              </c:extLst>
            </c:dLbl>
            <c:dLbl>
              <c:idx val="8"/>
              <c:tx>
                <c:rich>
                  <a:bodyPr/>
                  <a:lstStyle/>
                  <a:p>
                    <a:fld id="{441A3FE1-AE60-47EB-BF61-93A62CF99E53}"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D7E-4FF1-942D-2A58FD5E8CD4}"/>
                </c:ext>
              </c:extLst>
            </c:dLbl>
            <c:dLbl>
              <c:idx val="9"/>
              <c:tx>
                <c:rich>
                  <a:bodyPr/>
                  <a:lstStyle/>
                  <a:p>
                    <a:fld id="{03A45127-A458-4C08-8781-1B481877742D}"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D7E-4FF1-942D-2A58FD5E8C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'PIS-EDAD'!$AI$338:$AI$347</c:f>
              <c:strCache>
                <c:ptCount val="10"/>
                <c:pt idx="0">
                  <c:v>ALBACETE</c:v>
                </c:pt>
                <c:pt idx="1">
                  <c:v>TOLEDO</c:v>
                </c:pt>
                <c:pt idx="2">
                  <c:v>CIUDAD REAL</c:v>
                </c:pt>
                <c:pt idx="3">
                  <c:v>CUENCA</c:v>
                </c:pt>
                <c:pt idx="4">
                  <c:v>GRANADA</c:v>
                </c:pt>
                <c:pt idx="5">
                  <c:v>ZAMORA</c:v>
                </c:pt>
                <c:pt idx="6">
                  <c:v>JAÉN</c:v>
                </c:pt>
                <c:pt idx="7">
                  <c:v>MURCIA</c:v>
                </c:pt>
                <c:pt idx="8">
                  <c:v>CÓRDOBA</c:v>
                </c:pt>
                <c:pt idx="9">
                  <c:v>VALLADOLID</c:v>
                </c:pt>
              </c:strCache>
            </c:strRef>
          </c:cat>
          <c:val>
            <c:numRef>
              <c:f>'PIS-EDAD'!$AJ$338:$AJ$347</c:f>
              <c:numCache>
                <c:formatCode>#,##0</c:formatCode>
                <c:ptCount val="10"/>
                <c:pt idx="0">
                  <c:v>1212.44</c:v>
                </c:pt>
                <c:pt idx="1">
                  <c:v>1018.7700000000002</c:v>
                </c:pt>
                <c:pt idx="2">
                  <c:v>929.24</c:v>
                </c:pt>
                <c:pt idx="3">
                  <c:v>750.87000000000012</c:v>
                </c:pt>
                <c:pt idx="4">
                  <c:v>434.45</c:v>
                </c:pt>
                <c:pt idx="5">
                  <c:v>172.63</c:v>
                </c:pt>
                <c:pt idx="6">
                  <c:v>105.25999999999999</c:v>
                </c:pt>
                <c:pt idx="7">
                  <c:v>70.09</c:v>
                </c:pt>
                <c:pt idx="8">
                  <c:v>53.97</c:v>
                </c:pt>
                <c:pt idx="9">
                  <c:v>42.94</c:v>
                </c:pt>
              </c:numCache>
            </c:numRef>
          </c:val>
          <c:extLst>
            <c:ext xmlns:c15="http://schemas.microsoft.com/office/drawing/2012/chart" uri="{02D57815-91ED-43cb-92C2-25804820EDAC}">
              <c15:datalabelsRange>
                <c15:f>'PIS-EDAD'!$AL$338:$AL$347</c15:f>
                <c15:dlblRangeCache>
                  <c:ptCount val="10"/>
                  <c:pt idx="0">
                    <c:v>53%</c:v>
                  </c:pt>
                  <c:pt idx="1">
                    <c:v>49%</c:v>
                  </c:pt>
                  <c:pt idx="2">
                    <c:v>39%</c:v>
                  </c:pt>
                  <c:pt idx="3">
                    <c:v>54%</c:v>
                  </c:pt>
                  <c:pt idx="4">
                    <c:v>84%</c:v>
                  </c:pt>
                  <c:pt idx="5">
                    <c:v>61%</c:v>
                  </c:pt>
                  <c:pt idx="6">
                    <c:v>56%</c:v>
                  </c:pt>
                  <c:pt idx="7">
                    <c:v>23%</c:v>
                  </c:pt>
                  <c:pt idx="8">
                    <c:v>54%</c:v>
                  </c:pt>
                  <c:pt idx="9">
                    <c:v>41%</c:v>
                  </c:pt>
                </c15:dlblRangeCache>
              </c15:datalabelsRange>
            </c:ext>
            <c:ext xmlns:c16="http://schemas.microsoft.com/office/drawing/2014/chart" uri="{C3380CC4-5D6E-409C-BE32-E72D297353CC}">
              <c16:uniqueId val="{0000000B-0D7E-4FF1-942D-2A58FD5E8CD4}"/>
            </c:ext>
          </c:extLst>
        </c:ser>
        <c:dLbls>
          <c:showLegendKey val="0"/>
          <c:showVal val="0"/>
          <c:showCatName val="0"/>
          <c:showSerName val="0"/>
          <c:showPercent val="0"/>
          <c:showBubbleSize val="0"/>
        </c:dLbls>
        <c:gapWidth val="150"/>
        <c:overlap val="-40"/>
        <c:axId val="105928080"/>
        <c:axId val="105923728"/>
      </c:barChart>
      <c:catAx>
        <c:axId val="10592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5923728"/>
        <c:crosses val="autoZero"/>
        <c:auto val="1"/>
        <c:lblAlgn val="ctr"/>
        <c:lblOffset val="100"/>
        <c:noMultiLvlLbl val="0"/>
      </c:catAx>
      <c:valAx>
        <c:axId val="105923728"/>
        <c:scaling>
          <c:orientation val="minMax"/>
          <c:max val="25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592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Secano</a:t>
            </a:r>
            <a:r>
              <a:rPr lang="es-ES" b="1" baseline="0">
                <a:solidFill>
                  <a:sysClr val="windowText" lastClr="000000"/>
                </a:solidFill>
              </a:rPr>
              <a:t> 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'PIS-EDAD'!$AO$335</c:f>
              <c:strCache>
                <c:ptCount val="1"/>
                <c:pt idx="0">
                  <c:v>Plantaciones jóvenes</c:v>
                </c:pt>
              </c:strCache>
            </c:strRef>
          </c:tx>
          <c:spPr>
            <a:solidFill>
              <a:schemeClr val="accent6">
                <a:shade val="76000"/>
              </a:schemeClr>
            </a:solidFill>
            <a:ln>
              <a:solidFill>
                <a:schemeClr val="accent6">
                  <a:lumMod val="50000"/>
                </a:schemeClr>
              </a:solidFill>
            </a:ln>
            <a:effectLst/>
          </c:spPr>
          <c:invertIfNegative val="0"/>
          <c:dLbls>
            <c:dLbl>
              <c:idx val="0"/>
              <c:tx>
                <c:rich>
                  <a:bodyPr/>
                  <a:lstStyle/>
                  <a:p>
                    <a:fld id="{03BDF3E9-AB75-4BC8-8340-7740E7948D3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A5F-43A6-A828-F99D3FA94AB9}"/>
                </c:ext>
              </c:extLst>
            </c:dLbl>
            <c:dLbl>
              <c:idx val="1"/>
              <c:tx>
                <c:rich>
                  <a:bodyPr/>
                  <a:lstStyle/>
                  <a:p>
                    <a:fld id="{8CCF72E9-BF79-4541-A680-0203C5CB9FD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5F-43A6-A828-F99D3FA94AB9}"/>
                </c:ext>
              </c:extLst>
            </c:dLbl>
            <c:dLbl>
              <c:idx val="2"/>
              <c:tx>
                <c:rich>
                  <a:bodyPr/>
                  <a:lstStyle/>
                  <a:p>
                    <a:fld id="{779DE940-D024-49EB-902A-03DC660CED9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F-43A6-A828-F99D3FA94AB9}"/>
                </c:ext>
              </c:extLst>
            </c:dLbl>
            <c:dLbl>
              <c:idx val="3"/>
              <c:tx>
                <c:rich>
                  <a:bodyPr/>
                  <a:lstStyle/>
                  <a:p>
                    <a:fld id="{6494A78D-BCAB-4B4A-A14C-16F5822604A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5F-43A6-A828-F99D3FA94AB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extLst>
                <c:ext xmlns:c15="http://schemas.microsoft.com/office/drawing/2012/chart" uri="{02D57815-91ED-43cb-92C2-25804820EDAC}">
                  <c15:fullRef>
                    <c15:sqref>'PIS-EDAD'!$AN$336:$AN$342</c15:sqref>
                  </c15:fullRef>
                </c:ext>
              </c:extLst>
              <c:f>'PIS-EDAD'!$AN$336:$AN$339</c:f>
              <c:strCache>
                <c:ptCount val="4"/>
                <c:pt idx="0">
                  <c:v>C.-LA MANCHA</c:v>
                </c:pt>
                <c:pt idx="1">
                  <c:v>ANDALUCÍA</c:v>
                </c:pt>
                <c:pt idx="2">
                  <c:v>C. y LEÓN</c:v>
                </c:pt>
                <c:pt idx="3">
                  <c:v>MURCIA</c:v>
                </c:pt>
              </c:strCache>
            </c:strRef>
          </c:cat>
          <c:val>
            <c:numRef>
              <c:extLst>
                <c:ext xmlns:c15="http://schemas.microsoft.com/office/drawing/2012/chart" uri="{02D57815-91ED-43cb-92C2-25804820EDAC}">
                  <c15:fullRef>
                    <c15:sqref>'PIS-EDAD'!$AO$336:$AO$342</c15:sqref>
                  </c15:fullRef>
                </c:ext>
              </c:extLst>
              <c:f>'PIS-EDAD'!$AO$336:$AO$339</c:f>
              <c:numCache>
                <c:formatCode>#,##0</c:formatCode>
                <c:ptCount val="4"/>
                <c:pt idx="0">
                  <c:v>3926.0600000000004</c:v>
                </c:pt>
                <c:pt idx="1">
                  <c:v>667.80000000000007</c:v>
                </c:pt>
                <c:pt idx="2">
                  <c:v>244.29</c:v>
                </c:pt>
                <c:pt idx="3">
                  <c:v>70.09</c:v>
                </c:pt>
              </c:numCache>
            </c:numRef>
          </c:val>
          <c:extLst>
            <c:ext xmlns:c15="http://schemas.microsoft.com/office/drawing/2012/chart" uri="{02D57815-91ED-43cb-92C2-25804820EDAC}">
              <c15:datalabelsRange>
                <c15:f>'PIS-EDAD'!$AQ$336:$AQ$342</c15:f>
                <c15:dlblRangeCache>
                  <c:ptCount val="7"/>
                  <c:pt idx="0">
                    <c:v>48%</c:v>
                  </c:pt>
                  <c:pt idx="1">
                    <c:v>61%</c:v>
                  </c:pt>
                  <c:pt idx="2">
                    <c:v>56%</c:v>
                  </c:pt>
                  <c:pt idx="3">
                    <c:v>23%</c:v>
                  </c:pt>
                  <c:pt idx="4">
                    <c:v>70%</c:v>
                  </c:pt>
                  <c:pt idx="5">
                    <c:v>59%</c:v>
                  </c:pt>
                  <c:pt idx="6">
                    <c:v>21%</c:v>
                  </c:pt>
                </c15:dlblRangeCache>
              </c15:datalabelsRange>
            </c:ext>
            <c:ext xmlns:c16="http://schemas.microsoft.com/office/drawing/2014/chart" uri="{C3380CC4-5D6E-409C-BE32-E72D297353CC}">
              <c16:uniqueId val="{00000004-6A5F-43A6-A828-F99D3FA94AB9}"/>
            </c:ext>
          </c:extLst>
        </c:ser>
        <c:ser>
          <c:idx val="1"/>
          <c:order val="1"/>
          <c:tx>
            <c:strRef>
              <c:f>'PIS-EDAD'!$AP$335</c:f>
              <c:strCache>
                <c:ptCount val="1"/>
                <c:pt idx="0">
                  <c:v>Total</c:v>
                </c:pt>
              </c:strCache>
            </c:strRef>
          </c:tx>
          <c:spPr>
            <a:solidFill>
              <a:schemeClr val="accent6">
                <a:tint val="77000"/>
              </a:schemeClr>
            </a:solidFill>
            <a:ln>
              <a:solidFill>
                <a:schemeClr val="accent6">
                  <a:lumMod val="75000"/>
                </a:schemeClr>
              </a:solidFill>
            </a:ln>
            <a:effectLst/>
          </c:spPr>
          <c:invertIfNegative val="0"/>
          <c:cat>
            <c:strRef>
              <c:extLst>
                <c:ext xmlns:c15="http://schemas.microsoft.com/office/drawing/2012/chart" uri="{02D57815-91ED-43cb-92C2-25804820EDAC}">
                  <c15:fullRef>
                    <c15:sqref>'PIS-EDAD'!$AN$336:$AN$342</c15:sqref>
                  </c15:fullRef>
                </c:ext>
              </c:extLst>
              <c:f>'PIS-EDAD'!$AN$336:$AN$339</c:f>
              <c:strCache>
                <c:ptCount val="4"/>
                <c:pt idx="0">
                  <c:v>C.-LA MANCHA</c:v>
                </c:pt>
                <c:pt idx="1">
                  <c:v>ANDALUCÍA</c:v>
                </c:pt>
                <c:pt idx="2">
                  <c:v>C. y LEÓN</c:v>
                </c:pt>
                <c:pt idx="3">
                  <c:v>MURCIA</c:v>
                </c:pt>
              </c:strCache>
            </c:strRef>
          </c:cat>
          <c:val>
            <c:numRef>
              <c:extLst>
                <c:ext xmlns:c15="http://schemas.microsoft.com/office/drawing/2012/chart" uri="{02D57815-91ED-43cb-92C2-25804820EDAC}">
                  <c15:fullRef>
                    <c15:sqref>'PIS-EDAD'!$AP$336:$AP$342</c15:sqref>
                  </c15:fullRef>
                </c:ext>
              </c:extLst>
              <c:f>'PIS-EDAD'!$AP$336:$AP$339</c:f>
              <c:numCache>
                <c:formatCode>#,##0</c:formatCode>
                <c:ptCount val="4"/>
                <c:pt idx="0">
                  <c:v>8200.0600000000013</c:v>
                </c:pt>
                <c:pt idx="1">
                  <c:v>1091.8200000000002</c:v>
                </c:pt>
                <c:pt idx="2">
                  <c:v>434.2</c:v>
                </c:pt>
                <c:pt idx="3">
                  <c:v>302.47999999999996</c:v>
                </c:pt>
              </c:numCache>
            </c:numRef>
          </c:val>
          <c:extLst>
            <c:ext xmlns:c16="http://schemas.microsoft.com/office/drawing/2014/chart" uri="{C3380CC4-5D6E-409C-BE32-E72D297353CC}">
              <c16:uniqueId val="{00000005-6A5F-43A6-A828-F99D3FA94AB9}"/>
            </c:ext>
          </c:extLst>
        </c:ser>
        <c:dLbls>
          <c:showLegendKey val="0"/>
          <c:showVal val="0"/>
          <c:showCatName val="0"/>
          <c:showSerName val="0"/>
          <c:showPercent val="0"/>
          <c:showBubbleSize val="0"/>
        </c:dLbls>
        <c:gapWidth val="100"/>
        <c:axId val="105928624"/>
        <c:axId val="105936240"/>
      </c:barChart>
      <c:catAx>
        <c:axId val="10592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6240"/>
        <c:crosses val="autoZero"/>
        <c:auto val="1"/>
        <c:lblAlgn val="ctr"/>
        <c:lblOffset val="100"/>
        <c:noMultiLvlLbl val="0"/>
      </c:catAx>
      <c:valAx>
        <c:axId val="105936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8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Pistacho Secano</a:t>
            </a:r>
            <a:r>
              <a:rPr lang="es-ES" baseline="0"/>
              <a:t> 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6"/>
            <c:invertIfNegative val="0"/>
            <c:bubble3D val="0"/>
            <c:extLst>
              <c:ext xmlns:c16="http://schemas.microsoft.com/office/drawing/2014/chart" uri="{C3380CC4-5D6E-409C-BE32-E72D297353CC}">
                <c16:uniqueId val="{00000001-01A2-4114-9146-92AA5B2A5780}"/>
              </c:ext>
            </c:extLst>
          </c:dPt>
          <c:dPt>
            <c:idx val="7"/>
            <c:invertIfNegative val="0"/>
            <c:bubble3D val="0"/>
            <c:spPr>
              <a:solidFill>
                <a:srgbClr val="C0504D"/>
              </a:solidFill>
              <a:ln>
                <a:noFill/>
              </a:ln>
              <a:effectLst/>
            </c:spPr>
            <c:extLst>
              <c:ext xmlns:c16="http://schemas.microsoft.com/office/drawing/2014/chart" uri="{C3380CC4-5D6E-409C-BE32-E72D297353CC}">
                <c16:uniqueId val="{00000003-01A2-4114-9146-92AA5B2A578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'PIS-EDAD'!$A$377:$A$389</c15:sqref>
                  </c15:fullRef>
                </c:ext>
              </c:extLst>
              <c:f>('PIS-EDAD'!$A$377:$A$379,'PIS-EDAD'!$A$381,'PIS-EDAD'!$A$384,'PIS-EDAD'!$A$386:$A$387,'PIS-EDAD'!$A$389)</c:f>
              <c:strCache>
                <c:ptCount val="8"/>
                <c:pt idx="0">
                  <c:v>ANDALUCÍA</c:v>
                </c:pt>
                <c:pt idx="1">
                  <c:v>ARAGÓN</c:v>
                </c:pt>
                <c:pt idx="2">
                  <c:v>C. VALENCIANA</c:v>
                </c:pt>
                <c:pt idx="3">
                  <c:v>C.-LA MANCHA</c:v>
                </c:pt>
                <c:pt idx="4">
                  <c:v>EXTREMADURA</c:v>
                </c:pt>
                <c:pt idx="5">
                  <c:v>MADRID</c:v>
                </c:pt>
                <c:pt idx="6">
                  <c:v>MURCIA</c:v>
                </c:pt>
                <c:pt idx="7">
                  <c:v>ESPAÑA</c:v>
                </c:pt>
              </c:strCache>
            </c:strRef>
          </c:cat>
          <c:val>
            <c:numRef>
              <c:extLst>
                <c:ext xmlns:c15="http://schemas.microsoft.com/office/drawing/2012/chart" uri="{02D57815-91ED-43cb-92C2-25804820EDAC}">
                  <c15:fullRef>
                    <c15:sqref>'PIS-EDAD'!$Y$377:$Y$389</c15:sqref>
                  </c15:fullRef>
                </c:ext>
              </c:extLst>
              <c:f>('PIS-EDAD'!$Y$377:$Y$379,'PIS-EDAD'!$Y$381,'PIS-EDAD'!$Y$384,'PIS-EDAD'!$Y$386:$Y$387,'PIS-EDAD'!$Y$389)</c:f>
              <c:numCache>
                <c:formatCode>0.00%</c:formatCode>
                <c:ptCount val="8"/>
                <c:pt idx="0">
                  <c:v>1.5570332106024806E-4</c:v>
                </c:pt>
                <c:pt idx="1">
                  <c:v>8.878366380585972E-4</c:v>
                </c:pt>
                <c:pt idx="2">
                  <c:v>1.0548523206751056E-3</c:v>
                </c:pt>
                <c:pt idx="3">
                  <c:v>3.1585134742916516E-4</c:v>
                </c:pt>
                <c:pt idx="4">
                  <c:v>1.9203072491598655E-4</c:v>
                </c:pt>
                <c:pt idx="5">
                  <c:v>3.9300451955197487E-4</c:v>
                </c:pt>
                <c:pt idx="6">
                  <c:v>6.6120074054482961E-5</c:v>
                </c:pt>
                <c:pt idx="7">
                  <c:v>2.8533320311415345E-4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5938416"/>
        <c:axId val="105940048"/>
      </c:barChart>
      <c:catAx>
        <c:axId val="105938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40048"/>
        <c:crosses val="autoZero"/>
        <c:auto val="1"/>
        <c:lblAlgn val="ctr"/>
        <c:lblOffset val="100"/>
        <c:noMultiLvlLbl val="0"/>
      </c:catAx>
      <c:valAx>
        <c:axId val="10594004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a:t>
            </a:r>
            <a:r>
              <a:rPr lang="es-ES" b="1" baseline="0">
                <a:solidFill>
                  <a:sysClr val="windowText" lastClr="000000"/>
                </a:solidFill>
              </a:rPr>
              <a:t> </a:t>
            </a:r>
            <a:r>
              <a:rPr lang="es-ES" b="1">
                <a:solidFill>
                  <a:sysClr val="windowText" lastClr="000000"/>
                </a:solidFill>
              </a:rPr>
              <a:t>Regadío </a:t>
            </a:r>
            <a:r>
              <a:rPr lang="es-ES" b="1" baseline="0">
                <a:solidFill>
                  <a:sysClr val="windowText" lastClr="000000"/>
                </a:solidFill>
              </a:rPr>
              <a:t>Ecológico</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rgbClr val="00FFCC"/>
            </a:solidFill>
            <a:ln>
              <a:solidFill>
                <a:schemeClr val="tx1"/>
              </a:solidFill>
            </a:ln>
            <a:effectLst/>
          </c:spPr>
          <c:invertIfNegative val="0"/>
          <c:cat>
            <c:numRef>
              <c:f>'PIS-EDAD'!$C$394:$X$394</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'PIS-EDAD'!$C$446:$X$446</c:f>
              <c:numCache>
                <c:formatCode>#,##0</c:formatCode>
                <c:ptCount val="22"/>
                <c:pt idx="0">
                  <c:v>66.41</c:v>
                </c:pt>
                <c:pt idx="1">
                  <c:v>0</c:v>
                </c:pt>
                <c:pt idx="2">
                  <c:v>9.58</c:v>
                </c:pt>
                <c:pt idx="3">
                  <c:v>23.14</c:v>
                </c:pt>
                <c:pt idx="4">
                  <c:v>56.329999999999991</c:v>
                </c:pt>
                <c:pt idx="5">
                  <c:v>34.119999999999997</c:v>
                </c:pt>
                <c:pt idx="6">
                  <c:v>35.440000000000005</c:v>
                </c:pt>
                <c:pt idx="7">
                  <c:v>6.8000000000000007</c:v>
                </c:pt>
                <c:pt idx="8">
                  <c:v>15.86</c:v>
                </c:pt>
                <c:pt idx="9">
                  <c:v>83.26</c:v>
                </c:pt>
                <c:pt idx="10">
                  <c:v>100.85999999999999</c:v>
                </c:pt>
                <c:pt idx="11">
                  <c:v>42.1</c:v>
                </c:pt>
                <c:pt idx="12">
                  <c:v>82.44</c:v>
                </c:pt>
                <c:pt idx="13">
                  <c:v>95.21</c:v>
                </c:pt>
                <c:pt idx="14">
                  <c:v>223.6</c:v>
                </c:pt>
                <c:pt idx="15">
                  <c:v>460.03</c:v>
                </c:pt>
                <c:pt idx="16">
                  <c:v>267.07000000000005</c:v>
                </c:pt>
                <c:pt idx="17">
                  <c:v>315.77</c:v>
                </c:pt>
                <c:pt idx="18">
                  <c:v>437.73999999999995</c:v>
                </c:pt>
                <c:pt idx="19">
                  <c:v>417.73</c:v>
                </c:pt>
                <c:pt idx="20">
                  <c:v>294.28999999999991</c:v>
                </c:pt>
                <c:pt idx="21">
                  <c:v>308.73</c:v>
                </c:pt>
              </c:numCache>
            </c:numRef>
          </c:val>
          <c:extLst>
            <c:ext xmlns:c16="http://schemas.microsoft.com/office/drawing/2014/chart" uri="{C3380CC4-5D6E-409C-BE32-E72D297353CC}">
              <c16:uniqueId val="{00000000-ECCD-408A-9977-ECFCBAF60C95}"/>
            </c:ext>
          </c:extLst>
        </c:ser>
        <c:dLbls>
          <c:showLegendKey val="0"/>
          <c:showVal val="0"/>
          <c:showCatName val="0"/>
          <c:showSerName val="0"/>
          <c:showPercent val="0"/>
          <c:showBubbleSize val="0"/>
        </c:dLbls>
        <c:gapWidth val="219"/>
        <c:overlap val="-27"/>
        <c:axId val="105931344"/>
        <c:axId val="105916656"/>
      </c:barChart>
      <c:catAx>
        <c:axId val="1059313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6656"/>
        <c:crosses val="autoZero"/>
        <c:auto val="1"/>
        <c:lblAlgn val="ctr"/>
        <c:lblOffset val="100"/>
        <c:noMultiLvlLbl val="0"/>
      </c:catAx>
      <c:valAx>
        <c:axId val="10591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1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Regadío </a:t>
            </a:r>
            <a:r>
              <a:rPr lang="en-US" b="1" baseline="0"/>
              <a:t>Ecológico:</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'PIS-EDAD'!$AK$414</c:f>
              <c:strCache>
                <c:ptCount val="1"/>
                <c:pt idx="0">
                  <c:v>Total</c:v>
                </c:pt>
              </c:strCache>
            </c:strRef>
          </c:tx>
          <c:spPr>
            <a:solidFill>
              <a:srgbClr val="00FFCC"/>
            </a:solidFill>
            <a:ln>
              <a:solidFill>
                <a:schemeClr val="accent6">
                  <a:lumMod val="75000"/>
                </a:schemeClr>
              </a:solidFill>
            </a:ln>
            <a:effectLst/>
          </c:spPr>
          <c:invertIfNegative val="0"/>
          <c:cat>
            <c:strRef>
              <c:f>'PIS-EDAD'!$AI$415:$AI$424</c:f>
              <c:strCache>
                <c:ptCount val="10"/>
                <c:pt idx="0">
                  <c:v>TOLEDO</c:v>
                </c:pt>
                <c:pt idx="1">
                  <c:v>ALBACETE</c:v>
                </c:pt>
                <c:pt idx="2">
                  <c:v>CIUDAD REAL</c:v>
                </c:pt>
                <c:pt idx="3">
                  <c:v>CUENCA</c:v>
                </c:pt>
                <c:pt idx="4">
                  <c:v>GRANADA</c:v>
                </c:pt>
                <c:pt idx="5">
                  <c:v>ZAMORA</c:v>
                </c:pt>
                <c:pt idx="6">
                  <c:v>MADRID</c:v>
                </c:pt>
                <c:pt idx="7">
                  <c:v>VALLADOLID</c:v>
                </c:pt>
                <c:pt idx="8">
                  <c:v>SEVILLA</c:v>
                </c:pt>
                <c:pt idx="9">
                  <c:v>ZARAGOZA</c:v>
                </c:pt>
              </c:strCache>
            </c:strRef>
          </c:cat>
          <c:val>
            <c:numRef>
              <c:f>'PIS-EDAD'!$AK$415:$AK$424</c:f>
              <c:numCache>
                <c:formatCode>#,##0</c:formatCode>
                <c:ptCount val="10"/>
                <c:pt idx="0">
                  <c:v>803.42</c:v>
                </c:pt>
                <c:pt idx="1">
                  <c:v>542.14999999999986</c:v>
                </c:pt>
                <c:pt idx="2">
                  <c:v>845.67</c:v>
                </c:pt>
                <c:pt idx="3">
                  <c:v>264.89999999999998</c:v>
                </c:pt>
                <c:pt idx="4">
                  <c:v>154.05000000000001</c:v>
                </c:pt>
                <c:pt idx="5">
                  <c:v>100.12</c:v>
                </c:pt>
                <c:pt idx="6">
                  <c:v>22.82</c:v>
                </c:pt>
                <c:pt idx="7">
                  <c:v>105.40999999999998</c:v>
                </c:pt>
                <c:pt idx="8">
                  <c:v>39.090000000000003</c:v>
                </c:pt>
                <c:pt idx="9">
                  <c:v>34.46</c:v>
                </c:pt>
              </c:numCache>
            </c:numRef>
          </c:val>
          <c:extLst>
            <c:ext xmlns:c16="http://schemas.microsoft.com/office/drawing/2014/chart" uri="{C3380CC4-5D6E-409C-BE32-E72D297353CC}">
              <c16:uniqueId val="{00000000-8ADF-4E7B-AA83-BAF139816BF2}"/>
            </c:ext>
          </c:extLst>
        </c:ser>
        <c:ser>
          <c:idx val="0"/>
          <c:order val="1"/>
          <c:tx>
            <c:strRef>
              <c:f>'PIS-EDAD'!$AJ$414</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ECA25466-4DC2-41B9-B4FA-EC33022EC0F3}"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DF-4E7B-AA83-BAF139816BF2}"/>
                </c:ext>
              </c:extLst>
            </c:dLbl>
            <c:dLbl>
              <c:idx val="1"/>
              <c:tx>
                <c:rich>
                  <a:bodyPr/>
                  <a:lstStyle/>
                  <a:p>
                    <a:fld id="{C87AA8EB-690F-4CD7-A341-B47C4C54814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ADF-4E7B-AA83-BAF139816BF2}"/>
                </c:ext>
              </c:extLst>
            </c:dLbl>
            <c:dLbl>
              <c:idx val="2"/>
              <c:tx>
                <c:rich>
                  <a:bodyPr/>
                  <a:lstStyle/>
                  <a:p>
                    <a:fld id="{C36314DD-CB3A-455E-97E0-CA53F2EFC73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ADF-4E7B-AA83-BAF139816BF2}"/>
                </c:ext>
              </c:extLst>
            </c:dLbl>
            <c:dLbl>
              <c:idx val="3"/>
              <c:tx>
                <c:rich>
                  <a:bodyPr/>
                  <a:lstStyle/>
                  <a:p>
                    <a:fld id="{67D8E130-3D46-4973-8EB2-3EA9084ACAC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ADF-4E7B-AA83-BAF139816BF2}"/>
                </c:ext>
              </c:extLst>
            </c:dLbl>
            <c:dLbl>
              <c:idx val="4"/>
              <c:tx>
                <c:rich>
                  <a:bodyPr/>
                  <a:lstStyle/>
                  <a:p>
                    <a:fld id="{27BB0BC6-FBB7-4726-8F70-DF81134D3B2C}"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ADF-4E7B-AA83-BAF139816BF2}"/>
                </c:ext>
              </c:extLst>
            </c:dLbl>
            <c:dLbl>
              <c:idx val="5"/>
              <c:tx>
                <c:rich>
                  <a:bodyPr/>
                  <a:lstStyle/>
                  <a:p>
                    <a:fld id="{C780B3F5-7D95-4C29-9297-09671B72A0E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ADF-4E7B-AA83-BAF139816BF2}"/>
                </c:ext>
              </c:extLst>
            </c:dLbl>
            <c:dLbl>
              <c:idx val="6"/>
              <c:tx>
                <c:rich>
                  <a:bodyPr/>
                  <a:lstStyle/>
                  <a:p>
                    <a:fld id="{DCAB9885-209F-489B-BBFE-04F59087372B}"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ADF-4E7B-AA83-BAF139816BF2}"/>
                </c:ext>
              </c:extLst>
            </c:dLbl>
            <c:dLbl>
              <c:idx val="7"/>
              <c:tx>
                <c:rich>
                  <a:bodyPr/>
                  <a:lstStyle/>
                  <a:p>
                    <a:fld id="{87CB52F5-75FE-46EF-A97A-44D8D32CFA5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ADF-4E7B-AA83-BAF139816BF2}"/>
                </c:ext>
              </c:extLst>
            </c:dLbl>
            <c:dLbl>
              <c:idx val="8"/>
              <c:tx>
                <c:rich>
                  <a:bodyPr/>
                  <a:lstStyle/>
                  <a:p>
                    <a:fld id="{4813FC37-425C-492B-A543-B6CB758DABF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ADF-4E7B-AA83-BAF139816BF2}"/>
                </c:ext>
              </c:extLst>
            </c:dLbl>
            <c:dLbl>
              <c:idx val="9"/>
              <c:tx>
                <c:rich>
                  <a:bodyPr/>
                  <a:lstStyle/>
                  <a:p>
                    <a:fld id="{D5F9B1B9-A608-4016-9A21-A6E0B83F0710}"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ADF-4E7B-AA83-BAF139816B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'PIS-EDAD'!$AI$415:$AI$424</c:f>
              <c:strCache>
                <c:ptCount val="10"/>
                <c:pt idx="0">
                  <c:v>TOLEDO</c:v>
                </c:pt>
                <c:pt idx="1">
                  <c:v>ALBACETE</c:v>
                </c:pt>
                <c:pt idx="2">
                  <c:v>CIUDAD REAL</c:v>
                </c:pt>
                <c:pt idx="3">
                  <c:v>CUENCA</c:v>
                </c:pt>
                <c:pt idx="4">
                  <c:v>GRANADA</c:v>
                </c:pt>
                <c:pt idx="5">
                  <c:v>ZAMORA</c:v>
                </c:pt>
                <c:pt idx="6">
                  <c:v>MADRID</c:v>
                </c:pt>
                <c:pt idx="7">
                  <c:v>VALLADOLID</c:v>
                </c:pt>
                <c:pt idx="8">
                  <c:v>SEVILLA</c:v>
                </c:pt>
                <c:pt idx="9">
                  <c:v>ZARAGOZA</c:v>
                </c:pt>
              </c:strCache>
            </c:strRef>
          </c:cat>
          <c:val>
            <c:numRef>
              <c:f>'PIS-EDAD'!$AJ$415:$AJ$424</c:f>
              <c:numCache>
                <c:formatCode>#,##0</c:formatCode>
                <c:ptCount val="10"/>
                <c:pt idx="0">
                  <c:v>301.08</c:v>
                </c:pt>
                <c:pt idx="1">
                  <c:v>239.53999999999996</c:v>
                </c:pt>
                <c:pt idx="2">
                  <c:v>214.26</c:v>
                </c:pt>
                <c:pt idx="3">
                  <c:v>87.27</c:v>
                </c:pt>
                <c:pt idx="4">
                  <c:v>32.07</c:v>
                </c:pt>
                <c:pt idx="5">
                  <c:v>31.619999999999997</c:v>
                </c:pt>
                <c:pt idx="6">
                  <c:v>22.82</c:v>
                </c:pt>
                <c:pt idx="7">
                  <c:v>20.8</c:v>
                </c:pt>
                <c:pt idx="8">
                  <c:v>17.91</c:v>
                </c:pt>
                <c:pt idx="9">
                  <c:v>16.22</c:v>
                </c:pt>
              </c:numCache>
            </c:numRef>
          </c:val>
          <c:extLst>
            <c:ext xmlns:c15="http://schemas.microsoft.com/office/drawing/2012/chart" uri="{02D57815-91ED-43cb-92C2-25804820EDAC}">
              <c15:datalabelsRange>
                <c15:f>'PIS-EDAD'!$AL$415:$AL$425</c15:f>
                <c15:dlblRangeCache>
                  <c:ptCount val="11"/>
                  <c:pt idx="0">
                    <c:v>37%</c:v>
                  </c:pt>
                  <c:pt idx="1">
                    <c:v>44%</c:v>
                  </c:pt>
                  <c:pt idx="2">
                    <c:v>25%</c:v>
                  </c:pt>
                  <c:pt idx="3">
                    <c:v>33%</c:v>
                  </c:pt>
                  <c:pt idx="4">
                    <c:v>21%</c:v>
                  </c:pt>
                  <c:pt idx="5">
                    <c:v>32%</c:v>
                  </c:pt>
                  <c:pt idx="6">
                    <c:v>100%</c:v>
                  </c:pt>
                  <c:pt idx="7">
                    <c:v>20%</c:v>
                  </c:pt>
                  <c:pt idx="8">
                    <c:v>46%</c:v>
                  </c:pt>
                  <c:pt idx="9">
                    <c:v>47%</c:v>
                  </c:pt>
                  <c:pt idx="10">
                    <c:v>4%</c:v>
                  </c:pt>
                </c15:dlblRangeCache>
              </c15:datalabelsRange>
            </c:ext>
            <c:ext xmlns:c16="http://schemas.microsoft.com/office/drawing/2014/chart" uri="{C3380CC4-5D6E-409C-BE32-E72D297353CC}">
              <c16:uniqueId val="{0000000B-8ADF-4E7B-AA83-BAF139816BF2}"/>
            </c:ext>
          </c:extLst>
        </c:ser>
        <c:dLbls>
          <c:showLegendKey val="0"/>
          <c:showVal val="0"/>
          <c:showCatName val="0"/>
          <c:showSerName val="0"/>
          <c:showPercent val="0"/>
          <c:showBubbleSize val="0"/>
        </c:dLbls>
        <c:gapWidth val="150"/>
        <c:overlap val="-40"/>
        <c:axId val="105938960"/>
        <c:axId val="105930256"/>
      </c:barChart>
      <c:catAx>
        <c:axId val="1059389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5930256"/>
        <c:crosses val="autoZero"/>
        <c:auto val="1"/>
        <c:lblAlgn val="ctr"/>
        <c:lblOffset val="100"/>
        <c:noMultiLvlLbl val="0"/>
      </c:catAx>
      <c:valAx>
        <c:axId val="1059302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5938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Regadío </a:t>
            </a:r>
            <a:r>
              <a:rPr lang="es-ES" b="1" baseline="0">
                <a:solidFill>
                  <a:sysClr val="windowText" lastClr="000000"/>
                </a:solidFill>
              </a:rPr>
              <a:t>Ecológico</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'PIS-EDAD'!$AO$411</c:f>
              <c:strCache>
                <c:ptCount val="1"/>
                <c:pt idx="0">
                  <c:v>Plantaciones jóvenes</c:v>
                </c:pt>
              </c:strCache>
            </c:strRef>
          </c:tx>
          <c:spPr>
            <a:solidFill>
              <a:srgbClr val="009999"/>
            </a:solidFill>
            <a:ln>
              <a:solidFill>
                <a:schemeClr val="accent6">
                  <a:lumMod val="50000"/>
                </a:schemeClr>
              </a:solidFill>
            </a:ln>
            <a:effectLst/>
          </c:spPr>
          <c:invertIfNegative val="0"/>
          <c:dLbls>
            <c:dLbl>
              <c:idx val="0"/>
              <c:tx>
                <c:rich>
                  <a:bodyPr/>
                  <a:lstStyle/>
                  <a:p>
                    <a:fld id="{3D928ADD-9849-4940-819C-31CF6D9098D5}"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226-4CB0-9405-CE8127BBCFA3}"/>
                </c:ext>
              </c:extLst>
            </c:dLbl>
            <c:dLbl>
              <c:idx val="1"/>
              <c:tx>
                <c:rich>
                  <a:bodyPr/>
                  <a:lstStyle/>
                  <a:p>
                    <a:fld id="{A4F2771B-C4EF-4375-AFBA-C981B49C5196}"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226-4CB0-9405-CE8127BBCFA3}"/>
                </c:ext>
              </c:extLst>
            </c:dLbl>
            <c:dLbl>
              <c:idx val="2"/>
              <c:tx>
                <c:rich>
                  <a:bodyPr/>
                  <a:lstStyle/>
                  <a:p>
                    <a:fld id="{29D1B854-95E6-418B-9425-ADB2363A90CE}"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226-4CB0-9405-CE8127BBCFA3}"/>
                </c:ext>
              </c:extLst>
            </c:dLbl>
            <c:dLbl>
              <c:idx val="3"/>
              <c:tx>
                <c:rich>
                  <a:bodyPr/>
                  <a:lstStyle/>
                  <a:p>
                    <a:fld id="{88492F45-83CA-42E1-ADE5-22AB2E23E687}"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26-4CB0-9405-CE8127BBCFA3}"/>
                </c:ext>
              </c:extLst>
            </c:dLbl>
            <c:dLbl>
              <c:idx val="4"/>
              <c:tx>
                <c:rich>
                  <a:bodyPr/>
                  <a:lstStyle/>
                  <a:p>
                    <a:fld id="{65164557-B81D-4D69-A17C-C932DF347AB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26-4CB0-9405-CE8127BBCFA3}"/>
                </c:ext>
              </c:extLst>
            </c:dLbl>
            <c:dLbl>
              <c:idx val="5"/>
              <c:tx>
                <c:rich>
                  <a:bodyPr/>
                  <a:lstStyle/>
                  <a:p>
                    <a:fld id="{CB2163F4-4AC4-4D39-9D79-A1578FAF771A}"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26-4CB0-9405-CE8127BBCFA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'PIS-EDAD'!$AN$412:$AN$417</c:f>
              <c:strCache>
                <c:ptCount val="6"/>
                <c:pt idx="0">
                  <c:v>C.-LA MANCHA</c:v>
                </c:pt>
                <c:pt idx="1">
                  <c:v>ANDALUCÍA</c:v>
                </c:pt>
                <c:pt idx="2">
                  <c:v>C. y LEÓN</c:v>
                </c:pt>
                <c:pt idx="3">
                  <c:v>MADRID</c:v>
                </c:pt>
                <c:pt idx="4">
                  <c:v>ARAGÓN</c:v>
                </c:pt>
                <c:pt idx="5">
                  <c:v>MURCIA</c:v>
                </c:pt>
              </c:strCache>
            </c:strRef>
          </c:cat>
          <c:val>
            <c:numRef>
              <c:f>'PIS-EDAD'!$AO$412:$AO$417</c:f>
              <c:numCache>
                <c:formatCode>#,##0</c:formatCode>
                <c:ptCount val="6"/>
                <c:pt idx="0">
                  <c:v>844.65</c:v>
                </c:pt>
                <c:pt idx="1">
                  <c:v>62.650000000000006</c:v>
                </c:pt>
                <c:pt idx="2">
                  <c:v>52.91</c:v>
                </c:pt>
                <c:pt idx="3">
                  <c:v>22.82</c:v>
                </c:pt>
                <c:pt idx="4">
                  <c:v>20.25</c:v>
                </c:pt>
                <c:pt idx="5">
                  <c:v>12.43</c:v>
                </c:pt>
              </c:numCache>
            </c:numRef>
          </c:val>
          <c:extLst>
            <c:ext xmlns:c15="http://schemas.microsoft.com/office/drawing/2012/chart" uri="{02D57815-91ED-43cb-92C2-25804820EDAC}">
              <c15:datalabelsRange>
                <c15:f>'PIS-EDAD'!$AQ$412:$AQ$417</c15:f>
                <c15:dlblRangeCache>
                  <c:ptCount val="6"/>
                  <c:pt idx="0">
                    <c:v>34%</c:v>
                  </c:pt>
                  <c:pt idx="1">
                    <c:v>22%</c:v>
                  </c:pt>
                  <c:pt idx="2">
                    <c:v>25%</c:v>
                  </c:pt>
                  <c:pt idx="3">
                    <c:v>100%</c:v>
                  </c:pt>
                  <c:pt idx="4">
                    <c:v>52%</c:v>
                  </c:pt>
                  <c:pt idx="5">
                    <c:v>4%</c:v>
                  </c:pt>
                </c15:dlblRangeCache>
              </c15:datalabelsRange>
            </c:ext>
            <c:ext xmlns:c16="http://schemas.microsoft.com/office/drawing/2014/chart" uri="{C3380CC4-5D6E-409C-BE32-E72D297353CC}">
              <c16:uniqueId val="{00000006-6226-4CB0-9405-CE8127BBCFA3}"/>
            </c:ext>
          </c:extLst>
        </c:ser>
        <c:ser>
          <c:idx val="1"/>
          <c:order val="1"/>
          <c:tx>
            <c:strRef>
              <c:f>'PIS-EDAD'!$AP$411</c:f>
              <c:strCache>
                <c:ptCount val="1"/>
                <c:pt idx="0">
                  <c:v>Total</c:v>
                </c:pt>
              </c:strCache>
            </c:strRef>
          </c:tx>
          <c:spPr>
            <a:solidFill>
              <a:srgbClr val="00FFCC"/>
            </a:solidFill>
            <a:ln>
              <a:solidFill>
                <a:schemeClr val="accent6">
                  <a:lumMod val="75000"/>
                </a:schemeClr>
              </a:solidFill>
            </a:ln>
            <a:effectLst/>
          </c:spPr>
          <c:invertIfNegative val="0"/>
          <c:cat>
            <c:strRef>
              <c:f>'PIS-EDAD'!$AN$412:$AN$417</c:f>
              <c:strCache>
                <c:ptCount val="6"/>
                <c:pt idx="0">
                  <c:v>C.-LA MANCHA</c:v>
                </c:pt>
                <c:pt idx="1">
                  <c:v>ANDALUCÍA</c:v>
                </c:pt>
                <c:pt idx="2">
                  <c:v>C. y LEÓN</c:v>
                </c:pt>
                <c:pt idx="3">
                  <c:v>MADRID</c:v>
                </c:pt>
                <c:pt idx="4">
                  <c:v>ARAGÓN</c:v>
                </c:pt>
                <c:pt idx="5">
                  <c:v>MURCIA</c:v>
                </c:pt>
              </c:strCache>
            </c:strRef>
          </c:cat>
          <c:val>
            <c:numRef>
              <c:f>'PIS-EDAD'!$AP$412:$AP$417</c:f>
              <c:numCache>
                <c:formatCode>#,##0</c:formatCode>
                <c:ptCount val="6"/>
                <c:pt idx="0">
                  <c:v>2482.46</c:v>
                </c:pt>
                <c:pt idx="1">
                  <c:v>285.10000000000002</c:v>
                </c:pt>
                <c:pt idx="2">
                  <c:v>210.01</c:v>
                </c:pt>
                <c:pt idx="3">
                  <c:v>22.82</c:v>
                </c:pt>
                <c:pt idx="4">
                  <c:v>38.94</c:v>
                </c:pt>
                <c:pt idx="5">
                  <c:v>317.82</c:v>
                </c:pt>
              </c:numCache>
            </c:numRef>
          </c:val>
          <c:extLst>
            <c:ext xmlns:c16="http://schemas.microsoft.com/office/drawing/2014/chart" uri="{C3380CC4-5D6E-409C-BE32-E72D297353CC}">
              <c16:uniqueId val="{00000007-6226-4CB0-9405-CE8127BBCFA3}"/>
            </c:ext>
          </c:extLst>
        </c:ser>
        <c:dLbls>
          <c:showLegendKey val="0"/>
          <c:showVal val="0"/>
          <c:showCatName val="0"/>
          <c:showSerName val="0"/>
          <c:showPercent val="0"/>
          <c:showBubbleSize val="0"/>
        </c:dLbls>
        <c:gapWidth val="100"/>
        <c:axId val="105929712"/>
        <c:axId val="105930800"/>
      </c:barChart>
      <c:catAx>
        <c:axId val="10592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0800"/>
        <c:crosses val="autoZero"/>
        <c:auto val="1"/>
        <c:lblAlgn val="ctr"/>
        <c:lblOffset val="100"/>
        <c:noMultiLvlLbl val="0"/>
      </c:catAx>
      <c:valAx>
        <c:axId val="10593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9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Pistacho Regadío </a:t>
            </a:r>
            <a:r>
              <a:rPr lang="es-ES" baseline="0"/>
              <a:t>Ecológico: Sin info de edad</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2">
                <a:lumMod val="40000"/>
                <a:lumOff val="60000"/>
              </a:schemeClr>
            </a:solidFill>
            <a:ln>
              <a:noFill/>
            </a:ln>
            <a:effectLst/>
          </c:spPr>
          <c:invertIfNegative val="0"/>
          <c:dPt>
            <c:idx val="4"/>
            <c:invertIfNegative val="0"/>
            <c:bubble3D val="0"/>
            <c:spPr>
              <a:solidFill>
                <a:srgbClr val="C0504D"/>
              </a:solidFill>
              <a:ln>
                <a:noFill/>
              </a:ln>
              <a:effectLst/>
            </c:spPr>
            <c:extLst>
              <c:ext xmlns:c16="http://schemas.microsoft.com/office/drawing/2014/chart" uri="{C3380CC4-5D6E-409C-BE32-E72D297353CC}">
                <c16:uniqueId val="{00000001-6F48-442E-901E-73D035597D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'PIS-EDAD'!$A$453:$A$465</c15:sqref>
                  </c15:fullRef>
                </c:ext>
              </c:extLst>
              <c:f>('PIS-EDAD'!$A$453,'PIS-EDAD'!$A$457,'PIS-EDAD'!$A$460,'PIS-EDAD'!$A$463,'PIS-EDAD'!$A$465)</c:f>
              <c:strCache>
                <c:ptCount val="5"/>
                <c:pt idx="0">
                  <c:v>ANDALUCÍA</c:v>
                </c:pt>
                <c:pt idx="1">
                  <c:v>C.-LA MANCHA</c:v>
                </c:pt>
                <c:pt idx="2">
                  <c:v>EXTREMADURA</c:v>
                </c:pt>
                <c:pt idx="3">
                  <c:v>MURCIA</c:v>
                </c:pt>
                <c:pt idx="4">
                  <c:v>ESPAÑA</c:v>
                </c:pt>
              </c:strCache>
            </c:strRef>
          </c:cat>
          <c:val>
            <c:numRef>
              <c:extLst>
                <c:ext xmlns:c15="http://schemas.microsoft.com/office/drawing/2012/chart" uri="{02D57815-91ED-43cb-92C2-25804820EDAC}">
                  <c15:fullRef>
                    <c15:sqref>'PIS-EDAD'!$Y$453:$Y$465</c15:sqref>
                  </c15:fullRef>
                </c:ext>
              </c:extLst>
              <c:f>('PIS-EDAD'!$Y$453,'PIS-EDAD'!$Y$457,'PIS-EDAD'!$Y$460,'PIS-EDAD'!$Y$463,'PIS-EDAD'!$Y$465)</c:f>
              <c:numCache>
                <c:formatCode>0%</c:formatCode>
                <c:ptCount val="5"/>
                <c:pt idx="0" formatCode="0.00%">
                  <c:v>7.0081995935244236E-5</c:v>
                </c:pt>
                <c:pt idx="1" formatCode="0.00%">
                  <c:v>2.1349790127534788E-4</c:v>
                </c:pt>
                <c:pt idx="2" formatCode="0.00%">
                  <c:v>1.0309278350515465E-2</c:v>
                </c:pt>
                <c:pt idx="3" formatCode="0.00%">
                  <c:v>9.4393052671323401E-5</c:v>
                </c:pt>
                <c:pt idx="4" formatCode="0.00%">
                  <c:v>1.9101747662974647E-4</c:v>
                </c:pt>
              </c:numCache>
            </c:numRef>
          </c:val>
          <c:extLst>
            <c:ext xmlns:c16="http://schemas.microsoft.com/office/drawing/2014/chart" uri="{C3380CC4-5D6E-409C-BE32-E72D297353CC}">
              <c16:uniqueId val="{00000002-4D63-44EA-96DB-934FF2D6002F}"/>
            </c:ext>
          </c:extLst>
        </c:ser>
        <c:dLbls>
          <c:dLblPos val="outEnd"/>
          <c:showLegendKey val="0"/>
          <c:showVal val="1"/>
          <c:showCatName val="0"/>
          <c:showSerName val="0"/>
          <c:showPercent val="0"/>
          <c:showBubbleSize val="0"/>
        </c:dLbls>
        <c:gapWidth val="182"/>
        <c:axId val="105939504"/>
        <c:axId val="105929168"/>
      </c:barChart>
      <c:catAx>
        <c:axId val="105939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9168"/>
        <c:crosses val="autoZero"/>
        <c:auto val="1"/>
        <c:lblAlgn val="ctr"/>
        <c:lblOffset val="100"/>
        <c:noMultiLvlLbl val="0"/>
      </c:catAx>
      <c:valAx>
        <c:axId val="10592916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3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Secano </a:t>
            </a:r>
            <a:r>
              <a:rPr lang="es-ES" b="1" baseline="0">
                <a:solidFill>
                  <a:sysClr val="windowText" lastClr="000000"/>
                </a:solidFill>
              </a:rPr>
              <a:t>Convencional</a:t>
            </a:r>
            <a:r>
              <a:rPr lang="es-ES" b="1">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Edades</a:t>
            </a:r>
            <a:r>
              <a:rPr lang="es-ES" baseline="0">
                <a:solidFill>
                  <a:sysClr val="windowText" lastClr="000000"/>
                </a:solidFill>
              </a:rPr>
              <a:t> de plantación 2000 - 2021</a:t>
            </a:r>
            <a:endParaRPr lang="es-ES">
              <a:solidFill>
                <a:sysClr val="windowText" lastClr="000000"/>
              </a:solidFill>
            </a:endParaRPr>
          </a:p>
        </c:rich>
      </c:tx>
      <c:layout>
        <c:manualLayout>
          <c:xMode val="edge"/>
          <c:yMode val="edge"/>
          <c:x val="0.28524295814162276"/>
          <c:y val="3.072196620583717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2"/>
            </a:solidFill>
            <a:ln>
              <a:noFill/>
            </a:ln>
            <a:effectLst/>
          </c:spPr>
          <c:invertIfNegative val="0"/>
          <c:cat>
            <c:numRef>
              <c:f>'ALM-EDAD'!$C$318:$X$318</c:f>
              <c:numCache>
                <c:formatCode>#,##0</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'PIS-EDAD'!$C$220:$X$220</c:f>
              <c:numCache>
                <c:formatCode>#,##0</c:formatCode>
                <c:ptCount val="22"/>
                <c:pt idx="0">
                  <c:v>175.21999999999997</c:v>
                </c:pt>
                <c:pt idx="1">
                  <c:v>40.490000000000009</c:v>
                </c:pt>
                <c:pt idx="2">
                  <c:v>59.64</c:v>
                </c:pt>
                <c:pt idx="3">
                  <c:v>78.170000000000016</c:v>
                </c:pt>
                <c:pt idx="4">
                  <c:v>93.210000000000008</c:v>
                </c:pt>
                <c:pt idx="5">
                  <c:v>124.83999999999999</c:v>
                </c:pt>
                <c:pt idx="6">
                  <c:v>154.70999999999998</c:v>
                </c:pt>
                <c:pt idx="7">
                  <c:v>120.04999999999998</c:v>
                </c:pt>
                <c:pt idx="8">
                  <c:v>68.87</c:v>
                </c:pt>
                <c:pt idx="9">
                  <c:v>159.62</c:v>
                </c:pt>
                <c:pt idx="10">
                  <c:v>298.96999999999997</c:v>
                </c:pt>
                <c:pt idx="11">
                  <c:v>197.32</c:v>
                </c:pt>
                <c:pt idx="12">
                  <c:v>370.56</c:v>
                </c:pt>
                <c:pt idx="13">
                  <c:v>433.89000000000004</c:v>
                </c:pt>
                <c:pt idx="14">
                  <c:v>846.1400000000001</c:v>
                </c:pt>
                <c:pt idx="15">
                  <c:v>2108.75</c:v>
                </c:pt>
                <c:pt idx="16">
                  <c:v>2203.04</c:v>
                </c:pt>
                <c:pt idx="17">
                  <c:v>3270.7400000000007</c:v>
                </c:pt>
                <c:pt idx="18">
                  <c:v>5587.94</c:v>
                </c:pt>
                <c:pt idx="19">
                  <c:v>6162.9700000000021</c:v>
                </c:pt>
                <c:pt idx="20">
                  <c:v>6192.5199999999986</c:v>
                </c:pt>
                <c:pt idx="21">
                  <c:v>4475.55</c:v>
                </c:pt>
              </c:numCache>
            </c:numRef>
          </c:val>
          <c:extLst>
            <c:ext xmlns:c16="http://schemas.microsoft.com/office/drawing/2014/chart" uri="{C3380CC4-5D6E-409C-BE32-E72D297353CC}">
              <c16:uniqueId val="{00000000-A0CA-4D1A-9F47-A61F93A82E93}"/>
            </c:ext>
          </c:extLst>
        </c:ser>
        <c:dLbls>
          <c:showLegendKey val="0"/>
          <c:showVal val="0"/>
          <c:showCatName val="0"/>
          <c:showSerName val="0"/>
          <c:showPercent val="0"/>
          <c:showBubbleSize val="0"/>
        </c:dLbls>
        <c:gapWidth val="219"/>
        <c:overlap val="-27"/>
        <c:axId val="105914480"/>
        <c:axId val="105924272"/>
      </c:barChart>
      <c:catAx>
        <c:axId val="10591448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24272"/>
        <c:crosses val="autoZero"/>
        <c:auto val="1"/>
        <c:lblAlgn val="ctr"/>
        <c:lblOffset val="100"/>
        <c:noMultiLvlLbl val="0"/>
      </c:catAx>
      <c:valAx>
        <c:axId val="105924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44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b="1">
                <a:solidFill>
                  <a:sysClr val="windowText" lastClr="000000"/>
                </a:solidFill>
              </a:rPr>
              <a:t>Pistacho Secano</a:t>
            </a:r>
            <a:r>
              <a:rPr lang="es-ES" b="1" baseline="0">
                <a:solidFill>
                  <a:sysClr val="windowText" lastClr="000000"/>
                </a:solidFill>
              </a:rPr>
              <a:t> Convencional</a:t>
            </a:r>
            <a:r>
              <a:rPr lang="es-ES" b="1">
                <a:solidFill>
                  <a:sysClr val="windowText" lastClr="000000"/>
                </a:solidFill>
              </a:rPr>
              <a:t>:</a:t>
            </a:r>
          </a:p>
          <a:p>
            <a:pPr>
              <a:defRPr sz="1400" b="0" i="0" u="none" strike="noStrike" kern="1200" spc="0" baseline="0">
                <a:solidFill>
                  <a:sysClr val="windowText" lastClr="000000"/>
                </a:solidFill>
                <a:latin typeface="+mn-lt"/>
                <a:ea typeface="+mn-ea"/>
                <a:cs typeface="+mn-cs"/>
              </a:defRPr>
            </a:pPr>
            <a:r>
              <a:rPr lang="es-ES">
                <a:solidFill>
                  <a:sysClr val="windowText" lastClr="000000"/>
                </a:solidFill>
              </a:rPr>
              <a:t>Plantaciones</a:t>
            </a:r>
            <a:r>
              <a:rPr lang="es-ES" baseline="0">
                <a:solidFill>
                  <a:sysClr val="windowText" lastClr="000000"/>
                </a:solidFill>
              </a:rPr>
              <a:t> jóvenes en las principales CC.AA. productoras</a:t>
            </a:r>
            <a:endParaRPr lang="es-ES">
              <a:solidFill>
                <a:sysClr val="windowText" lastClr="000000"/>
              </a:solidFill>
            </a:endParaRPr>
          </a:p>
        </c:rich>
      </c:tx>
      <c:layout>
        <c:manualLayout>
          <c:xMode val="edge"/>
          <c:yMode val="edge"/>
          <c:x val="0.16228974665560914"/>
          <c:y val="2.43902439024390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barChart>
        <c:barDir val="col"/>
        <c:grouping val="clustered"/>
        <c:varyColors val="0"/>
        <c:ser>
          <c:idx val="0"/>
          <c:order val="0"/>
          <c:tx>
            <c:strRef>
              <c:f>'PIS-EDAD'!$AO$181</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DC9BEDA8-269F-455B-9615-FE59ADAA14E1}" type="CELLRANGE">
                      <a:rPr lang="en-U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C0D-4C40-9FE1-5127BE9CD73E}"/>
                </c:ext>
              </c:extLst>
            </c:dLbl>
            <c:dLbl>
              <c:idx val="1"/>
              <c:tx>
                <c:rich>
                  <a:bodyPr/>
                  <a:lstStyle/>
                  <a:p>
                    <a:fld id="{BFC479A2-DCE3-4762-8D33-1F01D95F4698}"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C0D-4C40-9FE1-5127BE9CD73E}"/>
                </c:ext>
              </c:extLst>
            </c:dLbl>
            <c:dLbl>
              <c:idx val="2"/>
              <c:tx>
                <c:rich>
                  <a:bodyPr/>
                  <a:lstStyle/>
                  <a:p>
                    <a:fld id="{FA7A689E-3180-45EC-AAEA-633C538438E2}"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C0D-4C40-9FE1-5127BE9CD73E}"/>
                </c:ext>
              </c:extLst>
            </c:dLbl>
            <c:dLbl>
              <c:idx val="3"/>
              <c:tx>
                <c:rich>
                  <a:bodyPr/>
                  <a:lstStyle/>
                  <a:p>
                    <a:fld id="{7CE090F0-86C7-426E-B155-EF7679108AF4}"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C0D-4C40-9FE1-5127BE9CD73E}"/>
                </c:ext>
              </c:extLst>
            </c:dLbl>
            <c:dLbl>
              <c:idx val="4"/>
              <c:tx>
                <c:rich>
                  <a:bodyPr/>
                  <a:lstStyle/>
                  <a:p>
                    <a:fld id="{F8EB94AC-0530-44C9-9B27-1DB2D2DFBC71}" type="CELLRANGE">
                      <a:rPr lang="es-ES"/>
                      <a:pPr/>
                      <a:t>[CELLRANGE]</a:t>
                    </a:fld>
                    <a:endParaRPr lang="es-E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C0D-4C40-9FE1-5127BE9CD73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'PIS-EDAD'!$AN$182:$AN$186</c:f>
              <c:strCache>
                <c:ptCount val="5"/>
                <c:pt idx="0">
                  <c:v>C.-LA MANCHA</c:v>
                </c:pt>
                <c:pt idx="1">
                  <c:v>ANDALUCÍA</c:v>
                </c:pt>
                <c:pt idx="2">
                  <c:v>C. y LEÓN</c:v>
                </c:pt>
                <c:pt idx="3">
                  <c:v>EXTREMADURA</c:v>
                </c:pt>
                <c:pt idx="4">
                  <c:v>ARAGÓN</c:v>
                </c:pt>
              </c:strCache>
            </c:strRef>
          </c:cat>
          <c:val>
            <c:numRef>
              <c:f>'PIS-EDAD'!$AO$182:$AO$186</c:f>
              <c:numCache>
                <c:formatCode>#,##0</c:formatCode>
                <c:ptCount val="5"/>
                <c:pt idx="0">
                  <c:v>17892.650000000001</c:v>
                </c:pt>
                <c:pt idx="1">
                  <c:v>1846.88</c:v>
                </c:pt>
                <c:pt idx="2">
                  <c:v>1052.3499999999999</c:v>
                </c:pt>
                <c:pt idx="3">
                  <c:v>797.43</c:v>
                </c:pt>
                <c:pt idx="4">
                  <c:v>255.33</c:v>
                </c:pt>
              </c:numCache>
            </c:numRef>
          </c:val>
          <c:extLst>
            <c:ext xmlns:c15="http://schemas.microsoft.com/office/drawing/2012/chart" uri="{02D57815-91ED-43cb-92C2-25804820EDAC}">
              <c15:datalabelsRange>
                <c15:f>'PIS-EDAD'!$AQ$182:$AQ$186</c15:f>
                <c15:dlblRangeCache>
                  <c:ptCount val="5"/>
                  <c:pt idx="0">
                    <c:v>68%</c:v>
                  </c:pt>
                  <c:pt idx="1">
                    <c:v>61%</c:v>
                  </c:pt>
                  <c:pt idx="2">
                    <c:v>69%</c:v>
                  </c:pt>
                  <c:pt idx="3">
                    <c:v>65%</c:v>
                  </c:pt>
                  <c:pt idx="4">
                    <c:v>69%</c:v>
                  </c:pt>
                </c15:dlblRangeCache>
              </c15:datalabelsRange>
            </c:ext>
            <c:ext xmlns:c16="http://schemas.microsoft.com/office/drawing/2014/chart" uri="{C3380CC4-5D6E-409C-BE32-E72D297353CC}">
              <c16:uniqueId val="{00000005-0C0D-4C40-9FE1-5127BE9CD73E}"/>
            </c:ext>
          </c:extLst>
        </c:ser>
        <c:ser>
          <c:idx val="1"/>
          <c:order val="1"/>
          <c:tx>
            <c:strRef>
              <c:f>'PIS-EDAD'!$AP$181</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'PIS-EDAD'!$AN$182:$AN$186</c:f>
              <c:strCache>
                <c:ptCount val="5"/>
                <c:pt idx="0">
                  <c:v>C.-LA MANCHA</c:v>
                </c:pt>
                <c:pt idx="1">
                  <c:v>ANDALUCÍA</c:v>
                </c:pt>
                <c:pt idx="2">
                  <c:v>C. y LEÓN</c:v>
                </c:pt>
                <c:pt idx="3">
                  <c:v>EXTREMADURA</c:v>
                </c:pt>
                <c:pt idx="4">
                  <c:v>ARAGÓN</c:v>
                </c:pt>
              </c:strCache>
            </c:strRef>
          </c:cat>
          <c:val>
            <c:numRef>
              <c:f>'PIS-EDAD'!$AP$182:$AP$186</c:f>
              <c:numCache>
                <c:formatCode>#,##0</c:formatCode>
                <c:ptCount val="5"/>
                <c:pt idx="0">
                  <c:v>26404.390000000003</c:v>
                </c:pt>
                <c:pt idx="1">
                  <c:v>3049.91</c:v>
                </c:pt>
                <c:pt idx="2">
                  <c:v>1521.37</c:v>
                </c:pt>
                <c:pt idx="3">
                  <c:v>1226.8199999999997</c:v>
                </c:pt>
                <c:pt idx="4">
                  <c:v>372.58000000000004</c:v>
                </c:pt>
              </c:numCache>
            </c:numRef>
          </c:val>
          <c:extLst>
            <c:ext xmlns:c16="http://schemas.microsoft.com/office/drawing/2014/chart" uri="{C3380CC4-5D6E-409C-BE32-E72D297353CC}">
              <c16:uniqueId val="{00000006-0C0D-4C40-9FE1-5127BE9CD73E}"/>
            </c:ext>
          </c:extLst>
        </c:ser>
        <c:dLbls>
          <c:showLegendKey val="0"/>
          <c:showVal val="0"/>
          <c:showCatName val="0"/>
          <c:showSerName val="0"/>
          <c:showPercent val="0"/>
          <c:showBubbleSize val="0"/>
        </c:dLbls>
        <c:gapWidth val="100"/>
        <c:axId val="105912848"/>
        <c:axId val="105913392"/>
      </c:barChart>
      <c:catAx>
        <c:axId val="10591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3392"/>
        <c:crosses val="autoZero"/>
        <c:auto val="1"/>
        <c:lblAlgn val="ctr"/>
        <c:lblOffset val="100"/>
        <c:noMultiLvlLbl val="0"/>
      </c:catAx>
      <c:valAx>
        <c:axId val="105913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Superficie (ha)</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91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t>Pistacho Secano </a:t>
            </a:r>
            <a:r>
              <a:rPr lang="en-US" b="1" baseline="0"/>
              <a:t>Convencional:</a:t>
            </a:r>
            <a:r>
              <a:rPr lang="en-US" b="1"/>
              <a:t> </a:t>
            </a:r>
          </a:p>
          <a:p>
            <a:pPr>
              <a:defRPr sz="1400" b="0" i="0" u="none" strike="noStrike" kern="1200" spc="0" baseline="0">
                <a:solidFill>
                  <a:sysClr val="windowText" lastClr="000000"/>
                </a:solidFill>
                <a:latin typeface="+mn-lt"/>
                <a:ea typeface="+mn-ea"/>
                <a:cs typeface="+mn-cs"/>
              </a:defRPr>
            </a:pPr>
            <a:r>
              <a:rPr lang="en-US"/>
              <a:t>Las 10 provincias con mayor superficie de plantaciones jóvenes </a:t>
            </a:r>
          </a:p>
        </c:rich>
      </c:tx>
      <c:layout>
        <c:manualLayout>
          <c:xMode val="edge"/>
          <c:yMode val="edge"/>
          <c:x val="0.17682206278723908"/>
          <c:y val="1.69351675868102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945895726694998"/>
          <c:y val="0.19609195402298851"/>
          <c:w val="0.84369050773094811"/>
          <c:h val="0.61810752104262834"/>
        </c:manualLayout>
      </c:layout>
      <c:barChart>
        <c:barDir val="bar"/>
        <c:grouping val="clustered"/>
        <c:varyColors val="0"/>
        <c:ser>
          <c:idx val="1"/>
          <c:order val="0"/>
          <c:tx>
            <c:strRef>
              <c:f>'PIS-EDAD'!$AK$183</c:f>
              <c:strCache>
                <c:ptCount val="1"/>
                <c:pt idx="0">
                  <c:v>Total</c:v>
                </c:pt>
              </c:strCache>
            </c:strRef>
          </c:tx>
          <c:spPr>
            <a:solidFill>
              <a:schemeClr val="accent2">
                <a:tint val="77000"/>
              </a:schemeClr>
            </a:solidFill>
            <a:ln>
              <a:solidFill>
                <a:schemeClr val="accent2">
                  <a:lumMod val="75000"/>
                </a:schemeClr>
              </a:solidFill>
            </a:ln>
            <a:effectLst/>
          </c:spPr>
          <c:invertIfNegative val="0"/>
          <c:cat>
            <c:strRef>
              <c:f>'PIS-EDAD'!$AI$184:$AI$193</c:f>
              <c:strCache>
                <c:ptCount val="10"/>
                <c:pt idx="0">
                  <c:v>TOLEDO</c:v>
                </c:pt>
                <c:pt idx="1">
                  <c:v>CIUDAD REAL</c:v>
                </c:pt>
                <c:pt idx="2">
                  <c:v>ALBACETE</c:v>
                </c:pt>
                <c:pt idx="3">
                  <c:v>CUENCA</c:v>
                </c:pt>
                <c:pt idx="4">
                  <c:v>GRANADA</c:v>
                </c:pt>
                <c:pt idx="5">
                  <c:v>BADAJOZ</c:v>
                </c:pt>
                <c:pt idx="6">
                  <c:v>VALLADOLID</c:v>
                </c:pt>
                <c:pt idx="7">
                  <c:v>ZAMORA</c:v>
                </c:pt>
                <c:pt idx="8">
                  <c:v>MÁLAGA</c:v>
                </c:pt>
                <c:pt idx="9">
                  <c:v>MADRID</c:v>
                </c:pt>
              </c:strCache>
            </c:strRef>
          </c:cat>
          <c:val>
            <c:numRef>
              <c:f>'PIS-EDAD'!$AK$184:$AK$193</c:f>
              <c:numCache>
                <c:formatCode>#,##0</c:formatCode>
                <c:ptCount val="10"/>
                <c:pt idx="0">
                  <c:v>7453.1600000000026</c:v>
                </c:pt>
                <c:pt idx="1">
                  <c:v>8103.2599999999993</c:v>
                </c:pt>
                <c:pt idx="2">
                  <c:v>6063.2499999999991</c:v>
                </c:pt>
                <c:pt idx="3">
                  <c:v>4540.34</c:v>
                </c:pt>
                <c:pt idx="4">
                  <c:v>1405.6999999999998</c:v>
                </c:pt>
                <c:pt idx="5">
                  <c:v>1075.55</c:v>
                </c:pt>
                <c:pt idx="6">
                  <c:v>675.97</c:v>
                </c:pt>
                <c:pt idx="7">
                  <c:v>314.33999999999997</c:v>
                </c:pt>
                <c:pt idx="8">
                  <c:v>479.68</c:v>
                </c:pt>
                <c:pt idx="9">
                  <c:v>292</c:v>
                </c:pt>
              </c:numCache>
            </c:numRef>
          </c:val>
          <c:extLst>
            <c:ext xmlns:c16="http://schemas.microsoft.com/office/drawing/2014/chart" uri="{C3380CC4-5D6E-409C-BE32-E72D297353CC}">
              <c16:uniqueId val="{0000000A-7D62-41F9-97C8-F191B8139C25}"/>
            </c:ext>
          </c:extLst>
        </c:ser>
        <c:ser>
          <c:idx val="0"/>
          <c:order val="1"/>
          <c:tx>
            <c:strRef>
              <c:f>'PIS-EDAD'!$AJ$183</c:f>
              <c:strCache>
                <c:ptCount val="1"/>
                <c:pt idx="0">
                  <c:v>Plantaciones jóvenes</c:v>
                </c:pt>
              </c:strCache>
            </c:strRef>
          </c:tx>
          <c:spPr>
            <a:solidFill>
              <a:schemeClr val="accent2">
                <a:shade val="76000"/>
              </a:schemeClr>
            </a:solidFill>
            <a:ln>
              <a:solidFill>
                <a:schemeClr val="accent2">
                  <a:lumMod val="50000"/>
                </a:schemeClr>
              </a:solidFill>
            </a:ln>
            <a:effectLst/>
          </c:spPr>
          <c:invertIfNegative val="0"/>
          <c:dLbls>
            <c:dLbl>
              <c:idx val="0"/>
              <c:tx>
                <c:rich>
                  <a:bodyPr/>
                  <a:lstStyle/>
                  <a:p>
                    <a:fld id="{F2C75854-6D62-4323-9296-EDE43F8F996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1D8-4448-88C4-E0D92950A038}"/>
                </c:ext>
              </c:extLst>
            </c:dLbl>
            <c:dLbl>
              <c:idx val="1"/>
              <c:tx>
                <c:rich>
                  <a:bodyPr/>
                  <a:lstStyle/>
                  <a:p>
                    <a:fld id="{1C7C219C-1174-48EC-830C-F4496F3E4F38}"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1D8-4448-88C4-E0D92950A038}"/>
                </c:ext>
              </c:extLst>
            </c:dLbl>
            <c:dLbl>
              <c:idx val="2"/>
              <c:tx>
                <c:rich>
                  <a:bodyPr/>
                  <a:lstStyle/>
                  <a:p>
                    <a:fld id="{2048DCB9-121F-496D-A00F-9AA92ECA62E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D8-4448-88C4-E0D92950A038}"/>
                </c:ext>
              </c:extLst>
            </c:dLbl>
            <c:dLbl>
              <c:idx val="3"/>
              <c:tx>
                <c:rich>
                  <a:bodyPr/>
                  <a:lstStyle/>
                  <a:p>
                    <a:fld id="{0347DF24-39BB-493B-97D0-BAD80E05D049}"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D8-4448-88C4-E0D92950A038}"/>
                </c:ext>
              </c:extLst>
            </c:dLbl>
            <c:dLbl>
              <c:idx val="4"/>
              <c:tx>
                <c:rich>
                  <a:bodyPr/>
                  <a:lstStyle/>
                  <a:p>
                    <a:fld id="{0B7F167C-7E6C-4198-B840-F318B12F185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D8-4448-88C4-E0D92950A038}"/>
                </c:ext>
              </c:extLst>
            </c:dLbl>
            <c:dLbl>
              <c:idx val="5"/>
              <c:tx>
                <c:rich>
                  <a:bodyPr/>
                  <a:lstStyle/>
                  <a:p>
                    <a:fld id="{2CB4FF53-7BE5-47AD-A085-BDC382847800}"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D8-4448-88C4-E0D92950A038}"/>
                </c:ext>
              </c:extLst>
            </c:dLbl>
            <c:dLbl>
              <c:idx val="6"/>
              <c:tx>
                <c:rich>
                  <a:bodyPr/>
                  <a:lstStyle/>
                  <a:p>
                    <a:fld id="{D587335D-3342-47D3-8E89-BE242BC9AECF}"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D8-4448-88C4-E0D92950A038}"/>
                </c:ext>
              </c:extLst>
            </c:dLbl>
            <c:dLbl>
              <c:idx val="7"/>
              <c:tx>
                <c:rich>
                  <a:bodyPr/>
                  <a:lstStyle/>
                  <a:p>
                    <a:fld id="{12491028-3AB9-44FA-8FDE-138FDB98A91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D8-4448-88C4-E0D92950A038}"/>
                </c:ext>
              </c:extLst>
            </c:dLbl>
            <c:dLbl>
              <c:idx val="8"/>
              <c:tx>
                <c:rich>
                  <a:bodyPr/>
                  <a:lstStyle/>
                  <a:p>
                    <a:fld id="{D3275F3E-6D24-478C-B3D7-C73D909C386C}"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D8-4448-88C4-E0D92950A038}"/>
                </c:ext>
              </c:extLst>
            </c:dLbl>
            <c:dLbl>
              <c:idx val="9"/>
              <c:tx>
                <c:rich>
                  <a:bodyPr/>
                  <a:lstStyle/>
                  <a:p>
                    <a:fld id="{6A5EF64B-A953-4411-93E1-9CBEF4C4643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D8-4448-88C4-E0D92950A0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'PIS-EDAD'!$AI$184:$AI$193</c:f>
              <c:strCache>
                <c:ptCount val="10"/>
                <c:pt idx="0">
                  <c:v>TOLEDO</c:v>
                </c:pt>
                <c:pt idx="1">
                  <c:v>CIUDAD REAL</c:v>
                </c:pt>
                <c:pt idx="2">
                  <c:v>ALBACETE</c:v>
                </c:pt>
                <c:pt idx="3">
                  <c:v>CUENCA</c:v>
                </c:pt>
                <c:pt idx="4">
                  <c:v>GRANADA</c:v>
                </c:pt>
                <c:pt idx="5">
                  <c:v>BADAJOZ</c:v>
                </c:pt>
                <c:pt idx="6">
                  <c:v>VALLADOLID</c:v>
                </c:pt>
                <c:pt idx="7">
                  <c:v>ZAMORA</c:v>
                </c:pt>
                <c:pt idx="8">
                  <c:v>MÁLAGA</c:v>
                </c:pt>
                <c:pt idx="9">
                  <c:v>MADRID</c:v>
                </c:pt>
              </c:strCache>
            </c:strRef>
          </c:cat>
          <c:val>
            <c:numRef>
              <c:f>'PIS-EDAD'!$AJ$184:$AJ$193</c:f>
              <c:numCache>
                <c:formatCode>#,##0</c:formatCode>
                <c:ptCount val="10"/>
                <c:pt idx="0">
                  <c:v>5006.1800000000021</c:v>
                </c:pt>
                <c:pt idx="1">
                  <c:v>4915.9599999999991</c:v>
                </c:pt>
                <c:pt idx="2">
                  <c:v>4361.0899999999992</c:v>
                </c:pt>
                <c:pt idx="3">
                  <c:v>3446.8399999999997</c:v>
                </c:pt>
                <c:pt idx="4">
                  <c:v>1019.1199999999999</c:v>
                </c:pt>
                <c:pt idx="5">
                  <c:v>720.45999999999992</c:v>
                </c:pt>
                <c:pt idx="6">
                  <c:v>492.36</c:v>
                </c:pt>
                <c:pt idx="7">
                  <c:v>215.03</c:v>
                </c:pt>
                <c:pt idx="8">
                  <c:v>201.37</c:v>
                </c:pt>
                <c:pt idx="9">
                  <c:v>189.64</c:v>
                </c:pt>
              </c:numCache>
            </c:numRef>
          </c:val>
          <c:extLst>
            <c:ext xmlns:c15="http://schemas.microsoft.com/office/drawing/2012/chart" uri="{02D57815-91ED-43cb-92C2-25804820EDAC}">
              <c15:datalabelsRange>
                <c15:f>'PIS-EDAD'!$AL$184:$AL$193</c15:f>
                <c15:dlblRangeCache>
                  <c:ptCount val="10"/>
                  <c:pt idx="0">
                    <c:v>67%</c:v>
                  </c:pt>
                  <c:pt idx="1">
                    <c:v>61%</c:v>
                  </c:pt>
                  <c:pt idx="2">
                    <c:v>72%</c:v>
                  </c:pt>
                  <c:pt idx="3">
                    <c:v>76%</c:v>
                  </c:pt>
                  <c:pt idx="4">
                    <c:v>72%</c:v>
                  </c:pt>
                  <c:pt idx="5">
                    <c:v>67%</c:v>
                  </c:pt>
                  <c:pt idx="6">
                    <c:v>73%</c:v>
                  </c:pt>
                  <c:pt idx="7">
                    <c:v>68%</c:v>
                  </c:pt>
                  <c:pt idx="8">
                    <c:v>42%</c:v>
                  </c:pt>
                  <c:pt idx="9">
                    <c:v>65%</c:v>
                  </c:pt>
                </c15:dlblRangeCache>
              </c15:datalabelsRange>
            </c:ext>
            <c:ext xmlns:c16="http://schemas.microsoft.com/office/drawing/2014/chart" uri="{C3380CC4-5D6E-409C-BE32-E72D297353CC}">
              <c16:uniqueId val="{0000000B-7D62-41F9-97C8-F191B8139C25}"/>
            </c:ext>
          </c:extLst>
        </c:ser>
        <c:dLbls>
          <c:showLegendKey val="0"/>
          <c:showVal val="0"/>
          <c:showCatName val="0"/>
          <c:showSerName val="0"/>
          <c:showPercent val="0"/>
          <c:showBubbleSize val="0"/>
        </c:dLbls>
        <c:gapWidth val="150"/>
        <c:overlap val="-40"/>
        <c:axId val="105921552"/>
        <c:axId val="105915568"/>
      </c:barChart>
      <c:catAx>
        <c:axId val="10592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ES"/>
          </a:p>
        </c:txPr>
        <c:crossAx val="105915568"/>
        <c:crosses val="autoZero"/>
        <c:auto val="1"/>
        <c:lblAlgn val="ctr"/>
        <c:lblOffset val="100"/>
        <c:noMultiLvlLbl val="0"/>
      </c:catAx>
      <c:valAx>
        <c:axId val="1059155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10592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 id="14">
  <a:schemeClr val="accent1"/>
</cs:colorStyle>
</file>

<file path=xl/charts/colors103.xml><?xml version="1.0" encoding="utf-8"?>
<cs:colorStyle xmlns:cs="http://schemas.microsoft.com/office/drawing/2012/chartStyle" xmlns:a="http://schemas.openxmlformats.org/drawingml/2006/main" meth="withinLinear" id="14">
  <a:schemeClr val="accent1"/>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withinLinear" id="15">
  <a:schemeClr val="accent2"/>
</cs:colorStyle>
</file>

<file path=xl/charts/colors108.xml><?xml version="1.0" encoding="utf-8"?>
<cs:colorStyle xmlns:cs="http://schemas.microsoft.com/office/drawing/2012/chartStyle" xmlns:a="http://schemas.openxmlformats.org/drawingml/2006/main" meth="withinLinear" id="15">
  <a:schemeClr val="accent2"/>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2">
  <a:schemeClr val="accent2"/>
</cs:colorStyle>
</file>

<file path=xl/charts/colors110.xml><?xml version="1.0" encoding="utf-8"?>
<cs:colorStyle xmlns:cs="http://schemas.microsoft.com/office/drawing/2012/chartStyle" xmlns:a="http://schemas.openxmlformats.org/drawingml/2006/main" meth="withinLinear" id="14">
  <a:schemeClr val="accent1"/>
</cs:colorStyle>
</file>

<file path=xl/charts/colors111.xml><?xml version="1.0" encoding="utf-8"?>
<cs:colorStyle xmlns:cs="http://schemas.microsoft.com/office/drawing/2012/chartStyle" xmlns:a="http://schemas.openxmlformats.org/drawingml/2006/main" meth="withinLinear" id="14">
  <a:schemeClr val="accent1"/>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20.xml><?xml version="1.0" encoding="utf-8"?>
<cs:colorStyle xmlns:cs="http://schemas.microsoft.com/office/drawing/2012/chartStyle" xmlns:a="http://schemas.openxmlformats.org/drawingml/2006/main" meth="withinLinear" id="19">
  <a:schemeClr val="accent6"/>
</cs:colorStyle>
</file>

<file path=xl/charts/colors121.xml><?xml version="1.0" encoding="utf-8"?>
<cs:colorStyle xmlns:cs="http://schemas.microsoft.com/office/drawing/2012/chartStyle" xmlns:a="http://schemas.openxmlformats.org/drawingml/2006/main" meth="withinLinear" id="19">
  <a:schemeClr val="accent6"/>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withinLinear" id="19">
  <a:schemeClr val="accent6"/>
</cs:colorStyle>
</file>

<file path=xl/charts/colors125.xml><?xml version="1.0" encoding="utf-8"?>
<cs:colorStyle xmlns:cs="http://schemas.microsoft.com/office/drawing/2012/chartStyle" xmlns:a="http://schemas.openxmlformats.org/drawingml/2006/main" meth="withinLinear" id="19">
  <a:schemeClr val="accent6"/>
</cs:colorStyle>
</file>

<file path=xl/charts/colors1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withinLinear" id="15">
  <a:schemeClr val="accent2"/>
</cs:colorStyle>
</file>

<file path=xl/charts/colors128.xml><?xml version="1.0" encoding="utf-8"?>
<cs:colorStyle xmlns:cs="http://schemas.microsoft.com/office/drawing/2012/chartStyle" xmlns:a="http://schemas.openxmlformats.org/drawingml/2006/main" meth="withinLinear" id="15">
  <a:schemeClr val="accent2"/>
</cs:colorStyle>
</file>

<file path=xl/charts/colors1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30.xml><?xml version="1.0" encoding="utf-8"?>
<cs:colorStyle xmlns:cs="http://schemas.microsoft.com/office/drawing/2012/chartStyle" xmlns:a="http://schemas.openxmlformats.org/drawingml/2006/main" meth="withinLinear" id="14">
  <a:schemeClr val="accent1"/>
</cs:colorStyle>
</file>

<file path=xl/charts/colors131.xml><?xml version="1.0" encoding="utf-8"?>
<cs:colorStyle xmlns:cs="http://schemas.microsoft.com/office/drawing/2012/chartStyle" xmlns:a="http://schemas.openxmlformats.org/drawingml/2006/main" meth="withinLinear" id="14">
  <a:schemeClr val="accent1"/>
</cs:colorStyle>
</file>

<file path=xl/charts/colors1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withinLinear" id="15">
  <a:schemeClr val="accent2"/>
</cs:colorStyle>
</file>

<file path=xl/charts/colors136.xml><?xml version="1.0" encoding="utf-8"?>
<cs:colorStyle xmlns:cs="http://schemas.microsoft.com/office/drawing/2012/chartStyle" xmlns:a="http://schemas.openxmlformats.org/drawingml/2006/main" meth="withinLinear" id="15">
  <a:schemeClr val="accent2"/>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Reversed" id="22">
  <a:schemeClr val="accent2"/>
</cs:colorStyle>
</file>

<file path=xl/charts/colors1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withinLinear" id="14">
  <a:schemeClr val="accent1"/>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withinLinear" id="19">
  <a:schemeClr val="accent6"/>
</cs:colorStyle>
</file>

<file path=xl/charts/colors146.xml><?xml version="1.0" encoding="utf-8"?>
<cs:colorStyle xmlns:cs="http://schemas.microsoft.com/office/drawing/2012/chartStyle" xmlns:a="http://schemas.openxmlformats.org/drawingml/2006/main" meth="withinLinear" id="19">
  <a:schemeClr val="accent6"/>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8">
  <a:schemeClr val="accent5"/>
</cs:colorStyle>
</file>

<file path=xl/charts/colors1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withinLinear" id="15">
  <a:schemeClr val="accent2"/>
</cs:colorStyle>
</file>

<file path=xl/charts/colors152.xml><?xml version="1.0" encoding="utf-8"?>
<cs:colorStyle xmlns:cs="http://schemas.microsoft.com/office/drawing/2012/chartStyle" xmlns:a="http://schemas.openxmlformats.org/drawingml/2006/main" meth="withinLinear" id="15">
  <a:schemeClr val="accent2"/>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withinLinear" id="14">
  <a:schemeClr val="accent1"/>
</cs:colorStyle>
</file>

<file path=xl/charts/colors156.xml><?xml version="1.0" encoding="utf-8"?>
<cs:colorStyle xmlns:cs="http://schemas.microsoft.com/office/drawing/2012/chartStyle" xmlns:a="http://schemas.openxmlformats.org/drawingml/2006/main" meth="withinLinear" id="14">
  <a:schemeClr val="accent1"/>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withinLinear" id="15">
  <a:schemeClr val="accent2"/>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withinLinear" id="14">
  <a:schemeClr val="accent1"/>
</cs:colorStyle>
</file>

<file path=xl/charts/colors1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withinLinear" id="19">
  <a:schemeClr val="accent6"/>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withinLinear" id="14">
  <a:schemeClr val="accent1"/>
</cs:colorStyle>
</file>

<file path=xl/charts/colors16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7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withinLinear" id="19">
  <a:schemeClr val="accent6"/>
</cs:colorStyle>
</file>

<file path=xl/charts/colors173.xml><?xml version="1.0" encoding="utf-8"?>
<cs:colorStyle xmlns:cs="http://schemas.microsoft.com/office/drawing/2012/chartStyle" xmlns:a="http://schemas.openxmlformats.org/drawingml/2006/main" meth="withinLinear" id="19">
  <a:schemeClr val="accent6"/>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withinLinear" id="19">
  <a:schemeClr val="accent6"/>
</cs:colorStyle>
</file>

<file path=xl/charts/colors177.xml><?xml version="1.0" encoding="utf-8"?>
<cs:colorStyle xmlns:cs="http://schemas.microsoft.com/office/drawing/2012/chartStyle" xmlns:a="http://schemas.openxmlformats.org/drawingml/2006/main" meth="withinLinear" id="19">
  <a:schemeClr val="accent6"/>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2">
  <a:schemeClr val="accent2"/>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5">
  <a:schemeClr val="accent5"/>
</cs:colorStyle>
</file>

<file path=xl/charts/colors19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8">
  <a:schemeClr val="accent5"/>
</cs:colorStyle>
</file>

<file path=xl/charts/colors20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2">
  <a:schemeClr val="accent2"/>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5">
  <a:schemeClr val="accent5"/>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withinLinearReversed" id="25">
  <a:schemeClr val="accent5"/>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2">
  <a:schemeClr val="accent2"/>
</cs:colorStyle>
</file>

<file path=xl/charts/colors31.xml><?xml version="1.0" encoding="utf-8"?>
<cs:colorStyle xmlns:cs="http://schemas.microsoft.com/office/drawing/2012/chartStyle" xmlns:a="http://schemas.openxmlformats.org/drawingml/2006/main" meth="withinLinearReversed" id="22">
  <a:schemeClr val="accent2"/>
</cs:colorStyle>
</file>

<file path=xl/charts/colors32.xml><?xml version="1.0" encoding="utf-8"?>
<cs:colorStyle xmlns:cs="http://schemas.microsoft.com/office/drawing/2012/chartStyle" xmlns:a="http://schemas.openxmlformats.org/drawingml/2006/main" meth="withinLinear" id="15">
  <a:schemeClr val="accent2"/>
</cs:colorStyle>
</file>

<file path=xl/charts/colors33.xml><?xml version="1.0" encoding="utf-8"?>
<cs:colorStyle xmlns:cs="http://schemas.microsoft.com/office/drawing/2012/chartStyle" xmlns:a="http://schemas.openxmlformats.org/drawingml/2006/main" meth="withinLinearReversed" id="25">
  <a:schemeClr val="accent5"/>
</cs:colorStyle>
</file>

<file path=xl/charts/colors34.xml><?xml version="1.0" encoding="utf-8"?>
<cs:colorStyle xmlns:cs="http://schemas.microsoft.com/office/drawing/2012/chartStyle" xmlns:a="http://schemas.openxmlformats.org/drawingml/2006/main" meth="withinLinearReversed" id="25">
  <a:schemeClr val="accent5"/>
</cs:colorStyle>
</file>

<file path=xl/charts/colors35.xml><?xml version="1.0" encoding="utf-8"?>
<cs:colorStyle xmlns:cs="http://schemas.microsoft.com/office/drawing/2012/chartStyle" xmlns:a="http://schemas.openxmlformats.org/drawingml/2006/main" meth="withinLinearReversed" id="22">
  <a:schemeClr val="accent2"/>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5">
  <a:schemeClr val="accent5"/>
</cs:colorStyle>
</file>

<file path=xl/charts/colors38.xml><?xml version="1.0" encoding="utf-8"?>
<cs:colorStyle xmlns:cs="http://schemas.microsoft.com/office/drawing/2012/chartStyle" xmlns:a="http://schemas.openxmlformats.org/drawingml/2006/main" meth="withinLinearReversed" id="22">
  <a:schemeClr val="accent2"/>
</cs:colorStyle>
</file>

<file path=xl/charts/colors39.xml><?xml version="1.0" encoding="utf-8"?>
<cs:colorStyle xmlns:cs="http://schemas.microsoft.com/office/drawing/2012/chartStyle" xmlns:a="http://schemas.openxmlformats.org/drawingml/2006/main" meth="withinLinearReversed" id="22">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Reversed" id="22">
  <a:schemeClr val="accent2"/>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9">
  <a:schemeClr val="accent6"/>
</cs:colorStyle>
</file>

<file path=xl/charts/colors45.xml><?xml version="1.0" encoding="utf-8"?>
<cs:colorStyle xmlns:cs="http://schemas.microsoft.com/office/drawing/2012/chartStyle" xmlns:a="http://schemas.openxmlformats.org/drawingml/2006/main" meth="withinLinear" id="19">
  <a:schemeClr val="accent6"/>
</cs:colorStyle>
</file>

<file path=xl/charts/colors46.xml><?xml version="1.0" encoding="utf-8"?>
<cs:colorStyle xmlns:cs="http://schemas.microsoft.com/office/drawing/2012/chartStyle" xmlns:a="http://schemas.openxmlformats.org/drawingml/2006/main" meth="withinLinear" id="19">
  <a:schemeClr val="accent6"/>
</cs:colorStyle>
</file>

<file path=xl/charts/colors47.xml><?xml version="1.0" encoding="utf-8"?>
<cs:colorStyle xmlns:cs="http://schemas.microsoft.com/office/drawing/2012/chartStyle" xmlns:a="http://schemas.openxmlformats.org/drawingml/2006/main" meth="withinLinear" id="19">
  <a:schemeClr val="accent6"/>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9">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9">
  <a:schemeClr val="accent6"/>
</cs:colorStyle>
</file>

<file path=xl/charts/colors51.xml><?xml version="1.0" encoding="utf-8"?>
<cs:colorStyle xmlns:cs="http://schemas.microsoft.com/office/drawing/2012/chartStyle" xmlns:a="http://schemas.openxmlformats.org/drawingml/2006/main" meth="withinLinear" id="19">
  <a:schemeClr val="accent6"/>
</cs:colorStyle>
</file>

<file path=xl/charts/colors52.xml><?xml version="1.0" encoding="utf-8"?>
<cs:colorStyle xmlns:cs="http://schemas.microsoft.com/office/drawing/2012/chartStyle" xmlns:a="http://schemas.openxmlformats.org/drawingml/2006/main" meth="withinLinear" id="19">
  <a:schemeClr val="accent6"/>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9">
  <a:schemeClr val="accent6"/>
</cs:colorStyle>
</file>

<file path=xl/charts/colors55.xml><?xml version="1.0" encoding="utf-8"?>
<cs:colorStyle xmlns:cs="http://schemas.microsoft.com/office/drawing/2012/chartStyle" xmlns:a="http://schemas.openxmlformats.org/drawingml/2006/main" meth="withinLinear" id="19">
  <a:schemeClr val="accent6"/>
</cs:colorStyle>
</file>

<file path=xl/charts/colors56.xml><?xml version="1.0" encoding="utf-8"?>
<cs:colorStyle xmlns:cs="http://schemas.microsoft.com/office/drawing/2012/chartStyle" xmlns:a="http://schemas.openxmlformats.org/drawingml/2006/main" meth="withinLinear" id="19">
  <a:schemeClr val="accent6"/>
</cs:colorStyle>
</file>

<file path=xl/charts/colors57.xml><?xml version="1.0" encoding="utf-8"?>
<cs:colorStyle xmlns:cs="http://schemas.microsoft.com/office/drawing/2012/chartStyle" xmlns:a="http://schemas.openxmlformats.org/drawingml/2006/main" meth="withinLinear" id="19">
  <a:schemeClr val="accent6"/>
</cs:colorStyle>
</file>

<file path=xl/charts/colors58.xml><?xml version="1.0" encoding="utf-8"?>
<cs:colorStyle xmlns:cs="http://schemas.microsoft.com/office/drawing/2012/chartStyle" xmlns:a="http://schemas.openxmlformats.org/drawingml/2006/main" meth="withinLinear" id="19">
  <a:schemeClr val="accent6"/>
</cs:colorStyle>
</file>

<file path=xl/charts/colors59.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9">
  <a:schemeClr val="accent6"/>
</cs:colorStyle>
</file>

<file path=xl/charts/colors6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9">
  <a:schemeClr val="accent6"/>
</cs:colorStyle>
</file>

<file path=xl/charts/colors63.xml><?xml version="1.0" encoding="utf-8"?>
<cs:colorStyle xmlns:cs="http://schemas.microsoft.com/office/drawing/2012/chartStyle" xmlns:a="http://schemas.openxmlformats.org/drawingml/2006/main" meth="withinLinear" id="19">
  <a:schemeClr val="accent6"/>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9">
  <a:schemeClr val="accent6"/>
</cs:colorStyle>
</file>

<file path=xl/charts/colors67.xml><?xml version="1.0" encoding="utf-8"?>
<cs:colorStyle xmlns:cs="http://schemas.microsoft.com/office/drawing/2012/chartStyle" xmlns:a="http://schemas.openxmlformats.org/drawingml/2006/main" meth="withinLinear" id="19">
  <a:schemeClr val="accent6"/>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withinLinear" id="15">
  <a:schemeClr val="accent2"/>
</cs:colorStyle>
</file>

<file path=xl/charts/colors7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 id="14">
  <a:schemeClr val="accent1"/>
</cs:colorStyle>
</file>

<file path=xl/charts/colors74.xml><?xml version="1.0" encoding="utf-8"?>
<cs:colorStyle xmlns:cs="http://schemas.microsoft.com/office/drawing/2012/chartStyle" xmlns:a="http://schemas.openxmlformats.org/drawingml/2006/main" meth="withinLinear" id="14">
  <a:schemeClr val="accent1"/>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5">
  <a:schemeClr val="accent2"/>
</cs:colorStyle>
</file>

<file path=xl/charts/colors79.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 id="14">
  <a:schemeClr val="accent1"/>
</cs:colorStyle>
</file>

<file path=xl/charts/colors84.xml><?xml version="1.0" encoding="utf-8"?>
<cs:colorStyle xmlns:cs="http://schemas.microsoft.com/office/drawing/2012/chartStyle" xmlns:a="http://schemas.openxmlformats.org/drawingml/2006/main" meth="withinLinear" id="14">
  <a:schemeClr val="accent1"/>
</cs:colorStyle>
</file>

<file path=xl/charts/colors8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9">
  <a:schemeClr val="accent6"/>
</cs:colorStyle>
</file>

<file path=xl/charts/colors91.xml><?xml version="1.0" encoding="utf-8"?>
<cs:colorStyle xmlns:cs="http://schemas.microsoft.com/office/drawing/2012/chartStyle" xmlns:a="http://schemas.openxmlformats.org/drawingml/2006/main" meth="withinLinear" id="19">
  <a:schemeClr val="accent6"/>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withinLinear" id="19">
  <a:schemeClr val="accent6"/>
</cs:colorStyle>
</file>

<file path=xl/charts/colors95.xml><?xml version="1.0" encoding="utf-8"?>
<cs:colorStyle xmlns:cs="http://schemas.microsoft.com/office/drawing/2012/chartStyle" xmlns:a="http://schemas.openxmlformats.org/drawingml/2006/main" meth="withinLinear" id="19">
  <a:schemeClr val="accent6"/>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 id="15">
  <a:schemeClr val="accent2"/>
</cs:colorStyle>
</file>

<file path=xl/charts/colors9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1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8.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5" Type="http://schemas.openxmlformats.org/officeDocument/2006/relationships/chart" Target="../charts/chart48.xml"/><Relationship Id="rId4" Type="http://schemas.openxmlformats.org/officeDocument/2006/relationships/chart" Target="../charts/chart4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6.xml"/><Relationship Id="rId13" Type="http://schemas.openxmlformats.org/officeDocument/2006/relationships/chart" Target="../charts/chart101.xml"/><Relationship Id="rId18" Type="http://schemas.openxmlformats.org/officeDocument/2006/relationships/chart" Target="../charts/chart106.xml"/><Relationship Id="rId26" Type="http://schemas.openxmlformats.org/officeDocument/2006/relationships/chart" Target="../charts/chart114.xml"/><Relationship Id="rId3" Type="http://schemas.openxmlformats.org/officeDocument/2006/relationships/chart" Target="../charts/chart91.xml"/><Relationship Id="rId21" Type="http://schemas.openxmlformats.org/officeDocument/2006/relationships/chart" Target="../charts/chart109.xml"/><Relationship Id="rId7" Type="http://schemas.openxmlformats.org/officeDocument/2006/relationships/chart" Target="../charts/chart95.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2" Type="http://schemas.openxmlformats.org/officeDocument/2006/relationships/chart" Target="../charts/chart90.xml"/><Relationship Id="rId16" Type="http://schemas.openxmlformats.org/officeDocument/2006/relationships/chart" Target="../charts/chart104.xml"/><Relationship Id="rId20" Type="http://schemas.openxmlformats.org/officeDocument/2006/relationships/chart" Target="../charts/chart108.xml"/><Relationship Id="rId29" Type="http://schemas.openxmlformats.org/officeDocument/2006/relationships/chart" Target="../charts/chart117.xml"/><Relationship Id="rId1" Type="http://schemas.openxmlformats.org/officeDocument/2006/relationships/chart" Target="../charts/chart89.xml"/><Relationship Id="rId6" Type="http://schemas.openxmlformats.org/officeDocument/2006/relationships/chart" Target="../charts/chart94.xml"/><Relationship Id="rId11" Type="http://schemas.openxmlformats.org/officeDocument/2006/relationships/chart" Target="../charts/chart99.xml"/><Relationship Id="rId24" Type="http://schemas.openxmlformats.org/officeDocument/2006/relationships/chart" Target="../charts/chart112.xml"/><Relationship Id="rId5" Type="http://schemas.openxmlformats.org/officeDocument/2006/relationships/chart" Target="../charts/chart93.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10" Type="http://schemas.openxmlformats.org/officeDocument/2006/relationships/chart" Target="../charts/chart98.xml"/><Relationship Id="rId19" Type="http://schemas.openxmlformats.org/officeDocument/2006/relationships/chart" Target="../charts/chart107.xml"/><Relationship Id="rId4" Type="http://schemas.openxmlformats.org/officeDocument/2006/relationships/chart" Target="../charts/chart92.xml"/><Relationship Id="rId9" Type="http://schemas.openxmlformats.org/officeDocument/2006/relationships/chart" Target="../charts/chart9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26.xml"/><Relationship Id="rId13" Type="http://schemas.openxmlformats.org/officeDocument/2006/relationships/chart" Target="../charts/chart131.xml"/><Relationship Id="rId18" Type="http://schemas.openxmlformats.org/officeDocument/2006/relationships/chart" Target="../charts/chart136.xml"/><Relationship Id="rId3" Type="http://schemas.openxmlformats.org/officeDocument/2006/relationships/chart" Target="../charts/chart121.xml"/><Relationship Id="rId21" Type="http://schemas.openxmlformats.org/officeDocument/2006/relationships/chart" Target="../charts/chart139.xml"/><Relationship Id="rId7" Type="http://schemas.openxmlformats.org/officeDocument/2006/relationships/chart" Target="../charts/chart125.xml"/><Relationship Id="rId12" Type="http://schemas.openxmlformats.org/officeDocument/2006/relationships/chart" Target="../charts/chart130.xml"/><Relationship Id="rId17" Type="http://schemas.openxmlformats.org/officeDocument/2006/relationships/chart" Target="../charts/chart135.xml"/><Relationship Id="rId25" Type="http://schemas.openxmlformats.org/officeDocument/2006/relationships/chart" Target="../charts/chart143.xml"/><Relationship Id="rId2" Type="http://schemas.openxmlformats.org/officeDocument/2006/relationships/chart" Target="../charts/chart120.xml"/><Relationship Id="rId16" Type="http://schemas.openxmlformats.org/officeDocument/2006/relationships/chart" Target="../charts/chart134.xml"/><Relationship Id="rId20" Type="http://schemas.openxmlformats.org/officeDocument/2006/relationships/chart" Target="../charts/chart138.xml"/><Relationship Id="rId1" Type="http://schemas.openxmlformats.org/officeDocument/2006/relationships/chart" Target="../charts/chart119.xml"/><Relationship Id="rId6" Type="http://schemas.openxmlformats.org/officeDocument/2006/relationships/chart" Target="../charts/chart124.xml"/><Relationship Id="rId11" Type="http://schemas.openxmlformats.org/officeDocument/2006/relationships/chart" Target="../charts/chart129.xml"/><Relationship Id="rId24" Type="http://schemas.openxmlformats.org/officeDocument/2006/relationships/chart" Target="../charts/chart142.xml"/><Relationship Id="rId5" Type="http://schemas.openxmlformats.org/officeDocument/2006/relationships/chart" Target="../charts/chart123.xml"/><Relationship Id="rId15" Type="http://schemas.openxmlformats.org/officeDocument/2006/relationships/chart" Target="../charts/chart133.xml"/><Relationship Id="rId23" Type="http://schemas.openxmlformats.org/officeDocument/2006/relationships/chart" Target="../charts/chart141.xml"/><Relationship Id="rId10" Type="http://schemas.openxmlformats.org/officeDocument/2006/relationships/chart" Target="../charts/chart128.xml"/><Relationship Id="rId19" Type="http://schemas.openxmlformats.org/officeDocument/2006/relationships/chart" Target="../charts/chart137.xml"/><Relationship Id="rId4" Type="http://schemas.openxmlformats.org/officeDocument/2006/relationships/chart" Target="../charts/chart122.xml"/><Relationship Id="rId9" Type="http://schemas.openxmlformats.org/officeDocument/2006/relationships/chart" Target="../charts/chart127.xml"/><Relationship Id="rId14" Type="http://schemas.openxmlformats.org/officeDocument/2006/relationships/chart" Target="../charts/chart132.xml"/><Relationship Id="rId22" Type="http://schemas.openxmlformats.org/officeDocument/2006/relationships/chart" Target="../charts/chart14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51.xml"/><Relationship Id="rId13" Type="http://schemas.openxmlformats.org/officeDocument/2006/relationships/chart" Target="../charts/chart156.xml"/><Relationship Id="rId18" Type="http://schemas.openxmlformats.org/officeDocument/2006/relationships/chart" Target="../charts/chart161.xml"/><Relationship Id="rId26" Type="http://schemas.openxmlformats.org/officeDocument/2006/relationships/chart" Target="../charts/chart169.xml"/><Relationship Id="rId3" Type="http://schemas.openxmlformats.org/officeDocument/2006/relationships/chart" Target="../charts/chart146.xml"/><Relationship Id="rId21" Type="http://schemas.openxmlformats.org/officeDocument/2006/relationships/chart" Target="../charts/chart164.xml"/><Relationship Id="rId7" Type="http://schemas.openxmlformats.org/officeDocument/2006/relationships/chart" Target="../charts/chart150.xml"/><Relationship Id="rId12" Type="http://schemas.openxmlformats.org/officeDocument/2006/relationships/chart" Target="../charts/chart155.xml"/><Relationship Id="rId17" Type="http://schemas.openxmlformats.org/officeDocument/2006/relationships/chart" Target="../charts/chart160.xml"/><Relationship Id="rId25" Type="http://schemas.openxmlformats.org/officeDocument/2006/relationships/chart" Target="../charts/chart168.xml"/><Relationship Id="rId2" Type="http://schemas.openxmlformats.org/officeDocument/2006/relationships/chart" Target="../charts/chart145.xml"/><Relationship Id="rId16" Type="http://schemas.openxmlformats.org/officeDocument/2006/relationships/chart" Target="../charts/chart159.xml"/><Relationship Id="rId20" Type="http://schemas.openxmlformats.org/officeDocument/2006/relationships/chart" Target="../charts/chart163.xml"/><Relationship Id="rId1" Type="http://schemas.openxmlformats.org/officeDocument/2006/relationships/chart" Target="../charts/chart144.xml"/><Relationship Id="rId6" Type="http://schemas.openxmlformats.org/officeDocument/2006/relationships/chart" Target="../charts/chart149.xml"/><Relationship Id="rId11" Type="http://schemas.openxmlformats.org/officeDocument/2006/relationships/chart" Target="../charts/chart154.xml"/><Relationship Id="rId24" Type="http://schemas.openxmlformats.org/officeDocument/2006/relationships/chart" Target="../charts/chart167.xml"/><Relationship Id="rId5" Type="http://schemas.openxmlformats.org/officeDocument/2006/relationships/chart" Target="../charts/chart148.xml"/><Relationship Id="rId15" Type="http://schemas.openxmlformats.org/officeDocument/2006/relationships/chart" Target="../charts/chart158.xml"/><Relationship Id="rId23" Type="http://schemas.openxmlformats.org/officeDocument/2006/relationships/chart" Target="../charts/chart166.xml"/><Relationship Id="rId10" Type="http://schemas.openxmlformats.org/officeDocument/2006/relationships/chart" Target="../charts/chart153.xml"/><Relationship Id="rId19" Type="http://schemas.openxmlformats.org/officeDocument/2006/relationships/chart" Target="../charts/chart162.xml"/><Relationship Id="rId4" Type="http://schemas.openxmlformats.org/officeDocument/2006/relationships/chart" Target="../charts/chart147.xml"/><Relationship Id="rId9" Type="http://schemas.openxmlformats.org/officeDocument/2006/relationships/chart" Target="../charts/chart152.xml"/><Relationship Id="rId14" Type="http://schemas.openxmlformats.org/officeDocument/2006/relationships/chart" Target="../charts/chart157.xml"/><Relationship Id="rId22" Type="http://schemas.openxmlformats.org/officeDocument/2006/relationships/chart" Target="../charts/chart165.xml"/><Relationship Id="rId27" Type="http://schemas.openxmlformats.org/officeDocument/2006/relationships/chart" Target="../charts/chart17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 Id="rId4" Type="http://schemas.openxmlformats.org/officeDocument/2006/relationships/chart" Target="../charts/chart17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4" Type="http://schemas.openxmlformats.org/officeDocument/2006/relationships/chart" Target="../charts/chart17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 Id="rId4" Type="http://schemas.openxmlformats.org/officeDocument/2006/relationships/chart" Target="../charts/chart18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 Id="rId4" Type="http://schemas.openxmlformats.org/officeDocument/2006/relationships/chart" Target="../charts/chart205.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08.xml"/><Relationship Id="rId2" Type="http://schemas.openxmlformats.org/officeDocument/2006/relationships/chart" Target="../charts/chart207.xml"/><Relationship Id="rId1" Type="http://schemas.openxmlformats.org/officeDocument/2006/relationships/chart" Target="../charts/chart206.xml"/><Relationship Id="rId4" Type="http://schemas.openxmlformats.org/officeDocument/2006/relationships/chart" Target="../charts/chart20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13</xdr:col>
      <xdr:colOff>38100</xdr:colOff>
      <xdr:row>3</xdr:row>
      <xdr:rowOff>170105</xdr:rowOff>
    </xdr:from>
    <xdr:to>
      <xdr:col>18</xdr:col>
      <xdr:colOff>586740</xdr:colOff>
      <xdr:row>18</xdr:row>
      <xdr:rowOff>170105</xdr:rowOff>
    </xdr:to>
    <xdr:graphicFrame macro="">
      <xdr:nvGraphicFramePr>
        <xdr:cNvPr id="2" name="Gráfico 1">
          <a:extLst>
            <a:ext uri="{FF2B5EF4-FFF2-40B4-BE49-F238E27FC236}">
              <a16:creationId xmlns:a16="http://schemas.microsoft.com/office/drawing/2014/main" id="{EBBC3FBA-A7E0-588F-0F85-DB9C7FFAD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7620</xdr:colOff>
      <xdr:row>3</xdr:row>
      <xdr:rowOff>3809</xdr:rowOff>
    </xdr:from>
    <xdr:to>
      <xdr:col>28</xdr:col>
      <xdr:colOff>17930</xdr:colOff>
      <xdr:row>20</xdr:row>
      <xdr:rowOff>107576</xdr:rowOff>
    </xdr:to>
    <xdr:graphicFrame macro="">
      <xdr:nvGraphicFramePr>
        <xdr:cNvPr id="3" name="Gráfico 2">
          <a:extLst>
            <a:ext uri="{FF2B5EF4-FFF2-40B4-BE49-F238E27FC236}">
              <a16:creationId xmlns:a16="http://schemas.microsoft.com/office/drawing/2014/main" id="{3119D42F-621A-58BB-A8AC-077BC53FD3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775445</xdr:colOff>
      <xdr:row>20</xdr:row>
      <xdr:rowOff>179293</xdr:rowOff>
    </xdr:from>
    <xdr:to>
      <xdr:col>27</xdr:col>
      <xdr:colOff>788892</xdr:colOff>
      <xdr:row>38</xdr:row>
      <xdr:rowOff>17929</xdr:rowOff>
    </xdr:to>
    <xdr:graphicFrame macro="">
      <xdr:nvGraphicFramePr>
        <xdr:cNvPr id="4" name="Gráfico 3">
          <a:extLst>
            <a:ext uri="{FF2B5EF4-FFF2-40B4-BE49-F238E27FC236}">
              <a16:creationId xmlns:a16="http://schemas.microsoft.com/office/drawing/2014/main" id="{3404E7C8-9688-F56B-187E-F216ED10BD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165846</xdr:colOff>
      <xdr:row>3</xdr:row>
      <xdr:rowOff>8965</xdr:rowOff>
    </xdr:from>
    <xdr:to>
      <xdr:col>36</xdr:col>
      <xdr:colOff>8964</xdr:colOff>
      <xdr:row>23</xdr:row>
      <xdr:rowOff>8964</xdr:rowOff>
    </xdr:to>
    <xdr:graphicFrame macro="">
      <xdr:nvGraphicFramePr>
        <xdr:cNvPr id="5" name="Gráfico 4">
          <a:extLst>
            <a:ext uri="{FF2B5EF4-FFF2-40B4-BE49-F238E27FC236}">
              <a16:creationId xmlns:a16="http://schemas.microsoft.com/office/drawing/2014/main" id="{9FE6D7B6-687B-6F0F-944C-414B68733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163286</xdr:colOff>
      <xdr:row>23</xdr:row>
      <xdr:rowOff>174171</xdr:rowOff>
    </xdr:from>
    <xdr:to>
      <xdr:col>36</xdr:col>
      <xdr:colOff>6404</xdr:colOff>
      <xdr:row>42</xdr:row>
      <xdr:rowOff>130628</xdr:rowOff>
    </xdr:to>
    <xdr:graphicFrame macro="">
      <xdr:nvGraphicFramePr>
        <xdr:cNvPr id="7" name="Gráfico 6">
          <a:extLst>
            <a:ext uri="{FF2B5EF4-FFF2-40B4-BE49-F238E27FC236}">
              <a16:creationId xmlns:a16="http://schemas.microsoft.com/office/drawing/2014/main" id="{A99D66C0-2FDA-432A-A0F7-2D483E48E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766483</xdr:colOff>
      <xdr:row>55</xdr:row>
      <xdr:rowOff>170330</xdr:rowOff>
    </xdr:from>
    <xdr:to>
      <xdr:col>13</xdr:col>
      <xdr:colOff>183777</xdr:colOff>
      <xdr:row>69</xdr:row>
      <xdr:rowOff>8965</xdr:rowOff>
    </xdr:to>
    <xdr:graphicFrame macro="">
      <xdr:nvGraphicFramePr>
        <xdr:cNvPr id="8" name="Gráfico 7">
          <a:extLst>
            <a:ext uri="{FF2B5EF4-FFF2-40B4-BE49-F238E27FC236}">
              <a16:creationId xmlns:a16="http://schemas.microsoft.com/office/drawing/2014/main" id="{91D9F90A-A2DB-CC4E-0792-A9A22A6F76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699254</xdr:colOff>
      <xdr:row>55</xdr:row>
      <xdr:rowOff>161364</xdr:rowOff>
    </xdr:from>
    <xdr:to>
      <xdr:col>19</xdr:col>
      <xdr:colOff>466172</xdr:colOff>
      <xdr:row>69</xdr:row>
      <xdr:rowOff>-1</xdr:rowOff>
    </xdr:to>
    <xdr:graphicFrame macro="">
      <xdr:nvGraphicFramePr>
        <xdr:cNvPr id="9" name="Gráfico 8">
          <a:extLst>
            <a:ext uri="{FF2B5EF4-FFF2-40B4-BE49-F238E27FC236}">
              <a16:creationId xmlns:a16="http://schemas.microsoft.com/office/drawing/2014/main" id="{DA5310FD-EC0C-EDC6-D472-5615E76FA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4481</xdr:colOff>
      <xdr:row>38</xdr:row>
      <xdr:rowOff>152401</xdr:rowOff>
    </xdr:from>
    <xdr:to>
      <xdr:col>27</xdr:col>
      <xdr:colOff>761999</xdr:colOff>
      <xdr:row>56</xdr:row>
      <xdr:rowOff>53788</xdr:rowOff>
    </xdr:to>
    <xdr:graphicFrame macro="">
      <xdr:nvGraphicFramePr>
        <xdr:cNvPr id="10" name="Gráfico 9">
          <a:extLst>
            <a:ext uri="{FF2B5EF4-FFF2-40B4-BE49-F238E27FC236}">
              <a16:creationId xmlns:a16="http://schemas.microsoft.com/office/drawing/2014/main" id="{A200BFDB-7D01-5D32-5A45-2D44C3FFA4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22412</xdr:colOff>
      <xdr:row>72</xdr:row>
      <xdr:rowOff>161363</xdr:rowOff>
    </xdr:from>
    <xdr:to>
      <xdr:col>13</xdr:col>
      <xdr:colOff>228600</xdr:colOff>
      <xdr:row>89</xdr:row>
      <xdr:rowOff>152400</xdr:rowOff>
    </xdr:to>
    <xdr:graphicFrame macro="">
      <xdr:nvGraphicFramePr>
        <xdr:cNvPr id="11" name="Gráfico 10">
          <a:extLst>
            <a:ext uri="{FF2B5EF4-FFF2-40B4-BE49-F238E27FC236}">
              <a16:creationId xmlns:a16="http://schemas.microsoft.com/office/drawing/2014/main" id="{68EA0EF4-1FD6-6CAF-DD3A-3DD4638148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0.00452</cdr:x>
      <cdr:y>0.82802</cdr:y>
    </cdr:from>
    <cdr:to>
      <cdr:x>0.33699</cdr:x>
      <cdr:y>0.98573</cdr:y>
    </cdr:to>
    <cdr:grpSp>
      <cdr:nvGrpSpPr>
        <cdr:cNvPr id="2" name="Grupo 1">
          <a:extLst xmlns:a="http://schemas.openxmlformats.org/drawingml/2006/main">
            <a:ext uri="{FF2B5EF4-FFF2-40B4-BE49-F238E27FC236}">
              <a16:creationId xmlns:a16="http://schemas.microsoft.com/office/drawing/2014/main" id="{65CDFEF2-2F0C-E984-7324-B13D1BD0577E}"/>
            </a:ext>
          </a:extLst>
        </cdr:cNvPr>
        <cdr:cNvGrpSpPr/>
      </cdr:nvGrpSpPr>
      <cdr:grpSpPr>
        <a:xfrm xmlns:a="http://schemas.openxmlformats.org/drawingml/2006/main">
          <a:off x="23129" y="2058366"/>
          <a:ext cx="1701251" cy="392049"/>
          <a:chOff x="0" y="0"/>
          <a:chExt cx="1746420" cy="266720"/>
        </a:xfrm>
      </cdr:grpSpPr>
      <cdr:sp macro="" textlink="">
        <cdr:nvSpPr>
          <cdr:cNvPr id="3" name="CuadroTexto 20">
            <a:extLst xmlns:a="http://schemas.openxmlformats.org/drawingml/2006/main">
              <a:ext uri="{FF2B5EF4-FFF2-40B4-BE49-F238E27FC236}">
                <a16:creationId xmlns:a16="http://schemas.microsoft.com/office/drawing/2014/main" id="{95ACC4B2-A80B-2210-A488-71A2B654B4D7}"/>
              </a:ext>
            </a:extLst>
          </cdr:cNvPr>
          <cdr:cNvSpPr txBox="1"/>
        </cdr:nvSpPr>
        <cdr:spPr>
          <a:xfrm xmlns:a="http://schemas.openxmlformats.org/drawingml/2006/main">
            <a:off x="104264" y="31752"/>
            <a:ext cx="1642156" cy="1841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4" name="Elipse 3">
            <a:extLst xmlns:a="http://schemas.openxmlformats.org/drawingml/2006/main">
              <a:ext uri="{FF2B5EF4-FFF2-40B4-BE49-F238E27FC236}">
                <a16:creationId xmlns:a16="http://schemas.microsoft.com/office/drawing/2014/main" id="{F00F700C-6BBF-7E30-FD36-C7E92E5A906D}"/>
              </a:ext>
            </a:extLst>
          </cdr:cNvPr>
          <cdr:cNvSpPr/>
        </cdr:nvSpPr>
        <cdr:spPr>
          <a:xfrm xmlns:a="http://schemas.openxmlformats.org/drawingml/2006/main">
            <a:off x="0" y="0"/>
            <a:ext cx="1531375" cy="26672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0.66634</cdr:x>
      <cdr:y>0.4672</cdr:y>
    </cdr:from>
    <cdr:to>
      <cdr:x>0.8529</cdr:x>
      <cdr:y>0.6398</cdr:y>
    </cdr:to>
    <cdr:sp macro="" textlink="">
      <cdr:nvSpPr>
        <cdr:cNvPr id="5" name="Elipse 4">
          <a:extLst xmlns:a="http://schemas.openxmlformats.org/drawingml/2006/main">
            <a:ext uri="{FF2B5EF4-FFF2-40B4-BE49-F238E27FC236}">
              <a16:creationId xmlns:a16="http://schemas.microsoft.com/office/drawing/2014/main" id="{9BC3C914-6C21-E5E8-C405-B99F51DBE8E0}"/>
            </a:ext>
          </a:extLst>
        </cdr:cNvPr>
        <cdr:cNvSpPr/>
      </cdr:nvSpPr>
      <cdr:spPr>
        <a:xfrm xmlns:a="http://schemas.openxmlformats.org/drawingml/2006/main">
          <a:off x="3479799" y="1139371"/>
          <a:ext cx="974271" cy="420915"/>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556559</xdr:colOff>
      <xdr:row>17</xdr:row>
      <xdr:rowOff>30256</xdr:rowOff>
    </xdr:from>
    <xdr:to>
      <xdr:col>14</xdr:col>
      <xdr:colOff>1079500</xdr:colOff>
      <xdr:row>30</xdr:row>
      <xdr:rowOff>31750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685800</xdr:colOff>
      <xdr:row>17</xdr:row>
      <xdr:rowOff>0</xdr:rowOff>
    </xdr:from>
    <xdr:to>
      <xdr:col>21</xdr:col>
      <xdr:colOff>671513</xdr:colOff>
      <xdr:row>32</xdr:row>
      <xdr:rowOff>19050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20730</xdr:colOff>
      <xdr:row>19</xdr:row>
      <xdr:rowOff>80122</xdr:rowOff>
    </xdr:from>
    <xdr:to>
      <xdr:col>28</xdr:col>
      <xdr:colOff>20730</xdr:colOff>
      <xdr:row>33</xdr:row>
      <xdr:rowOff>158003</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54</xdr:row>
      <xdr:rowOff>0</xdr:rowOff>
    </xdr:from>
    <xdr:to>
      <xdr:col>15</xdr:col>
      <xdr:colOff>812427</xdr:colOff>
      <xdr:row>68</xdr:row>
      <xdr:rowOff>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470647</xdr:colOff>
      <xdr:row>54</xdr:row>
      <xdr:rowOff>0</xdr:rowOff>
    </xdr:from>
    <xdr:to>
      <xdr:col>23</xdr:col>
      <xdr:colOff>127747</xdr:colOff>
      <xdr:row>68</xdr:row>
      <xdr:rowOff>123825</xdr:rowOff>
    </xdr:to>
    <xdr:graphicFrame macro="">
      <xdr:nvGraphicFramePr>
        <xdr:cNvPr id="6" name="Gráfico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552450</xdr:colOff>
      <xdr:row>30</xdr:row>
      <xdr:rowOff>114300</xdr:rowOff>
    </xdr:from>
    <xdr:to>
      <xdr:col>14</xdr:col>
      <xdr:colOff>889000</xdr:colOff>
      <xdr:row>43</xdr:row>
      <xdr:rowOff>0</xdr:rowOff>
    </xdr:to>
    <xdr:graphicFrame macro="">
      <xdr:nvGraphicFramePr>
        <xdr:cNvPr id="7" name="Gráfico 6">
          <a:extLst>
            <a:ext uri="{FF2B5EF4-FFF2-40B4-BE49-F238E27FC236}">
              <a16:creationId xmlns:a16="http://schemas.microsoft.com/office/drawing/2014/main" id="{AAC9286C-8DD3-44BC-B7BB-AB6EE9BFDC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476250</xdr:colOff>
      <xdr:row>6</xdr:row>
      <xdr:rowOff>0</xdr:rowOff>
    </xdr:from>
    <xdr:to>
      <xdr:col>28</xdr:col>
      <xdr:colOff>158750</xdr:colOff>
      <xdr:row>18</xdr:row>
      <xdr:rowOff>122891</xdr:rowOff>
    </xdr:to>
    <xdr:graphicFrame macro="">
      <xdr:nvGraphicFramePr>
        <xdr:cNvPr id="10" name="Gráfico 9">
          <a:extLst>
            <a:ext uri="{FF2B5EF4-FFF2-40B4-BE49-F238E27FC236}">
              <a16:creationId xmlns:a16="http://schemas.microsoft.com/office/drawing/2014/main" id="{01B51D18-1F95-4774-A0CF-4FE60B755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70</xdr:row>
      <xdr:rowOff>0</xdr:rowOff>
    </xdr:from>
    <xdr:to>
      <xdr:col>15</xdr:col>
      <xdr:colOff>812427</xdr:colOff>
      <xdr:row>84</xdr:row>
      <xdr:rowOff>0</xdr:rowOff>
    </xdr:to>
    <xdr:graphicFrame macro="">
      <xdr:nvGraphicFramePr>
        <xdr:cNvPr id="12" name="Gráfico 11">
          <a:extLst>
            <a:ext uri="{FF2B5EF4-FFF2-40B4-BE49-F238E27FC236}">
              <a16:creationId xmlns:a16="http://schemas.microsoft.com/office/drawing/2014/main" id="{8F119F5A-3D2A-43E2-84B0-449175DAC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0.00133</cdr:x>
      <cdr:y>0.85278</cdr:y>
    </cdr:from>
    <cdr:to>
      <cdr:x>0.36804</cdr:x>
      <cdr:y>0.96945</cdr:y>
    </cdr:to>
    <cdr:grpSp>
      <cdr:nvGrpSpPr>
        <cdr:cNvPr id="2" name="Grupo 1">
          <a:extLst xmlns:a="http://schemas.openxmlformats.org/drawingml/2006/main">
            <a:ext uri="{FF2B5EF4-FFF2-40B4-BE49-F238E27FC236}">
              <a16:creationId xmlns:a16="http://schemas.microsoft.com/office/drawing/2014/main" id="{14169D68-9E40-8A83-0AFB-926969C63809}"/>
            </a:ext>
          </a:extLst>
        </cdr:cNvPr>
        <cdr:cNvGrpSpPr/>
      </cdr:nvGrpSpPr>
      <cdr:grpSpPr>
        <a:xfrm xmlns:a="http://schemas.openxmlformats.org/drawingml/2006/main">
          <a:off x="6413" y="1963379"/>
          <a:ext cx="1768079" cy="268613"/>
          <a:chOff x="0" y="0"/>
          <a:chExt cx="1756628" cy="184957"/>
        </a:xfrm>
      </cdr:grpSpPr>
      <cdr:sp macro="" textlink="">
        <cdr:nvSpPr>
          <cdr:cNvPr id="3" name="CuadroTexto 20">
            <a:extLst xmlns:a="http://schemas.openxmlformats.org/drawingml/2006/main">
              <a:ext uri="{FF2B5EF4-FFF2-40B4-BE49-F238E27FC236}">
                <a16:creationId xmlns:a16="http://schemas.microsoft.com/office/drawing/2014/main" id="{E4B034FA-2511-B08A-C0A3-D4469B7F46CB}"/>
              </a:ext>
            </a:extLst>
          </cdr:cNvPr>
          <cdr:cNvSpPr txBox="1"/>
        </cdr:nvSpPr>
        <cdr:spPr>
          <a:xfrm xmlns:a="http://schemas.openxmlformats.org/drawingml/2006/main">
            <a:off x="104873" y="22018"/>
            <a:ext cx="1651755" cy="1277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4" name="Elipse 3">
            <a:extLst xmlns:a="http://schemas.openxmlformats.org/drawingml/2006/main">
              <a:ext uri="{FF2B5EF4-FFF2-40B4-BE49-F238E27FC236}">
                <a16:creationId xmlns:a16="http://schemas.microsoft.com/office/drawing/2014/main" id="{C949543E-1583-A4CF-5AA8-0A2FB3C01791}"/>
              </a:ext>
            </a:extLst>
          </cdr:cNvPr>
          <cdr:cNvSpPr/>
        </cdr:nvSpPr>
        <cdr:spPr>
          <a:xfrm xmlns:a="http://schemas.openxmlformats.org/drawingml/2006/main">
            <a:off x="0" y="0"/>
            <a:ext cx="1540326" cy="184957"/>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0.15467</cdr:x>
      <cdr:y>0.25556</cdr:y>
    </cdr:from>
    <cdr:to>
      <cdr:x>0.28267</cdr:x>
      <cdr:y>0.43968</cdr:y>
    </cdr:to>
    <cdr:sp macro="" textlink="">
      <cdr:nvSpPr>
        <cdr:cNvPr id="5" name="Elipse 4">
          <a:extLst xmlns:a="http://schemas.openxmlformats.org/drawingml/2006/main">
            <a:ext uri="{FF2B5EF4-FFF2-40B4-BE49-F238E27FC236}">
              <a16:creationId xmlns:a16="http://schemas.microsoft.com/office/drawing/2014/main" id="{6EAEE136-398E-D081-CC41-201CFB30AB4E}"/>
            </a:ext>
          </a:extLst>
        </cdr:cNvPr>
        <cdr:cNvSpPr/>
      </cdr:nvSpPr>
      <cdr:spPr>
        <a:xfrm xmlns:a="http://schemas.openxmlformats.org/drawingml/2006/main">
          <a:off x="736601" y="584200"/>
          <a:ext cx="609600" cy="420915"/>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0.488</cdr:x>
      <cdr:y>0.50833</cdr:y>
    </cdr:from>
    <cdr:to>
      <cdr:x>0.616</cdr:x>
      <cdr:y>0.69246</cdr:y>
    </cdr:to>
    <cdr:sp macro="" textlink="">
      <cdr:nvSpPr>
        <cdr:cNvPr id="6" name="Elipse 5">
          <a:extLst xmlns:a="http://schemas.openxmlformats.org/drawingml/2006/main">
            <a:ext uri="{FF2B5EF4-FFF2-40B4-BE49-F238E27FC236}">
              <a16:creationId xmlns:a16="http://schemas.microsoft.com/office/drawing/2014/main" id="{7E230CD8-C6C6-A87D-53A6-71C2D5F76CDF}"/>
            </a:ext>
          </a:extLst>
        </cdr:cNvPr>
        <cdr:cNvSpPr/>
      </cdr:nvSpPr>
      <cdr:spPr>
        <a:xfrm xmlns:a="http://schemas.openxmlformats.org/drawingml/2006/main">
          <a:off x="2324100" y="1162050"/>
          <a:ext cx="609600" cy="420915"/>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0.65067</cdr:x>
      <cdr:y>0.22778</cdr:y>
    </cdr:from>
    <cdr:to>
      <cdr:x>0.77867</cdr:x>
      <cdr:y>0.41191</cdr:y>
    </cdr:to>
    <cdr:sp macro="" textlink="">
      <cdr:nvSpPr>
        <cdr:cNvPr id="7" name="Elipse 6">
          <a:extLst xmlns:a="http://schemas.openxmlformats.org/drawingml/2006/main">
            <a:ext uri="{FF2B5EF4-FFF2-40B4-BE49-F238E27FC236}">
              <a16:creationId xmlns:a16="http://schemas.microsoft.com/office/drawing/2014/main" id="{7E230CD8-C6C6-A87D-53A6-71C2D5F76CDF}"/>
            </a:ext>
          </a:extLst>
        </cdr:cNvPr>
        <cdr:cNvSpPr/>
      </cdr:nvSpPr>
      <cdr:spPr>
        <a:xfrm xmlns:a="http://schemas.openxmlformats.org/drawingml/2006/main">
          <a:off x="3098800" y="520700"/>
          <a:ext cx="609600" cy="420915"/>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13.xml><?xml version="1.0" encoding="utf-8"?>
<xdr:wsDr xmlns:xdr="http://schemas.openxmlformats.org/drawingml/2006/spreadsheetDrawing" xmlns:a="http://schemas.openxmlformats.org/drawingml/2006/main">
  <xdr:twoCellAnchor>
    <xdr:from>
      <xdr:col>10</xdr:col>
      <xdr:colOff>0</xdr:colOff>
      <xdr:row>21</xdr:row>
      <xdr:rowOff>19050</xdr:rowOff>
    </xdr:from>
    <xdr:to>
      <xdr:col>16</xdr:col>
      <xdr:colOff>150668</xdr:colOff>
      <xdr:row>36</xdr:row>
      <xdr:rowOff>133350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381000</xdr:colOff>
      <xdr:row>21</xdr:row>
      <xdr:rowOff>0</xdr:rowOff>
    </xdr:from>
    <xdr:to>
      <xdr:col>24</xdr:col>
      <xdr:colOff>485775</xdr:colOff>
      <xdr:row>36</xdr:row>
      <xdr:rowOff>133350</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38</xdr:row>
      <xdr:rowOff>0</xdr:rowOff>
    </xdr:from>
    <xdr:to>
      <xdr:col>16</xdr:col>
      <xdr:colOff>150668</xdr:colOff>
      <xdr:row>53</xdr:row>
      <xdr:rowOff>114301</xdr:rowOff>
    </xdr:to>
    <xdr:graphicFrame macro="">
      <xdr:nvGraphicFramePr>
        <xdr:cNvPr id="4" name="Gráfico 3">
          <a:extLst>
            <a:ext uri="{FF2B5EF4-FFF2-40B4-BE49-F238E27FC236}">
              <a16:creationId xmlns:a16="http://schemas.microsoft.com/office/drawing/2014/main" id="{FBC3061C-4CC1-400B-ABE3-52EA09B26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762000</xdr:colOff>
      <xdr:row>40</xdr:row>
      <xdr:rowOff>127000</xdr:rowOff>
    </xdr:from>
    <xdr:to>
      <xdr:col>11</xdr:col>
      <xdr:colOff>458611</xdr:colOff>
      <xdr:row>43</xdr:row>
      <xdr:rowOff>0</xdr:rowOff>
    </xdr:to>
    <xdr:sp macro="" textlink="">
      <xdr:nvSpPr>
        <xdr:cNvPr id="5" name="Elipse 4">
          <a:extLst>
            <a:ext uri="{FF2B5EF4-FFF2-40B4-BE49-F238E27FC236}">
              <a16:creationId xmlns:a16="http://schemas.microsoft.com/office/drawing/2014/main" id="{076B9904-2A47-9006-A40A-6C90C7206BDE}"/>
            </a:ext>
          </a:extLst>
        </xdr:cNvPr>
        <xdr:cNvSpPr/>
      </xdr:nvSpPr>
      <xdr:spPr>
        <a:xfrm>
          <a:off x="9369778" y="7831667"/>
          <a:ext cx="783166" cy="423333"/>
        </a:xfrm>
        <a:prstGeom prst="ellipse">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ES" sz="1100"/>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0.10352</cdr:x>
      <cdr:y>0.88922</cdr:y>
    </cdr:from>
    <cdr:to>
      <cdr:x>0.38925</cdr:x>
      <cdr:y>0.98474</cdr:y>
    </cdr:to>
    <cdr:grpSp>
      <cdr:nvGrpSpPr>
        <cdr:cNvPr id="2" name="Grupo 1">
          <a:extLst xmlns:a="http://schemas.openxmlformats.org/drawingml/2006/main">
            <a:ext uri="{FF2B5EF4-FFF2-40B4-BE49-F238E27FC236}">
              <a16:creationId xmlns:a16="http://schemas.microsoft.com/office/drawing/2014/main" id="{145FE0A9-CDE5-AE6D-F3F4-7736F846A33A}"/>
            </a:ext>
          </a:extLst>
        </cdr:cNvPr>
        <cdr:cNvGrpSpPr/>
      </cdr:nvGrpSpPr>
      <cdr:grpSpPr>
        <a:xfrm xmlns:a="http://schemas.openxmlformats.org/drawingml/2006/main">
          <a:off x="635261" y="2586119"/>
          <a:ext cx="1753411" cy="277801"/>
          <a:chOff x="0" y="0"/>
          <a:chExt cx="1765718" cy="124121"/>
        </a:xfrm>
      </cdr:grpSpPr>
      <cdr:sp macro="" textlink="">
        <cdr:nvSpPr>
          <cdr:cNvPr id="3" name="CuadroTexto 20">
            <a:extLst xmlns:a="http://schemas.openxmlformats.org/drawingml/2006/main">
              <a:ext uri="{FF2B5EF4-FFF2-40B4-BE49-F238E27FC236}">
                <a16:creationId xmlns:a16="http://schemas.microsoft.com/office/drawing/2014/main" id="{4624FF63-C697-E0AB-45F2-F0CB231E94F3}"/>
              </a:ext>
            </a:extLst>
          </cdr:cNvPr>
          <cdr:cNvSpPr txBox="1"/>
        </cdr:nvSpPr>
        <cdr:spPr>
          <a:xfrm xmlns:a="http://schemas.openxmlformats.org/drawingml/2006/main">
            <a:off x="105416" y="14776"/>
            <a:ext cx="1660302" cy="8570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4" name="Elipse 3">
            <a:extLst xmlns:a="http://schemas.openxmlformats.org/drawingml/2006/main">
              <a:ext uri="{FF2B5EF4-FFF2-40B4-BE49-F238E27FC236}">
                <a16:creationId xmlns:a16="http://schemas.microsoft.com/office/drawing/2014/main" id="{85355569-F5B1-2B1F-01C8-0FB11F2F2E8A}"/>
              </a:ext>
            </a:extLst>
          </cdr:cNvPr>
          <cdr:cNvSpPr/>
        </cdr:nvSpPr>
        <cdr:spPr>
          <a:xfrm xmlns:a="http://schemas.openxmlformats.org/drawingml/2006/main">
            <a:off x="0" y="0"/>
            <a:ext cx="1548297" cy="124121"/>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0.72898</cdr:x>
      <cdr:y>0.36731</cdr:y>
    </cdr:from>
    <cdr:to>
      <cdr:x>0.85637</cdr:x>
      <cdr:y>0.51502</cdr:y>
    </cdr:to>
    <cdr:sp macro="" textlink="">
      <cdr:nvSpPr>
        <cdr:cNvPr id="8" name="Elipse 7">
          <a:extLst xmlns:a="http://schemas.openxmlformats.org/drawingml/2006/main">
            <a:ext uri="{FF2B5EF4-FFF2-40B4-BE49-F238E27FC236}">
              <a16:creationId xmlns:a16="http://schemas.microsoft.com/office/drawing/2014/main" id="{076B9904-2A47-9006-A40A-6C90C7206BDE}"/>
            </a:ext>
          </a:extLst>
        </cdr:cNvPr>
        <cdr:cNvSpPr/>
      </cdr:nvSpPr>
      <cdr:spPr>
        <a:xfrm xmlns:a="http://schemas.openxmlformats.org/drawingml/2006/main">
          <a:off x="4481689" y="1052689"/>
          <a:ext cx="783166" cy="423333"/>
        </a:xfrm>
        <a:prstGeom xmlns:a="http://schemas.openxmlformats.org/drawingml/2006/main" prst="ellipse">
          <a:avLst/>
        </a:prstGeom>
        <a:noFill xmlns:a="http://schemas.openxmlformats.org/drawingml/2006/main"/>
        <a:ln xmlns:a="http://schemas.openxmlformats.org/drawingml/2006/main" w="28575"/>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0.84833</cdr:x>
      <cdr:y>0.29345</cdr:y>
    </cdr:from>
    <cdr:to>
      <cdr:x>0.97572</cdr:x>
      <cdr:y>0.44116</cdr:y>
    </cdr:to>
    <cdr:sp macro="" textlink="">
      <cdr:nvSpPr>
        <cdr:cNvPr id="9" name="Elipse 8">
          <a:extLst xmlns:a="http://schemas.openxmlformats.org/drawingml/2006/main">
            <a:ext uri="{FF2B5EF4-FFF2-40B4-BE49-F238E27FC236}">
              <a16:creationId xmlns:a16="http://schemas.microsoft.com/office/drawing/2014/main" id="{8CB986A7-40DC-8A03-12D3-E9ED4B957467}"/>
            </a:ext>
          </a:extLst>
        </cdr:cNvPr>
        <cdr:cNvSpPr/>
      </cdr:nvSpPr>
      <cdr:spPr>
        <a:xfrm xmlns:a="http://schemas.openxmlformats.org/drawingml/2006/main">
          <a:off x="5215467" y="841022"/>
          <a:ext cx="783166" cy="423333"/>
        </a:xfrm>
        <a:prstGeom xmlns:a="http://schemas.openxmlformats.org/drawingml/2006/main" prst="ellipse">
          <a:avLst/>
        </a:prstGeom>
        <a:noFill xmlns:a="http://schemas.openxmlformats.org/drawingml/2006/main"/>
        <a:ln xmlns:a="http://schemas.openxmlformats.org/drawingml/2006/main" w="28575"/>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15.xml><?xml version="1.0" encoding="utf-8"?>
<xdr:wsDr xmlns:xdr="http://schemas.openxmlformats.org/drawingml/2006/spreadsheetDrawing" xmlns:a="http://schemas.openxmlformats.org/drawingml/2006/main">
  <xdr:twoCellAnchor>
    <xdr:from>
      <xdr:col>10</xdr:col>
      <xdr:colOff>0</xdr:colOff>
      <xdr:row>16</xdr:row>
      <xdr:rowOff>152400</xdr:rowOff>
    </xdr:from>
    <xdr:to>
      <xdr:col>15</xdr:col>
      <xdr:colOff>336176</xdr:colOff>
      <xdr:row>32</xdr:row>
      <xdr:rowOff>66675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1202765</xdr:colOff>
      <xdr:row>15</xdr:row>
      <xdr:rowOff>179294</xdr:rowOff>
    </xdr:from>
    <xdr:to>
      <xdr:col>22</xdr:col>
      <xdr:colOff>378199</xdr:colOff>
      <xdr:row>31</xdr:row>
      <xdr:rowOff>30631</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694764</xdr:colOff>
      <xdr:row>33</xdr:row>
      <xdr:rowOff>0</xdr:rowOff>
    </xdr:from>
    <xdr:to>
      <xdr:col>15</xdr:col>
      <xdr:colOff>268940</xdr:colOff>
      <xdr:row>48</xdr:row>
      <xdr:rowOff>101040</xdr:rowOff>
    </xdr:to>
    <xdr:graphicFrame macro="">
      <xdr:nvGraphicFramePr>
        <xdr:cNvPr id="4" name="Gráfico 3">
          <a:extLst>
            <a:ext uri="{FF2B5EF4-FFF2-40B4-BE49-F238E27FC236}">
              <a16:creationId xmlns:a16="http://schemas.microsoft.com/office/drawing/2014/main" id="{7DA57863-AC7A-468E-8E9F-F947B73B5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0.03208</cdr:x>
      <cdr:y>0.9029</cdr:y>
    </cdr:from>
    <cdr:to>
      <cdr:x>0.36172</cdr:x>
      <cdr:y>0.99228</cdr:y>
    </cdr:to>
    <cdr:grpSp>
      <cdr:nvGrpSpPr>
        <cdr:cNvPr id="9" name="Grupo 8">
          <a:extLst xmlns:a="http://schemas.openxmlformats.org/drawingml/2006/main">
            <a:ext uri="{FF2B5EF4-FFF2-40B4-BE49-F238E27FC236}">
              <a16:creationId xmlns:a16="http://schemas.microsoft.com/office/drawing/2014/main" id="{7854C8AC-1CC6-A074-C866-398B425F068D}"/>
            </a:ext>
          </a:extLst>
        </cdr:cNvPr>
        <cdr:cNvGrpSpPr/>
      </cdr:nvGrpSpPr>
      <cdr:grpSpPr>
        <a:xfrm xmlns:a="http://schemas.openxmlformats.org/drawingml/2006/main">
          <a:off x="173099" y="2568064"/>
          <a:ext cx="1778690" cy="254218"/>
          <a:chOff x="0" y="0"/>
          <a:chExt cx="1774855" cy="56277"/>
        </a:xfrm>
      </cdr:grpSpPr>
      <cdr:sp macro="" textlink="">
        <cdr:nvSpPr>
          <cdr:cNvPr id="10" name="CuadroTexto 20">
            <a:extLst xmlns:a="http://schemas.openxmlformats.org/drawingml/2006/main">
              <a:ext uri="{FF2B5EF4-FFF2-40B4-BE49-F238E27FC236}">
                <a16:creationId xmlns:a16="http://schemas.microsoft.com/office/drawing/2014/main" id="{D2B85535-E140-0A83-D15F-B0072397AD4F}"/>
              </a:ext>
            </a:extLst>
          </cdr:cNvPr>
          <cdr:cNvSpPr txBox="1"/>
        </cdr:nvSpPr>
        <cdr:spPr>
          <a:xfrm xmlns:a="http://schemas.openxmlformats.org/drawingml/2006/main">
            <a:off x="105961" y="6699"/>
            <a:ext cx="1668894" cy="388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11" name="Elipse 10">
            <a:extLst xmlns:a="http://schemas.openxmlformats.org/drawingml/2006/main">
              <a:ext uri="{FF2B5EF4-FFF2-40B4-BE49-F238E27FC236}">
                <a16:creationId xmlns:a16="http://schemas.microsoft.com/office/drawing/2014/main" id="{135EC72F-9504-DAE9-CFB8-A1A707393FFB}"/>
              </a:ext>
            </a:extLst>
          </cdr:cNvPr>
          <cdr:cNvSpPr/>
        </cdr:nvSpPr>
        <cdr:spPr>
          <a:xfrm xmlns:a="http://schemas.openxmlformats.org/drawingml/2006/main">
            <a:off x="0" y="0"/>
            <a:ext cx="1556309" cy="56277"/>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0.16151</cdr:x>
      <cdr:y>0.68979</cdr:y>
    </cdr:from>
    <cdr:to>
      <cdr:x>0.30772</cdr:x>
      <cdr:y>0.79137</cdr:y>
    </cdr:to>
    <cdr:sp macro="" textlink="">
      <cdr:nvSpPr>
        <cdr:cNvPr id="12" name="Elipse 11">
          <a:extLst xmlns:a="http://schemas.openxmlformats.org/drawingml/2006/main">
            <a:ext uri="{FF2B5EF4-FFF2-40B4-BE49-F238E27FC236}">
              <a16:creationId xmlns:a16="http://schemas.microsoft.com/office/drawing/2014/main" id="{076B9904-2A47-9006-A40A-6C90C7206BDE}"/>
            </a:ext>
          </a:extLst>
        </cdr:cNvPr>
        <cdr:cNvSpPr/>
      </cdr:nvSpPr>
      <cdr:spPr>
        <a:xfrm xmlns:a="http://schemas.openxmlformats.org/drawingml/2006/main">
          <a:off x="865094" y="2002117"/>
          <a:ext cx="783166" cy="294840"/>
        </a:xfrm>
        <a:prstGeom xmlns:a="http://schemas.openxmlformats.org/drawingml/2006/main" prst="ellipse">
          <a:avLst/>
        </a:prstGeom>
        <a:noFill xmlns:a="http://schemas.openxmlformats.org/drawingml/2006/main"/>
        <a:ln xmlns:a="http://schemas.openxmlformats.org/drawingml/2006/main" w="28575"/>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0.79052</cdr:x>
      <cdr:y>0.56573</cdr:y>
    </cdr:from>
    <cdr:to>
      <cdr:x>0.93673</cdr:x>
      <cdr:y>0.66731</cdr:y>
    </cdr:to>
    <cdr:sp macro="" textlink="">
      <cdr:nvSpPr>
        <cdr:cNvPr id="13" name="Elipse 12">
          <a:extLst xmlns:a="http://schemas.openxmlformats.org/drawingml/2006/main">
            <a:ext uri="{FF2B5EF4-FFF2-40B4-BE49-F238E27FC236}">
              <a16:creationId xmlns:a16="http://schemas.microsoft.com/office/drawing/2014/main" id="{FB4B0977-199C-D0AB-BA08-3FC643CFEFFD}"/>
            </a:ext>
          </a:extLst>
        </cdr:cNvPr>
        <cdr:cNvSpPr/>
      </cdr:nvSpPr>
      <cdr:spPr>
        <a:xfrm xmlns:a="http://schemas.openxmlformats.org/drawingml/2006/main">
          <a:off x="4234330" y="1642036"/>
          <a:ext cx="783166" cy="294840"/>
        </a:xfrm>
        <a:prstGeom xmlns:a="http://schemas.openxmlformats.org/drawingml/2006/main" prst="ellipse">
          <a:avLst/>
        </a:prstGeom>
        <a:noFill xmlns:a="http://schemas.openxmlformats.org/drawingml/2006/main"/>
        <a:ln xmlns:a="http://schemas.openxmlformats.org/drawingml/2006/main" w="28575"/>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0</xdr:colOff>
      <xdr:row>18</xdr:row>
      <xdr:rowOff>0</xdr:rowOff>
    </xdr:from>
    <xdr:to>
      <xdr:col>10</xdr:col>
      <xdr:colOff>762841</xdr:colOff>
      <xdr:row>33</xdr:row>
      <xdr:rowOff>104775</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17</xdr:row>
      <xdr:rowOff>175260</xdr:rowOff>
    </xdr:from>
    <xdr:to>
      <xdr:col>14</xdr:col>
      <xdr:colOff>447675</xdr:colOff>
      <xdr:row>33</xdr:row>
      <xdr:rowOff>104775</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83</xdr:row>
      <xdr:rowOff>0</xdr:rowOff>
    </xdr:from>
    <xdr:to>
      <xdr:col>10</xdr:col>
      <xdr:colOff>762841</xdr:colOff>
      <xdr:row>98</xdr:row>
      <xdr:rowOff>104775</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504265</xdr:colOff>
      <xdr:row>84</xdr:row>
      <xdr:rowOff>0</xdr:rowOff>
    </xdr:from>
    <xdr:to>
      <xdr:col>15</xdr:col>
      <xdr:colOff>189940</xdr:colOff>
      <xdr:row>98</xdr:row>
      <xdr:rowOff>76200</xdr:rowOff>
    </xdr:to>
    <xdr:graphicFrame macro="">
      <xdr:nvGraphicFramePr>
        <xdr:cNvPr id="5" name="Gráfico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99060</xdr:colOff>
      <xdr:row>2</xdr:row>
      <xdr:rowOff>11430</xdr:rowOff>
    </xdr:from>
    <xdr:to>
      <xdr:col>12</xdr:col>
      <xdr:colOff>1051560</xdr:colOff>
      <xdr:row>11</xdr:row>
      <xdr:rowOff>137160</xdr:rowOff>
    </xdr:to>
    <xdr:graphicFrame macro="">
      <xdr:nvGraphicFramePr>
        <xdr:cNvPr id="6" name="Gráfico 5">
          <a:extLst>
            <a:ext uri="{FF2B5EF4-FFF2-40B4-BE49-F238E27FC236}">
              <a16:creationId xmlns:a16="http://schemas.microsoft.com/office/drawing/2014/main" id="{2AF5E8F9-3508-5379-8930-B8AF9C8E4A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9525</xdr:colOff>
      <xdr:row>17</xdr:row>
      <xdr:rowOff>57150</xdr:rowOff>
    </xdr:from>
    <xdr:to>
      <xdr:col>10</xdr:col>
      <xdr:colOff>314325</xdr:colOff>
      <xdr:row>33</xdr:row>
      <xdr:rowOff>114300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771524</xdr:colOff>
      <xdr:row>17</xdr:row>
      <xdr:rowOff>9524</xdr:rowOff>
    </xdr:from>
    <xdr:to>
      <xdr:col>17</xdr:col>
      <xdr:colOff>219074</xdr:colOff>
      <xdr:row>33</xdr:row>
      <xdr:rowOff>76199</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95250</xdr:colOff>
      <xdr:row>79</xdr:row>
      <xdr:rowOff>78316</xdr:rowOff>
    </xdr:from>
    <xdr:to>
      <xdr:col>10</xdr:col>
      <xdr:colOff>400050</xdr:colOff>
      <xdr:row>95</xdr:row>
      <xdr:rowOff>135466</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47625</xdr:colOff>
      <xdr:row>79</xdr:row>
      <xdr:rowOff>78104</xdr:rowOff>
    </xdr:from>
    <xdr:to>
      <xdr:col>17</xdr:col>
      <xdr:colOff>142875</xdr:colOff>
      <xdr:row>95</xdr:row>
      <xdr:rowOff>11641</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1095375</xdr:colOff>
      <xdr:row>0</xdr:row>
      <xdr:rowOff>0</xdr:rowOff>
    </xdr:from>
    <xdr:to>
      <xdr:col>12</xdr:col>
      <xdr:colOff>695325</xdr:colOff>
      <xdr:row>10</xdr:row>
      <xdr:rowOff>36195</xdr:rowOff>
    </xdr:to>
    <xdr:graphicFrame macro="">
      <xdr:nvGraphicFramePr>
        <xdr:cNvPr id="9" name="Gráfico 8">
          <a:extLst>
            <a:ext uri="{FF2B5EF4-FFF2-40B4-BE49-F238E27FC236}">
              <a16:creationId xmlns:a16="http://schemas.microsoft.com/office/drawing/2014/main" id="{AF5102F4-400B-4BA1-9B58-0E6BA9411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0</xdr:colOff>
      <xdr:row>15</xdr:row>
      <xdr:rowOff>19050</xdr:rowOff>
    </xdr:from>
    <xdr:to>
      <xdr:col>10</xdr:col>
      <xdr:colOff>348192</xdr:colOff>
      <xdr:row>31</xdr:row>
      <xdr:rowOff>76200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144780</xdr:colOff>
      <xdr:row>15</xdr:row>
      <xdr:rowOff>15240</xdr:rowOff>
    </xdr:from>
    <xdr:to>
      <xdr:col>17</xdr:col>
      <xdr:colOff>144220</xdr:colOff>
      <xdr:row>29</xdr:row>
      <xdr:rowOff>91440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71</xdr:row>
      <xdr:rowOff>0</xdr:rowOff>
    </xdr:from>
    <xdr:to>
      <xdr:col>10</xdr:col>
      <xdr:colOff>348192</xdr:colOff>
      <xdr:row>87</xdr:row>
      <xdr:rowOff>57150</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0.38367</cdr:x>
      <cdr:y>0.29867</cdr:y>
    </cdr:from>
    <cdr:to>
      <cdr:x>0.64833</cdr:x>
      <cdr:y>0.63733</cdr:y>
    </cdr:to>
    <cdr:pic>
      <cdr:nvPicPr>
        <cdr:cNvPr id="3" name="Imagen 2">
          <a:extLst xmlns:a="http://schemas.openxmlformats.org/drawingml/2006/main">
            <a:ext uri="{FF2B5EF4-FFF2-40B4-BE49-F238E27FC236}">
              <a16:creationId xmlns:a16="http://schemas.microsoft.com/office/drawing/2014/main" id="{0373849F-8D0E-9ECC-D6D7-551DBB988B3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106707" y="1004047"/>
          <a:ext cx="1453184" cy="113851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5</xdr:col>
      <xdr:colOff>0</xdr:colOff>
      <xdr:row>17</xdr:row>
      <xdr:rowOff>0</xdr:rowOff>
    </xdr:from>
    <xdr:to>
      <xdr:col>10</xdr:col>
      <xdr:colOff>348192</xdr:colOff>
      <xdr:row>33</xdr:row>
      <xdr:rowOff>57150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769620</xdr:colOff>
      <xdr:row>16</xdr:row>
      <xdr:rowOff>171450</xdr:rowOff>
    </xdr:from>
    <xdr:to>
      <xdr:col>16</xdr:col>
      <xdr:colOff>738580</xdr:colOff>
      <xdr:row>31</xdr:row>
      <xdr:rowOff>57150</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xdr:colOff>
      <xdr:row>46</xdr:row>
      <xdr:rowOff>137160</xdr:rowOff>
    </xdr:from>
    <xdr:to>
      <xdr:col>10</xdr:col>
      <xdr:colOff>639657</xdr:colOff>
      <xdr:row>63</xdr:row>
      <xdr:rowOff>11430</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685800</xdr:colOff>
      <xdr:row>46</xdr:row>
      <xdr:rowOff>121920</xdr:rowOff>
    </xdr:from>
    <xdr:to>
      <xdr:col>16</xdr:col>
      <xdr:colOff>685240</xdr:colOff>
      <xdr:row>61</xdr:row>
      <xdr:rowOff>53340</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35</xdr:col>
      <xdr:colOff>372931</xdr:colOff>
      <xdr:row>316</xdr:row>
      <xdr:rowOff>216498</xdr:rowOff>
    </xdr:from>
    <xdr:to>
      <xdr:col>40</xdr:col>
      <xdr:colOff>762000</xdr:colOff>
      <xdr:row>330</xdr:row>
      <xdr:rowOff>113820</xdr:rowOff>
    </xdr:to>
    <xdr:graphicFrame macro="">
      <xdr:nvGraphicFramePr>
        <xdr:cNvPr id="3" name="Gráfico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1143000</xdr:colOff>
      <xdr:row>358</xdr:row>
      <xdr:rowOff>54428</xdr:rowOff>
    </xdr:from>
    <xdr:to>
      <xdr:col>41</xdr:col>
      <xdr:colOff>303279</xdr:colOff>
      <xdr:row>376</xdr:row>
      <xdr:rowOff>103413</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149679</xdr:colOff>
      <xdr:row>342</xdr:row>
      <xdr:rowOff>122463</xdr:rowOff>
    </xdr:from>
    <xdr:to>
      <xdr:col>46</xdr:col>
      <xdr:colOff>169477</xdr:colOff>
      <xdr:row>357</xdr:row>
      <xdr:rowOff>180182</xdr:rowOff>
    </xdr:to>
    <xdr:graphicFrame macro="">
      <xdr:nvGraphicFramePr>
        <xdr:cNvPr id="5" name="Gráfico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504265</xdr:colOff>
      <xdr:row>373</xdr:row>
      <xdr:rowOff>11205</xdr:rowOff>
    </xdr:from>
    <xdr:to>
      <xdr:col>30</xdr:col>
      <xdr:colOff>740547</xdr:colOff>
      <xdr:row>388</xdr:row>
      <xdr:rowOff>102514</xdr:rowOff>
    </xdr:to>
    <xdr:graphicFrame macro="">
      <xdr:nvGraphicFramePr>
        <xdr:cNvPr id="6" name="Gráfico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15240</xdr:colOff>
      <xdr:row>393</xdr:row>
      <xdr:rowOff>7620</xdr:rowOff>
    </xdr:from>
    <xdr:to>
      <xdr:col>40</xdr:col>
      <xdr:colOff>225425</xdr:colOff>
      <xdr:row>405</xdr:row>
      <xdr:rowOff>163477</xdr:rowOff>
    </xdr:to>
    <xdr:graphicFrame macro="">
      <xdr:nvGraphicFramePr>
        <xdr:cNvPr id="8" name="Gráfico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966108</xdr:colOff>
      <xdr:row>436</xdr:row>
      <xdr:rowOff>27214</xdr:rowOff>
    </xdr:from>
    <xdr:to>
      <xdr:col>41</xdr:col>
      <xdr:colOff>126387</xdr:colOff>
      <xdr:row>456</xdr:row>
      <xdr:rowOff>76199</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530677</xdr:colOff>
      <xdr:row>419</xdr:row>
      <xdr:rowOff>149679</xdr:rowOff>
    </xdr:from>
    <xdr:to>
      <xdr:col>45</xdr:col>
      <xdr:colOff>550475</xdr:colOff>
      <xdr:row>435</xdr:row>
      <xdr:rowOff>16898</xdr:rowOff>
    </xdr:to>
    <xdr:graphicFrame macro="">
      <xdr:nvGraphicFramePr>
        <xdr:cNvPr id="10" name="Gráfico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966107</xdr:colOff>
      <xdr:row>450</xdr:row>
      <xdr:rowOff>54428</xdr:rowOff>
    </xdr:from>
    <xdr:to>
      <xdr:col>31</xdr:col>
      <xdr:colOff>168246</xdr:colOff>
      <xdr:row>465</xdr:row>
      <xdr:rowOff>145737</xdr:rowOff>
    </xdr:to>
    <xdr:graphicFrame macro="">
      <xdr:nvGraphicFramePr>
        <xdr:cNvPr id="11" name="Gráfico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281940</xdr:colOff>
      <xdr:row>164</xdr:row>
      <xdr:rowOff>22860</xdr:rowOff>
    </xdr:from>
    <xdr:to>
      <xdr:col>42</xdr:col>
      <xdr:colOff>294005</xdr:colOff>
      <xdr:row>175</xdr:row>
      <xdr:rowOff>146967</xdr:rowOff>
    </xdr:to>
    <xdr:graphicFrame macro="">
      <xdr:nvGraphicFramePr>
        <xdr:cNvPr id="14" name="Gráfico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0</xdr:colOff>
      <xdr:row>209</xdr:row>
      <xdr:rowOff>0</xdr:rowOff>
    </xdr:from>
    <xdr:to>
      <xdr:col>42</xdr:col>
      <xdr:colOff>446154</xdr:colOff>
      <xdr:row>227</xdr:row>
      <xdr:rowOff>48985</xdr:rowOff>
    </xdr:to>
    <xdr:graphicFrame macro="">
      <xdr:nvGraphicFramePr>
        <xdr:cNvPr id="15" name="Gráfico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188</xdr:row>
      <xdr:rowOff>0</xdr:rowOff>
    </xdr:from>
    <xdr:to>
      <xdr:col>47</xdr:col>
      <xdr:colOff>321423</xdr:colOff>
      <xdr:row>203</xdr:row>
      <xdr:rowOff>57719</xdr:rowOff>
    </xdr:to>
    <xdr:graphicFrame macro="">
      <xdr:nvGraphicFramePr>
        <xdr:cNvPr id="16" name="Gráfico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41</xdr:col>
      <xdr:colOff>30480</xdr:colOff>
      <xdr:row>242</xdr:row>
      <xdr:rowOff>83820</xdr:rowOff>
    </xdr:from>
    <xdr:to>
      <xdr:col>47</xdr:col>
      <xdr:colOff>735965</xdr:colOff>
      <xdr:row>254</xdr:row>
      <xdr:rowOff>9172</xdr:rowOff>
    </xdr:to>
    <xdr:graphicFrame macro="">
      <xdr:nvGraphicFramePr>
        <xdr:cNvPr id="18" name="Gráfico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0</xdr:colOff>
      <xdr:row>288</xdr:row>
      <xdr:rowOff>0</xdr:rowOff>
    </xdr:from>
    <xdr:to>
      <xdr:col>42</xdr:col>
      <xdr:colOff>446154</xdr:colOff>
      <xdr:row>306</xdr:row>
      <xdr:rowOff>48985</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41</xdr:col>
      <xdr:colOff>15875</xdr:colOff>
      <xdr:row>267</xdr:row>
      <xdr:rowOff>174625</xdr:rowOff>
    </xdr:from>
    <xdr:to>
      <xdr:col>48</xdr:col>
      <xdr:colOff>337298</xdr:colOff>
      <xdr:row>283</xdr:row>
      <xdr:rowOff>41844</xdr:rowOff>
    </xdr:to>
    <xdr:graphicFrame macro="">
      <xdr:nvGraphicFramePr>
        <xdr:cNvPr id="20" name="Gráfico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1016000</xdr:colOff>
      <xdr:row>222</xdr:row>
      <xdr:rowOff>127000</xdr:rowOff>
    </xdr:from>
    <xdr:to>
      <xdr:col>31</xdr:col>
      <xdr:colOff>218139</xdr:colOff>
      <xdr:row>238</xdr:row>
      <xdr:rowOff>27809</xdr:rowOff>
    </xdr:to>
    <xdr:graphicFrame macro="">
      <xdr:nvGraphicFramePr>
        <xdr:cNvPr id="21" name="Gráfico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0</xdr:colOff>
      <xdr:row>467</xdr:row>
      <xdr:rowOff>0</xdr:rowOff>
    </xdr:from>
    <xdr:to>
      <xdr:col>31</xdr:col>
      <xdr:colOff>503889</xdr:colOff>
      <xdr:row>468</xdr:row>
      <xdr:rowOff>91309</xdr:rowOff>
    </xdr:to>
    <xdr:graphicFrame macro="">
      <xdr:nvGraphicFramePr>
        <xdr:cNvPr id="22" name="Gráfico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34</xdr:col>
      <xdr:colOff>693420</xdr:colOff>
      <xdr:row>11</xdr:row>
      <xdr:rowOff>53340</xdr:rowOff>
    </xdr:from>
    <xdr:to>
      <xdr:col>40</xdr:col>
      <xdr:colOff>385445</xdr:colOff>
      <xdr:row>24</xdr:row>
      <xdr:rowOff>42192</xdr:rowOff>
    </xdr:to>
    <xdr:graphicFrame macro="">
      <xdr:nvGraphicFramePr>
        <xdr:cNvPr id="24" name="Gráfico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35</xdr:col>
      <xdr:colOff>40821</xdr:colOff>
      <xdr:row>58</xdr:row>
      <xdr:rowOff>122464</xdr:rowOff>
    </xdr:from>
    <xdr:to>
      <xdr:col>42</xdr:col>
      <xdr:colOff>496047</xdr:colOff>
      <xdr:row>77</xdr:row>
      <xdr:rowOff>171449</xdr:rowOff>
    </xdr:to>
    <xdr:graphicFrame macro="">
      <xdr:nvGraphicFramePr>
        <xdr:cNvPr id="25" name="Gráfico 24">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39</xdr:col>
      <xdr:colOff>952500</xdr:colOff>
      <xdr:row>37</xdr:row>
      <xdr:rowOff>176893</xdr:rowOff>
    </xdr:from>
    <xdr:to>
      <xdr:col>48</xdr:col>
      <xdr:colOff>0</xdr:colOff>
      <xdr:row>56</xdr:row>
      <xdr:rowOff>152400</xdr:rowOff>
    </xdr:to>
    <xdr:graphicFrame macro="">
      <xdr:nvGraphicFramePr>
        <xdr:cNvPr id="26" name="Gráfico 25">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26</xdr:col>
      <xdr:colOff>0</xdr:colOff>
      <xdr:row>70</xdr:row>
      <xdr:rowOff>0</xdr:rowOff>
    </xdr:from>
    <xdr:to>
      <xdr:col>31</xdr:col>
      <xdr:colOff>503889</xdr:colOff>
      <xdr:row>85</xdr:row>
      <xdr:rowOff>43684</xdr:rowOff>
    </xdr:to>
    <xdr:graphicFrame macro="">
      <xdr:nvGraphicFramePr>
        <xdr:cNvPr id="27" name="Gráfico 26">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471</xdr:row>
      <xdr:rowOff>0</xdr:rowOff>
    </xdr:from>
    <xdr:to>
      <xdr:col>31</xdr:col>
      <xdr:colOff>503889</xdr:colOff>
      <xdr:row>472</xdr:row>
      <xdr:rowOff>91309</xdr:rowOff>
    </xdr:to>
    <xdr:graphicFrame macro="">
      <xdr:nvGraphicFramePr>
        <xdr:cNvPr id="29" name="Gráfico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533400</xdr:colOff>
      <xdr:row>88</xdr:row>
      <xdr:rowOff>160020</xdr:rowOff>
    </xdr:from>
    <xdr:to>
      <xdr:col>40</xdr:col>
      <xdr:colOff>332105</xdr:colOff>
      <xdr:row>101</xdr:row>
      <xdr:rowOff>132997</xdr:rowOff>
    </xdr:to>
    <xdr:graphicFrame macro="">
      <xdr:nvGraphicFramePr>
        <xdr:cNvPr id="30" name="Gráfico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40</xdr:col>
      <xdr:colOff>27709</xdr:colOff>
      <xdr:row>110</xdr:row>
      <xdr:rowOff>110836</xdr:rowOff>
    </xdr:from>
    <xdr:to>
      <xdr:col>47</xdr:col>
      <xdr:colOff>349132</xdr:colOff>
      <xdr:row>129</xdr:row>
      <xdr:rowOff>83126</xdr:rowOff>
    </xdr:to>
    <xdr:graphicFrame macro="">
      <xdr:nvGraphicFramePr>
        <xdr:cNvPr id="31" name="Gráfico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822960</xdr:colOff>
      <xdr:row>129</xdr:row>
      <xdr:rowOff>175260</xdr:rowOff>
    </xdr:from>
    <xdr:to>
      <xdr:col>42</xdr:col>
      <xdr:colOff>347094</xdr:colOff>
      <xdr:row>148</xdr:row>
      <xdr:rowOff>41365</xdr:rowOff>
    </xdr:to>
    <xdr:graphicFrame macro="">
      <xdr:nvGraphicFramePr>
        <xdr:cNvPr id="32" name="Gráfico 31">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44</xdr:col>
      <xdr:colOff>0</xdr:colOff>
      <xdr:row>164</xdr:row>
      <xdr:rowOff>0</xdr:rowOff>
    </xdr:from>
    <xdr:to>
      <xdr:col>51</xdr:col>
      <xdr:colOff>575945</xdr:colOff>
      <xdr:row>175</xdr:row>
      <xdr:rowOff>124107</xdr:rowOff>
    </xdr:to>
    <xdr:graphicFrame macro="">
      <xdr:nvGraphicFramePr>
        <xdr:cNvPr id="28" name="Gráfico 27">
          <a:extLst>
            <a:ext uri="{FF2B5EF4-FFF2-40B4-BE49-F238E27FC236}">
              <a16:creationId xmlns:a16="http://schemas.microsoft.com/office/drawing/2014/main" id="{0DFFC64A-B3DE-4022-839F-A4555E6FF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49</xdr:col>
      <xdr:colOff>0</xdr:colOff>
      <xdr:row>242</xdr:row>
      <xdr:rowOff>0</xdr:rowOff>
    </xdr:from>
    <xdr:to>
      <xdr:col>56</xdr:col>
      <xdr:colOff>575945</xdr:colOff>
      <xdr:row>253</xdr:row>
      <xdr:rowOff>108232</xdr:rowOff>
    </xdr:to>
    <xdr:graphicFrame macro="">
      <xdr:nvGraphicFramePr>
        <xdr:cNvPr id="33" name="Gráfico 32">
          <a:extLst>
            <a:ext uri="{FF2B5EF4-FFF2-40B4-BE49-F238E27FC236}">
              <a16:creationId xmlns:a16="http://schemas.microsoft.com/office/drawing/2014/main" id="{A62DE0A0-853F-439C-91ED-141D18122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27707</xdr:colOff>
      <xdr:row>467</xdr:row>
      <xdr:rowOff>221671</xdr:rowOff>
    </xdr:from>
    <xdr:to>
      <xdr:col>20</xdr:col>
      <xdr:colOff>27708</xdr:colOff>
      <xdr:row>488</xdr:row>
      <xdr:rowOff>96981</xdr:rowOff>
    </xdr:to>
    <xdr:graphicFrame macro="">
      <xdr:nvGraphicFramePr>
        <xdr:cNvPr id="2" name="Gráfico 1">
          <a:extLst>
            <a:ext uri="{FF2B5EF4-FFF2-40B4-BE49-F238E27FC236}">
              <a16:creationId xmlns:a16="http://schemas.microsoft.com/office/drawing/2014/main" id="{8E8E4C81-2C6A-7CAD-9FD2-DC33EB4D25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14</xdr:col>
      <xdr:colOff>239485</xdr:colOff>
      <xdr:row>489</xdr:row>
      <xdr:rowOff>174171</xdr:rowOff>
    </xdr:from>
    <xdr:to>
      <xdr:col>22</xdr:col>
      <xdr:colOff>76200</xdr:colOff>
      <xdr:row>508</xdr:row>
      <xdr:rowOff>163285</xdr:rowOff>
    </xdr:to>
    <xdr:graphicFrame macro="">
      <xdr:nvGraphicFramePr>
        <xdr:cNvPr id="7" name="Gráfico 6">
          <a:extLst>
            <a:ext uri="{FF2B5EF4-FFF2-40B4-BE49-F238E27FC236}">
              <a16:creationId xmlns:a16="http://schemas.microsoft.com/office/drawing/2014/main" id="{E4F302EF-54D1-DE05-15B7-E51983F604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33</xdr:col>
      <xdr:colOff>655320</xdr:colOff>
      <xdr:row>317</xdr:row>
      <xdr:rowOff>53340</xdr:rowOff>
    </xdr:from>
    <xdr:to>
      <xdr:col>39</xdr:col>
      <xdr:colOff>354965</xdr:colOff>
      <xdr:row>331</xdr:row>
      <xdr:rowOff>12211</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359</xdr:row>
      <xdr:rowOff>0</xdr:rowOff>
    </xdr:from>
    <xdr:to>
      <xdr:col>44</xdr:col>
      <xdr:colOff>571500</xdr:colOff>
      <xdr:row>376</xdr:row>
      <xdr:rowOff>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739589</xdr:colOff>
      <xdr:row>342</xdr:row>
      <xdr:rowOff>123264</xdr:rowOff>
    </xdr:from>
    <xdr:to>
      <xdr:col>46</xdr:col>
      <xdr:colOff>160572</xdr:colOff>
      <xdr:row>357</xdr:row>
      <xdr:rowOff>180983</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375</xdr:row>
      <xdr:rowOff>0</xdr:rowOff>
    </xdr:from>
    <xdr:to>
      <xdr:col>29</xdr:col>
      <xdr:colOff>826692</xdr:colOff>
      <xdr:row>390</xdr:row>
      <xdr:rowOff>0</xdr:rowOff>
    </xdr:to>
    <xdr:graphicFrame macro="">
      <xdr:nvGraphicFramePr>
        <xdr:cNvPr id="6" name="Gráfico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495300</xdr:colOff>
      <xdr:row>393</xdr:row>
      <xdr:rowOff>76200</xdr:rowOff>
    </xdr:from>
    <xdr:to>
      <xdr:col>39</xdr:col>
      <xdr:colOff>194945</xdr:colOff>
      <xdr:row>407</xdr:row>
      <xdr:rowOff>35070</xdr:rowOff>
    </xdr:to>
    <xdr:graphicFrame macro="">
      <xdr:nvGraphicFramePr>
        <xdr:cNvPr id="8" name="Gráfico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1088572</xdr:colOff>
      <xdr:row>435</xdr:row>
      <xdr:rowOff>0</xdr:rowOff>
    </xdr:from>
    <xdr:to>
      <xdr:col>44</xdr:col>
      <xdr:colOff>489858</xdr:colOff>
      <xdr:row>452</xdr:row>
      <xdr:rowOff>1</xdr:rowOff>
    </xdr:to>
    <xdr:graphicFrame macro="">
      <xdr:nvGraphicFramePr>
        <xdr:cNvPr id="9" name="Gráfico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748393</xdr:colOff>
      <xdr:row>418</xdr:row>
      <xdr:rowOff>54429</xdr:rowOff>
    </xdr:from>
    <xdr:to>
      <xdr:col>46</xdr:col>
      <xdr:colOff>167776</xdr:colOff>
      <xdr:row>433</xdr:row>
      <xdr:rowOff>112148</xdr:rowOff>
    </xdr:to>
    <xdr:graphicFrame macro="">
      <xdr:nvGraphicFramePr>
        <xdr:cNvPr id="10" name="Gráfico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0</xdr:colOff>
      <xdr:row>451</xdr:row>
      <xdr:rowOff>0</xdr:rowOff>
    </xdr:from>
    <xdr:to>
      <xdr:col>29</xdr:col>
      <xdr:colOff>826692</xdr:colOff>
      <xdr:row>466</xdr:row>
      <xdr:rowOff>0</xdr:rowOff>
    </xdr:to>
    <xdr:graphicFrame macro="">
      <xdr:nvGraphicFramePr>
        <xdr:cNvPr id="11" name="Gráfico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302622</xdr:colOff>
      <xdr:row>164</xdr:row>
      <xdr:rowOff>55518</xdr:rowOff>
    </xdr:from>
    <xdr:to>
      <xdr:col>40</xdr:col>
      <xdr:colOff>451847</xdr:colOff>
      <xdr:row>177</xdr:row>
      <xdr:rowOff>173502</xdr:rowOff>
    </xdr:to>
    <xdr:graphicFrame macro="">
      <xdr:nvGraphicFramePr>
        <xdr:cNvPr id="13" name="Gráfico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39</xdr:col>
      <xdr:colOff>0</xdr:colOff>
      <xdr:row>189</xdr:row>
      <xdr:rowOff>0</xdr:rowOff>
    </xdr:from>
    <xdr:to>
      <xdr:col>46</xdr:col>
      <xdr:colOff>321423</xdr:colOff>
      <xdr:row>204</xdr:row>
      <xdr:rowOff>57719</xdr:rowOff>
    </xdr:to>
    <xdr:graphicFrame macro="">
      <xdr:nvGraphicFramePr>
        <xdr:cNvPr id="14" name="Gráfico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0</xdr:colOff>
      <xdr:row>208</xdr:row>
      <xdr:rowOff>0</xdr:rowOff>
    </xdr:from>
    <xdr:to>
      <xdr:col>41</xdr:col>
      <xdr:colOff>738708</xdr:colOff>
      <xdr:row>226</xdr:row>
      <xdr:rowOff>45583</xdr:rowOff>
    </xdr:to>
    <xdr:graphicFrame macro="">
      <xdr:nvGraphicFramePr>
        <xdr:cNvPr id="15" name="Gráfico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0</xdr:colOff>
      <xdr:row>223</xdr:row>
      <xdr:rowOff>0</xdr:rowOff>
    </xdr:from>
    <xdr:to>
      <xdr:col>29</xdr:col>
      <xdr:colOff>826692</xdr:colOff>
      <xdr:row>238</xdr:row>
      <xdr:rowOff>92009</xdr:rowOff>
    </xdr:to>
    <xdr:graphicFrame macro="">
      <xdr:nvGraphicFramePr>
        <xdr:cNvPr id="16" name="Gráfico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855518</xdr:colOff>
      <xdr:row>242</xdr:row>
      <xdr:rowOff>49877</xdr:rowOff>
    </xdr:from>
    <xdr:to>
      <xdr:col>39</xdr:col>
      <xdr:colOff>555163</xdr:colOff>
      <xdr:row>256</xdr:row>
      <xdr:rowOff>7392</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0</xdr:colOff>
      <xdr:row>269</xdr:row>
      <xdr:rowOff>0</xdr:rowOff>
    </xdr:from>
    <xdr:to>
      <xdr:col>46</xdr:col>
      <xdr:colOff>321423</xdr:colOff>
      <xdr:row>284</xdr:row>
      <xdr:rowOff>57719</xdr:rowOff>
    </xdr:to>
    <xdr:graphicFrame macro="">
      <xdr:nvGraphicFramePr>
        <xdr:cNvPr id="19" name="Gráfico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34</xdr:col>
      <xdr:colOff>0</xdr:colOff>
      <xdr:row>286</xdr:row>
      <xdr:rowOff>0</xdr:rowOff>
    </xdr:from>
    <xdr:to>
      <xdr:col>41</xdr:col>
      <xdr:colOff>734378</xdr:colOff>
      <xdr:row>304</xdr:row>
      <xdr:rowOff>41562</xdr:rowOff>
    </xdr:to>
    <xdr:graphicFrame macro="">
      <xdr:nvGraphicFramePr>
        <xdr:cNvPr id="20" name="Gráfico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0</xdr:colOff>
      <xdr:row>298</xdr:row>
      <xdr:rowOff>0</xdr:rowOff>
    </xdr:from>
    <xdr:to>
      <xdr:col>29</xdr:col>
      <xdr:colOff>826692</xdr:colOff>
      <xdr:row>313</xdr:row>
      <xdr:rowOff>92009</xdr:rowOff>
    </xdr:to>
    <xdr:graphicFrame macro="">
      <xdr:nvGraphicFramePr>
        <xdr:cNvPr id="21" name="Gráfico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0</xdr:colOff>
      <xdr:row>70</xdr:row>
      <xdr:rowOff>0</xdr:rowOff>
    </xdr:from>
    <xdr:to>
      <xdr:col>29</xdr:col>
      <xdr:colOff>826692</xdr:colOff>
      <xdr:row>85</xdr:row>
      <xdr:rowOff>92009</xdr:rowOff>
    </xdr:to>
    <xdr:graphicFrame macro="">
      <xdr:nvGraphicFramePr>
        <xdr:cNvPr id="22" name="Gráfico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33</xdr:col>
      <xdr:colOff>1165860</xdr:colOff>
      <xdr:row>11</xdr:row>
      <xdr:rowOff>114300</xdr:rowOff>
    </xdr:from>
    <xdr:to>
      <xdr:col>40</xdr:col>
      <xdr:colOff>80645</xdr:colOff>
      <xdr:row>25</xdr:row>
      <xdr:rowOff>80886</xdr:rowOff>
    </xdr:to>
    <xdr:graphicFrame macro="">
      <xdr:nvGraphicFramePr>
        <xdr:cNvPr id="24" name="Gráfico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65</xdr:row>
      <xdr:rowOff>0</xdr:rowOff>
    </xdr:from>
    <xdr:to>
      <xdr:col>41</xdr:col>
      <xdr:colOff>743450</xdr:colOff>
      <xdr:row>82</xdr:row>
      <xdr:rowOff>41563</xdr:rowOff>
    </xdr:to>
    <xdr:graphicFrame macro="">
      <xdr:nvGraphicFramePr>
        <xdr:cNvPr id="25" name="Gráfico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39</xdr:col>
      <xdr:colOff>0</xdr:colOff>
      <xdr:row>40</xdr:row>
      <xdr:rowOff>0</xdr:rowOff>
    </xdr:from>
    <xdr:to>
      <xdr:col>46</xdr:col>
      <xdr:colOff>299357</xdr:colOff>
      <xdr:row>55</xdr:row>
      <xdr:rowOff>57719</xdr:rowOff>
    </xdr:to>
    <xdr:graphicFrame macro="">
      <xdr:nvGraphicFramePr>
        <xdr:cNvPr id="26" name="Gráfico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129540</xdr:colOff>
      <xdr:row>89</xdr:row>
      <xdr:rowOff>38100</xdr:rowOff>
    </xdr:from>
    <xdr:to>
      <xdr:col>40</xdr:col>
      <xdr:colOff>248285</xdr:colOff>
      <xdr:row>103</xdr:row>
      <xdr:rowOff>2418</xdr:rowOff>
    </xdr:to>
    <xdr:graphicFrame macro="">
      <xdr:nvGraphicFramePr>
        <xdr:cNvPr id="28" name="Gráfico 27">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0</xdr:colOff>
      <xdr:row>133</xdr:row>
      <xdr:rowOff>0</xdr:rowOff>
    </xdr:from>
    <xdr:to>
      <xdr:col>41</xdr:col>
      <xdr:colOff>734378</xdr:colOff>
      <xdr:row>149</xdr:row>
      <xdr:rowOff>41562</xdr:rowOff>
    </xdr:to>
    <xdr:graphicFrame macro="">
      <xdr:nvGraphicFramePr>
        <xdr:cNvPr id="29" name="Gráfico 28">
          <a:extLst>
            <a:ext uri="{FF2B5EF4-FFF2-40B4-BE49-F238E27FC236}">
              <a16:creationId xmlns:a16="http://schemas.microsoft.com/office/drawing/2014/main"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39</xdr:col>
      <xdr:colOff>0</xdr:colOff>
      <xdr:row>115</xdr:row>
      <xdr:rowOff>0</xdr:rowOff>
    </xdr:from>
    <xdr:to>
      <xdr:col>46</xdr:col>
      <xdr:colOff>321423</xdr:colOff>
      <xdr:row>130</xdr:row>
      <xdr:rowOff>57719</xdr:rowOff>
    </xdr:to>
    <xdr:graphicFrame macro="">
      <xdr:nvGraphicFramePr>
        <xdr:cNvPr id="30" name="Gráfico 29">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26</xdr:col>
      <xdr:colOff>381001</xdr:colOff>
      <xdr:row>145</xdr:row>
      <xdr:rowOff>0</xdr:rowOff>
    </xdr:from>
    <xdr:to>
      <xdr:col>29</xdr:col>
      <xdr:colOff>1207693</xdr:colOff>
      <xdr:row>159</xdr:row>
      <xdr:rowOff>161281</xdr:rowOff>
    </xdr:to>
    <xdr:graphicFrame macro="">
      <xdr:nvGraphicFramePr>
        <xdr:cNvPr id="31" name="Gráfico 30">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0</xdr:colOff>
      <xdr:row>164</xdr:row>
      <xdr:rowOff>0</xdr:rowOff>
    </xdr:from>
    <xdr:to>
      <xdr:col>49</xdr:col>
      <xdr:colOff>354965</xdr:colOff>
      <xdr:row>177</xdr:row>
      <xdr:rowOff>117984</xdr:rowOff>
    </xdr:to>
    <xdr:graphicFrame macro="">
      <xdr:nvGraphicFramePr>
        <xdr:cNvPr id="32" name="Gráfico 31">
          <a:extLst>
            <a:ext uri="{FF2B5EF4-FFF2-40B4-BE49-F238E27FC236}">
              <a16:creationId xmlns:a16="http://schemas.microsoft.com/office/drawing/2014/main" id="{ABA8E050-01E9-4E70-84C2-C09B82C75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41</xdr:col>
      <xdr:colOff>0</xdr:colOff>
      <xdr:row>242</xdr:row>
      <xdr:rowOff>0</xdr:rowOff>
    </xdr:from>
    <xdr:to>
      <xdr:col>48</xdr:col>
      <xdr:colOff>324485</xdr:colOff>
      <xdr:row>255</xdr:row>
      <xdr:rowOff>140395</xdr:rowOff>
    </xdr:to>
    <xdr:graphicFrame macro="">
      <xdr:nvGraphicFramePr>
        <xdr:cNvPr id="33" name="Gráfico 32">
          <a:extLst>
            <a:ext uri="{FF2B5EF4-FFF2-40B4-BE49-F238E27FC236}">
              <a16:creationId xmlns:a16="http://schemas.microsoft.com/office/drawing/2014/main" id="{FDEF789C-C350-479E-823C-1ABBA4931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26</xdr:col>
      <xdr:colOff>0</xdr:colOff>
      <xdr:row>467</xdr:row>
      <xdr:rowOff>0</xdr:rowOff>
    </xdr:from>
    <xdr:to>
      <xdr:col>31</xdr:col>
      <xdr:colOff>503889</xdr:colOff>
      <xdr:row>468</xdr:row>
      <xdr:rowOff>91309</xdr:rowOff>
    </xdr:to>
    <xdr:graphicFrame macro="">
      <xdr:nvGraphicFramePr>
        <xdr:cNvPr id="34" name="Gráfico 33">
          <a:extLst>
            <a:ext uri="{FF2B5EF4-FFF2-40B4-BE49-F238E27FC236}">
              <a16:creationId xmlns:a16="http://schemas.microsoft.com/office/drawing/2014/main" id="{378E210A-5619-41A2-AED3-568B82F5F3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26</xdr:col>
      <xdr:colOff>0</xdr:colOff>
      <xdr:row>471</xdr:row>
      <xdr:rowOff>0</xdr:rowOff>
    </xdr:from>
    <xdr:to>
      <xdr:col>31</xdr:col>
      <xdr:colOff>503889</xdr:colOff>
      <xdr:row>472</xdr:row>
      <xdr:rowOff>91309</xdr:rowOff>
    </xdr:to>
    <xdr:graphicFrame macro="">
      <xdr:nvGraphicFramePr>
        <xdr:cNvPr id="35" name="Gráfico 34">
          <a:extLst>
            <a:ext uri="{FF2B5EF4-FFF2-40B4-BE49-F238E27FC236}">
              <a16:creationId xmlns:a16="http://schemas.microsoft.com/office/drawing/2014/main" id="{42BC49F5-B38F-44C8-B2F3-E73C4F5D5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468</xdr:row>
      <xdr:rowOff>0</xdr:rowOff>
    </xdr:from>
    <xdr:to>
      <xdr:col>20</xdr:col>
      <xdr:colOff>53440</xdr:colOff>
      <xdr:row>489</xdr:row>
      <xdr:rowOff>22761</xdr:rowOff>
    </xdr:to>
    <xdr:graphicFrame macro="">
      <xdr:nvGraphicFramePr>
        <xdr:cNvPr id="36" name="Gráfico 35">
          <a:extLst>
            <a:ext uri="{FF2B5EF4-FFF2-40B4-BE49-F238E27FC236}">
              <a16:creationId xmlns:a16="http://schemas.microsoft.com/office/drawing/2014/main" id="{6416D5A2-295E-4A7E-9B13-47B0339EA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492</xdr:row>
      <xdr:rowOff>0</xdr:rowOff>
    </xdr:from>
    <xdr:to>
      <xdr:col>18</xdr:col>
      <xdr:colOff>618508</xdr:colOff>
      <xdr:row>511</xdr:row>
      <xdr:rowOff>83126</xdr:rowOff>
    </xdr:to>
    <xdr:graphicFrame macro="">
      <xdr:nvGraphicFramePr>
        <xdr:cNvPr id="37" name="Gráfico 36">
          <a:extLst>
            <a:ext uri="{FF2B5EF4-FFF2-40B4-BE49-F238E27FC236}">
              <a16:creationId xmlns:a16="http://schemas.microsoft.com/office/drawing/2014/main" id="{6161D5C5-4AB3-4AE4-9024-CFC5D22E5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35</xdr:col>
      <xdr:colOff>0</xdr:colOff>
      <xdr:row>242</xdr:row>
      <xdr:rowOff>119742</xdr:rowOff>
    </xdr:from>
    <xdr:to>
      <xdr:col>41</xdr:col>
      <xdr:colOff>117656</xdr:colOff>
      <xdr:row>253</xdr:row>
      <xdr:rowOff>159027</xdr:rowOff>
    </xdr:to>
    <xdr:graphicFrame macro="">
      <xdr:nvGraphicFramePr>
        <xdr:cNvPr id="3" name="Gráfico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268</xdr:row>
      <xdr:rowOff>0</xdr:rowOff>
    </xdr:from>
    <xdr:to>
      <xdr:col>45</xdr:col>
      <xdr:colOff>591704</xdr:colOff>
      <xdr:row>285</xdr:row>
      <xdr:rowOff>34637</xdr:rowOff>
    </xdr:to>
    <xdr:graphicFrame macro="">
      <xdr:nvGraphicFramePr>
        <xdr:cNvPr id="4" name="Gráfico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256</xdr:row>
      <xdr:rowOff>0</xdr:rowOff>
    </xdr:from>
    <xdr:to>
      <xdr:col>53</xdr:col>
      <xdr:colOff>182983</xdr:colOff>
      <xdr:row>271</xdr:row>
      <xdr:rowOff>57719</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291</xdr:row>
      <xdr:rowOff>0</xdr:rowOff>
    </xdr:from>
    <xdr:to>
      <xdr:col>32</xdr:col>
      <xdr:colOff>57476</xdr:colOff>
      <xdr:row>306</xdr:row>
      <xdr:rowOff>93453</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627289</xdr:colOff>
      <xdr:row>311</xdr:row>
      <xdr:rowOff>13154</xdr:rowOff>
    </xdr:from>
    <xdr:to>
      <xdr:col>40</xdr:col>
      <xdr:colOff>777603</xdr:colOff>
      <xdr:row>322</xdr:row>
      <xdr:rowOff>52439</xdr:rowOff>
    </xdr:to>
    <xdr:graphicFrame macro="">
      <xdr:nvGraphicFramePr>
        <xdr:cNvPr id="8" name="Gráfico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334</xdr:row>
      <xdr:rowOff>0</xdr:rowOff>
    </xdr:from>
    <xdr:to>
      <xdr:col>45</xdr:col>
      <xdr:colOff>591704</xdr:colOff>
      <xdr:row>351</xdr:row>
      <xdr:rowOff>2887</xdr:rowOff>
    </xdr:to>
    <xdr:graphicFrame macro="">
      <xdr:nvGraphicFramePr>
        <xdr:cNvPr id="9" name="Gráfico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238125</xdr:colOff>
      <xdr:row>327</xdr:row>
      <xdr:rowOff>95250</xdr:rowOff>
    </xdr:from>
    <xdr:to>
      <xdr:col>53</xdr:col>
      <xdr:colOff>421108</xdr:colOff>
      <xdr:row>342</xdr:row>
      <xdr:rowOff>137094</xdr:rowOff>
    </xdr:to>
    <xdr:graphicFrame macro="">
      <xdr:nvGraphicFramePr>
        <xdr:cNvPr id="10" name="Gráfico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739140</xdr:colOff>
      <xdr:row>126</xdr:row>
      <xdr:rowOff>15240</xdr:rowOff>
    </xdr:from>
    <xdr:to>
      <xdr:col>40</xdr:col>
      <xdr:colOff>57785</xdr:colOff>
      <xdr:row>139</xdr:row>
      <xdr:rowOff>171613</xdr:rowOff>
    </xdr:to>
    <xdr:graphicFrame macro="">
      <xdr:nvGraphicFramePr>
        <xdr:cNvPr id="12" name="Gráfico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0</xdr:colOff>
      <xdr:row>163</xdr:row>
      <xdr:rowOff>174625</xdr:rowOff>
    </xdr:from>
    <xdr:to>
      <xdr:col>42</xdr:col>
      <xdr:colOff>758912</xdr:colOff>
      <xdr:row>181</xdr:row>
      <xdr:rowOff>32594</xdr:rowOff>
    </xdr:to>
    <xdr:graphicFrame macro="">
      <xdr:nvGraphicFramePr>
        <xdr:cNvPr id="13" name="Gráfico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39</xdr:col>
      <xdr:colOff>744682</xdr:colOff>
      <xdr:row>145</xdr:row>
      <xdr:rowOff>171739</xdr:rowOff>
    </xdr:from>
    <xdr:to>
      <xdr:col>47</xdr:col>
      <xdr:colOff>304105</xdr:colOff>
      <xdr:row>161</xdr:row>
      <xdr:rowOff>38958</xdr:rowOff>
    </xdr:to>
    <xdr:graphicFrame macro="">
      <xdr:nvGraphicFramePr>
        <xdr:cNvPr id="14" name="Gráfico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45720</xdr:colOff>
      <xdr:row>195</xdr:row>
      <xdr:rowOff>45720</xdr:rowOff>
    </xdr:from>
    <xdr:to>
      <xdr:col>40</xdr:col>
      <xdr:colOff>156845</xdr:colOff>
      <xdr:row>208</xdr:row>
      <xdr:rowOff>27769</xdr:rowOff>
    </xdr:to>
    <xdr:graphicFrame macro="">
      <xdr:nvGraphicFramePr>
        <xdr:cNvPr id="16" name="Gráfico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15875</xdr:colOff>
      <xdr:row>224</xdr:row>
      <xdr:rowOff>121920</xdr:rowOff>
    </xdr:from>
    <xdr:to>
      <xdr:col>42</xdr:col>
      <xdr:colOff>144780</xdr:colOff>
      <xdr:row>237</xdr:row>
      <xdr:rowOff>167640</xdr:rowOff>
    </xdr:to>
    <xdr:graphicFrame macro="">
      <xdr:nvGraphicFramePr>
        <xdr:cNvPr id="17" name="Gráfico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43</xdr:col>
      <xdr:colOff>285750</xdr:colOff>
      <xdr:row>211</xdr:row>
      <xdr:rowOff>158750</xdr:rowOff>
    </xdr:from>
    <xdr:to>
      <xdr:col>50</xdr:col>
      <xdr:colOff>607173</xdr:colOff>
      <xdr:row>226</xdr:row>
      <xdr:rowOff>200594</xdr:rowOff>
    </xdr:to>
    <xdr:graphicFrame macro="">
      <xdr:nvGraphicFramePr>
        <xdr:cNvPr id="18" name="Gráfico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175260</xdr:colOff>
      <xdr:row>11</xdr:row>
      <xdr:rowOff>129540</xdr:rowOff>
    </xdr:from>
    <xdr:to>
      <xdr:col>43</xdr:col>
      <xdr:colOff>210185</xdr:colOff>
      <xdr:row>25</xdr:row>
      <xdr:rowOff>103033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777875</xdr:colOff>
      <xdr:row>175</xdr:row>
      <xdr:rowOff>15875</xdr:rowOff>
    </xdr:from>
    <xdr:to>
      <xdr:col>31</xdr:col>
      <xdr:colOff>120976</xdr:colOff>
      <xdr:row>190</xdr:row>
      <xdr:rowOff>109328</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315685</xdr:colOff>
      <xdr:row>225</xdr:row>
      <xdr:rowOff>163286</xdr:rowOff>
    </xdr:from>
    <xdr:to>
      <xdr:col>34</xdr:col>
      <xdr:colOff>608316</xdr:colOff>
      <xdr:row>236</xdr:row>
      <xdr:rowOff>108856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35</xdr:col>
      <xdr:colOff>0</xdr:colOff>
      <xdr:row>53</xdr:row>
      <xdr:rowOff>0</xdr:rowOff>
    </xdr:from>
    <xdr:to>
      <xdr:col>42</xdr:col>
      <xdr:colOff>758912</xdr:colOff>
      <xdr:row>70</xdr:row>
      <xdr:rowOff>48468</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40</xdr:col>
      <xdr:colOff>17318</xdr:colOff>
      <xdr:row>35</xdr:row>
      <xdr:rowOff>155864</xdr:rowOff>
    </xdr:from>
    <xdr:to>
      <xdr:col>47</xdr:col>
      <xdr:colOff>338741</xdr:colOff>
      <xdr:row>51</xdr:row>
      <xdr:rowOff>23083</xdr:rowOff>
    </xdr:to>
    <xdr:graphicFrame macro="">
      <xdr:nvGraphicFramePr>
        <xdr:cNvPr id="26" name="Gráfico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623454</xdr:colOff>
      <xdr:row>60</xdr:row>
      <xdr:rowOff>34636</xdr:rowOff>
    </xdr:from>
    <xdr:to>
      <xdr:col>30</xdr:col>
      <xdr:colOff>780509</xdr:colOff>
      <xdr:row>75</xdr:row>
      <xdr:rowOff>128088</xdr:rowOff>
    </xdr:to>
    <xdr:graphicFrame macro="">
      <xdr:nvGraphicFramePr>
        <xdr:cNvPr id="27" name="Gráfico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714202</xdr:colOff>
      <xdr:row>79</xdr:row>
      <xdr:rowOff>169026</xdr:rowOff>
    </xdr:from>
    <xdr:to>
      <xdr:col>41</xdr:col>
      <xdr:colOff>63327</xdr:colOff>
      <xdr:row>92</xdr:row>
      <xdr:rowOff>143454</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44</xdr:col>
      <xdr:colOff>0</xdr:colOff>
      <xdr:row>97</xdr:row>
      <xdr:rowOff>0</xdr:rowOff>
    </xdr:from>
    <xdr:to>
      <xdr:col>51</xdr:col>
      <xdr:colOff>321423</xdr:colOff>
      <xdr:row>112</xdr:row>
      <xdr:rowOff>24526</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41</xdr:col>
      <xdr:colOff>0</xdr:colOff>
      <xdr:row>126</xdr:row>
      <xdr:rowOff>0</xdr:rowOff>
    </xdr:from>
    <xdr:to>
      <xdr:col>48</xdr:col>
      <xdr:colOff>324485</xdr:colOff>
      <xdr:row>139</xdr:row>
      <xdr:rowOff>156373</xdr:rowOff>
    </xdr:to>
    <xdr:graphicFrame macro="">
      <xdr:nvGraphicFramePr>
        <xdr:cNvPr id="33" name="Gráfico 32">
          <a:extLst>
            <a:ext uri="{FF2B5EF4-FFF2-40B4-BE49-F238E27FC236}">
              <a16:creationId xmlns:a16="http://schemas.microsoft.com/office/drawing/2014/main" id="{24DA6D82-8AB0-4C19-AB17-0093456B8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44</xdr:col>
      <xdr:colOff>0</xdr:colOff>
      <xdr:row>195</xdr:row>
      <xdr:rowOff>0</xdr:rowOff>
    </xdr:from>
    <xdr:to>
      <xdr:col>51</xdr:col>
      <xdr:colOff>324485</xdr:colOff>
      <xdr:row>207</xdr:row>
      <xdr:rowOff>164929</xdr:rowOff>
    </xdr:to>
    <xdr:graphicFrame macro="">
      <xdr:nvGraphicFramePr>
        <xdr:cNvPr id="34" name="Gráfico 33">
          <a:extLst>
            <a:ext uri="{FF2B5EF4-FFF2-40B4-BE49-F238E27FC236}">
              <a16:creationId xmlns:a16="http://schemas.microsoft.com/office/drawing/2014/main" id="{07D430E6-CB13-43B9-B333-FDC03DF74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35</xdr:col>
      <xdr:colOff>1119051</xdr:colOff>
      <xdr:row>110</xdr:row>
      <xdr:rowOff>152400</xdr:rowOff>
    </xdr:from>
    <xdr:to>
      <xdr:col>44</xdr:col>
      <xdr:colOff>271256</xdr:colOff>
      <xdr:row>125</xdr:row>
      <xdr:rowOff>15240</xdr:rowOff>
    </xdr:to>
    <xdr:graphicFrame macro="">
      <xdr:nvGraphicFramePr>
        <xdr:cNvPr id="35" name="Gráfico 34">
          <a:extLst>
            <a:ext uri="{FF2B5EF4-FFF2-40B4-BE49-F238E27FC236}">
              <a16:creationId xmlns:a16="http://schemas.microsoft.com/office/drawing/2014/main" id="{C4E01351-12E5-4F54-B9B2-393A145A2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28</xdr:col>
      <xdr:colOff>914399</xdr:colOff>
      <xdr:row>110</xdr:row>
      <xdr:rowOff>141514</xdr:rowOff>
    </xdr:from>
    <xdr:to>
      <xdr:col>35</xdr:col>
      <xdr:colOff>412373</xdr:colOff>
      <xdr:row>123</xdr:row>
      <xdr:rowOff>56342</xdr:rowOff>
    </xdr:to>
    <xdr:graphicFrame macro="">
      <xdr:nvGraphicFramePr>
        <xdr:cNvPr id="36" name="Gráfico 35">
          <a:extLst>
            <a:ext uri="{FF2B5EF4-FFF2-40B4-BE49-F238E27FC236}">
              <a16:creationId xmlns:a16="http://schemas.microsoft.com/office/drawing/2014/main" id="{984978D1-04BE-477A-A13A-83FE338EB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34</xdr:col>
      <xdr:colOff>20782</xdr:colOff>
      <xdr:row>178</xdr:row>
      <xdr:rowOff>54428</xdr:rowOff>
    </xdr:from>
    <xdr:to>
      <xdr:col>40</xdr:col>
      <xdr:colOff>171096</xdr:colOff>
      <xdr:row>189</xdr:row>
      <xdr:rowOff>93713</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727364</xdr:colOff>
      <xdr:row>202</xdr:row>
      <xdr:rowOff>121228</xdr:rowOff>
    </xdr:from>
    <xdr:to>
      <xdr:col>46</xdr:col>
      <xdr:colOff>37523</xdr:colOff>
      <xdr:row>219</xdr:row>
      <xdr:rowOff>121229</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173182</xdr:colOff>
      <xdr:row>189</xdr:row>
      <xdr:rowOff>17318</xdr:rowOff>
    </xdr:from>
    <xdr:to>
      <xdr:col>53</xdr:col>
      <xdr:colOff>356165</xdr:colOff>
      <xdr:row>204</xdr:row>
      <xdr:rowOff>75037</xdr:rowOff>
    </xdr:to>
    <xdr:graphicFrame macro="">
      <xdr:nvGraphicFramePr>
        <xdr:cNvPr id="5" name="Gráfico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502228</xdr:colOff>
      <xdr:row>206</xdr:row>
      <xdr:rowOff>121227</xdr:rowOff>
    </xdr:from>
    <xdr:to>
      <xdr:col>30</xdr:col>
      <xdr:colOff>819478</xdr:colOff>
      <xdr:row>222</xdr:row>
      <xdr:rowOff>6862</xdr:rowOff>
    </xdr:to>
    <xdr:graphicFrame macro="">
      <xdr:nvGraphicFramePr>
        <xdr:cNvPr id="6" name="Gráfico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31667</xdr:colOff>
      <xdr:row>223</xdr:row>
      <xdr:rowOff>1485</xdr:rowOff>
    </xdr:from>
    <xdr:to>
      <xdr:col>40</xdr:col>
      <xdr:colOff>181981</xdr:colOff>
      <xdr:row>234</xdr:row>
      <xdr:rowOff>40769</xdr:rowOff>
    </xdr:to>
    <xdr:graphicFrame macro="">
      <xdr:nvGraphicFramePr>
        <xdr:cNvPr id="8" name="Gráfico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121228</xdr:colOff>
      <xdr:row>235</xdr:row>
      <xdr:rowOff>0</xdr:rowOff>
    </xdr:from>
    <xdr:to>
      <xdr:col>53</xdr:col>
      <xdr:colOff>304211</xdr:colOff>
      <xdr:row>250</xdr:row>
      <xdr:rowOff>23083</xdr:rowOff>
    </xdr:to>
    <xdr:graphicFrame macro="">
      <xdr:nvGraphicFramePr>
        <xdr:cNvPr id="11" name="Gráfico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26225</xdr:colOff>
      <xdr:row>93</xdr:row>
      <xdr:rowOff>23750</xdr:rowOff>
    </xdr:from>
    <xdr:to>
      <xdr:col>40</xdr:col>
      <xdr:colOff>176538</xdr:colOff>
      <xdr:row>105</xdr:row>
      <xdr:rowOff>6941</xdr:rowOff>
    </xdr:to>
    <xdr:graphicFrame macro="">
      <xdr:nvGraphicFramePr>
        <xdr:cNvPr id="14" name="Gráfico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0</xdr:colOff>
      <xdr:row>120</xdr:row>
      <xdr:rowOff>0</xdr:rowOff>
    </xdr:from>
    <xdr:to>
      <xdr:col>41</xdr:col>
      <xdr:colOff>758912</xdr:colOff>
      <xdr:row>137</xdr:row>
      <xdr:rowOff>48469</xdr:rowOff>
    </xdr:to>
    <xdr:graphicFrame macro="">
      <xdr:nvGraphicFramePr>
        <xdr:cNvPr id="15" name="Gráfico 14">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0</xdr:colOff>
      <xdr:row>112</xdr:row>
      <xdr:rowOff>0</xdr:rowOff>
    </xdr:from>
    <xdr:to>
      <xdr:col>50</xdr:col>
      <xdr:colOff>321423</xdr:colOff>
      <xdr:row>127</xdr:row>
      <xdr:rowOff>23083</xdr:rowOff>
    </xdr:to>
    <xdr:graphicFrame macro="">
      <xdr:nvGraphicFramePr>
        <xdr:cNvPr id="16" name="Gráfico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613474</xdr:colOff>
      <xdr:row>122</xdr:row>
      <xdr:rowOff>96865</xdr:rowOff>
    </xdr:from>
    <xdr:to>
      <xdr:col>30</xdr:col>
      <xdr:colOff>701534</xdr:colOff>
      <xdr:row>136</xdr:row>
      <xdr:rowOff>1</xdr:rowOff>
    </xdr:to>
    <xdr:graphicFrame macro="">
      <xdr:nvGraphicFramePr>
        <xdr:cNvPr id="17" name="Gráfico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87086</xdr:colOff>
      <xdr:row>139</xdr:row>
      <xdr:rowOff>54428</xdr:rowOff>
    </xdr:from>
    <xdr:to>
      <xdr:col>40</xdr:col>
      <xdr:colOff>227343</xdr:colOff>
      <xdr:row>151</xdr:row>
      <xdr:rowOff>26081</xdr:rowOff>
    </xdr:to>
    <xdr:graphicFrame macro="">
      <xdr:nvGraphicFramePr>
        <xdr:cNvPr id="19" name="Gráfico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0</xdr:colOff>
      <xdr:row>161</xdr:row>
      <xdr:rowOff>97971</xdr:rowOff>
    </xdr:from>
    <xdr:to>
      <xdr:col>42</xdr:col>
      <xdr:colOff>21936</xdr:colOff>
      <xdr:row>174</xdr:row>
      <xdr:rowOff>141514</xdr:rowOff>
    </xdr:to>
    <xdr:graphicFrame macro="">
      <xdr:nvGraphicFramePr>
        <xdr:cNvPr id="20" name="Gráfico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42</xdr:col>
      <xdr:colOff>355170</xdr:colOff>
      <xdr:row>157</xdr:row>
      <xdr:rowOff>32288</xdr:rowOff>
    </xdr:from>
    <xdr:to>
      <xdr:col>49</xdr:col>
      <xdr:colOff>699194</xdr:colOff>
      <xdr:row>172</xdr:row>
      <xdr:rowOff>43019</xdr:rowOff>
    </xdr:to>
    <xdr:graphicFrame macro="">
      <xdr:nvGraphicFramePr>
        <xdr:cNvPr id="21" name="Gráfico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277216</xdr:colOff>
      <xdr:row>163</xdr:row>
      <xdr:rowOff>74724</xdr:rowOff>
    </xdr:from>
    <xdr:to>
      <xdr:col>33</xdr:col>
      <xdr:colOff>638341</xdr:colOff>
      <xdr:row>174</xdr:row>
      <xdr:rowOff>0</xdr:rowOff>
    </xdr:to>
    <xdr:graphicFrame macro="">
      <xdr:nvGraphicFramePr>
        <xdr:cNvPr id="22" name="Gráfico 21">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33</xdr:col>
      <xdr:colOff>711447</xdr:colOff>
      <xdr:row>11</xdr:row>
      <xdr:rowOff>140775</xdr:rowOff>
    </xdr:from>
    <xdr:to>
      <xdr:col>40</xdr:col>
      <xdr:colOff>92933</xdr:colOff>
      <xdr:row>23</xdr:row>
      <xdr:rowOff>95201</xdr:rowOff>
    </xdr:to>
    <xdr:graphicFrame macro="">
      <xdr:nvGraphicFramePr>
        <xdr:cNvPr id="24" name="Gráfico 23">
          <a:extLst>
            <a:ext uri="{FF2B5EF4-FFF2-40B4-BE49-F238E27FC236}">
              <a16:creationId xmlns:a16="http://schemas.microsoft.com/office/drawing/2014/main" id="{00000000-0008-0000-0F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34</xdr:col>
      <xdr:colOff>0</xdr:colOff>
      <xdr:row>39</xdr:row>
      <xdr:rowOff>0</xdr:rowOff>
    </xdr:from>
    <xdr:to>
      <xdr:col>42</xdr:col>
      <xdr:colOff>26266</xdr:colOff>
      <xdr:row>53</xdr:row>
      <xdr:rowOff>28215</xdr:rowOff>
    </xdr:to>
    <xdr:graphicFrame macro="">
      <xdr:nvGraphicFramePr>
        <xdr:cNvPr id="25" name="Gráfico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0</xdr:colOff>
      <xdr:row>30</xdr:row>
      <xdr:rowOff>0</xdr:rowOff>
    </xdr:from>
    <xdr:to>
      <xdr:col>50</xdr:col>
      <xdr:colOff>344024</xdr:colOff>
      <xdr:row>45</xdr:row>
      <xdr:rowOff>9287</xdr:rowOff>
    </xdr:to>
    <xdr:graphicFrame macro="">
      <xdr:nvGraphicFramePr>
        <xdr:cNvPr id="26" name="Gráfico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871779</xdr:colOff>
      <xdr:row>40</xdr:row>
      <xdr:rowOff>177585</xdr:rowOff>
    </xdr:from>
    <xdr:to>
      <xdr:col>30</xdr:col>
      <xdr:colOff>959839</xdr:colOff>
      <xdr:row>53</xdr:row>
      <xdr:rowOff>0</xdr:rowOff>
    </xdr:to>
    <xdr:graphicFrame macro="">
      <xdr:nvGraphicFramePr>
        <xdr:cNvPr id="27" name="Gráfico 26">
          <a:extLst>
            <a:ext uri="{FF2B5EF4-FFF2-40B4-BE49-F238E27FC236}">
              <a16:creationId xmlns:a16="http://schemas.microsoft.com/office/drawing/2014/main" id="{00000000-0008-0000-0F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54429</xdr:colOff>
      <xdr:row>56</xdr:row>
      <xdr:rowOff>21771</xdr:rowOff>
    </xdr:from>
    <xdr:to>
      <xdr:col>40</xdr:col>
      <xdr:colOff>194686</xdr:colOff>
      <xdr:row>67</xdr:row>
      <xdr:rowOff>178482</xdr:rowOff>
    </xdr:to>
    <xdr:graphicFrame macro="">
      <xdr:nvGraphicFramePr>
        <xdr:cNvPr id="30" name="Gráfico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43</xdr:col>
      <xdr:colOff>0</xdr:colOff>
      <xdr:row>75</xdr:row>
      <xdr:rowOff>0</xdr:rowOff>
    </xdr:from>
    <xdr:to>
      <xdr:col>50</xdr:col>
      <xdr:colOff>344024</xdr:colOff>
      <xdr:row>90</xdr:row>
      <xdr:rowOff>10731</xdr:rowOff>
    </xdr:to>
    <xdr:graphicFrame macro="">
      <xdr:nvGraphicFramePr>
        <xdr:cNvPr id="32" name="Gráfico 31">
          <a:extLst>
            <a:ext uri="{FF2B5EF4-FFF2-40B4-BE49-F238E27FC236}">
              <a16:creationId xmlns:a16="http://schemas.microsoft.com/office/drawing/2014/main" id="{00000000-0008-0000-0F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53</xdr:col>
      <xdr:colOff>516611</xdr:colOff>
      <xdr:row>222</xdr:row>
      <xdr:rowOff>129152</xdr:rowOff>
    </xdr:from>
    <xdr:to>
      <xdr:col>61</xdr:col>
      <xdr:colOff>79095</xdr:colOff>
      <xdr:row>233</xdr:row>
      <xdr:rowOff>168436</xdr:rowOff>
    </xdr:to>
    <xdr:graphicFrame macro="">
      <xdr:nvGraphicFramePr>
        <xdr:cNvPr id="33" name="Gráfico 32">
          <a:extLst>
            <a:ext uri="{FF2B5EF4-FFF2-40B4-BE49-F238E27FC236}">
              <a16:creationId xmlns:a16="http://schemas.microsoft.com/office/drawing/2014/main" id="{00000000-0008-0000-0F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35</xdr:col>
      <xdr:colOff>43544</xdr:colOff>
      <xdr:row>244</xdr:row>
      <xdr:rowOff>141513</xdr:rowOff>
    </xdr:from>
    <xdr:to>
      <xdr:col>42</xdr:col>
      <xdr:colOff>119743</xdr:colOff>
      <xdr:row>257</xdr:row>
      <xdr:rowOff>152400</xdr:rowOff>
    </xdr:to>
    <xdr:graphicFrame macro="">
      <xdr:nvGraphicFramePr>
        <xdr:cNvPr id="34" name="Gráfico 33">
          <a:extLst>
            <a:ext uri="{FF2B5EF4-FFF2-40B4-BE49-F238E27FC236}">
              <a16:creationId xmlns:a16="http://schemas.microsoft.com/office/drawing/2014/main" id="{F1E1AD1E-CC62-4238-91AE-58C23CE73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642257</xdr:colOff>
      <xdr:row>246</xdr:row>
      <xdr:rowOff>185056</xdr:rowOff>
    </xdr:from>
    <xdr:to>
      <xdr:col>34</xdr:col>
      <xdr:colOff>381000</xdr:colOff>
      <xdr:row>258</xdr:row>
      <xdr:rowOff>43543</xdr:rowOff>
    </xdr:to>
    <xdr:graphicFrame macro="">
      <xdr:nvGraphicFramePr>
        <xdr:cNvPr id="35" name="Gráfico 34">
          <a:extLst>
            <a:ext uri="{FF2B5EF4-FFF2-40B4-BE49-F238E27FC236}">
              <a16:creationId xmlns:a16="http://schemas.microsoft.com/office/drawing/2014/main" id="{57C3ED98-0650-4A25-9782-611C90D08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326573</xdr:colOff>
      <xdr:row>81</xdr:row>
      <xdr:rowOff>32657</xdr:rowOff>
    </xdr:from>
    <xdr:to>
      <xdr:col>32</xdr:col>
      <xdr:colOff>1175659</xdr:colOff>
      <xdr:row>90</xdr:row>
      <xdr:rowOff>54428</xdr:rowOff>
    </xdr:to>
    <xdr:graphicFrame macro="">
      <xdr:nvGraphicFramePr>
        <xdr:cNvPr id="36" name="Gráfico 35">
          <a:extLst>
            <a:ext uri="{FF2B5EF4-FFF2-40B4-BE49-F238E27FC236}">
              <a16:creationId xmlns:a16="http://schemas.microsoft.com/office/drawing/2014/main" id="{2A775E26-28D1-46E6-8B5A-DB4C3B069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751117</xdr:colOff>
      <xdr:row>78</xdr:row>
      <xdr:rowOff>54430</xdr:rowOff>
    </xdr:from>
    <xdr:to>
      <xdr:col>40</xdr:col>
      <xdr:colOff>619633</xdr:colOff>
      <xdr:row>91</xdr:row>
      <xdr:rowOff>180424</xdr:rowOff>
    </xdr:to>
    <xdr:graphicFrame macro="">
      <xdr:nvGraphicFramePr>
        <xdr:cNvPr id="37" name="Gráfico 36">
          <a:extLst>
            <a:ext uri="{FF2B5EF4-FFF2-40B4-BE49-F238E27FC236}">
              <a16:creationId xmlns:a16="http://schemas.microsoft.com/office/drawing/2014/main" id="{DF89C369-3761-400A-95A1-EFC4D0D04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43</xdr:col>
      <xdr:colOff>0</xdr:colOff>
      <xdr:row>93</xdr:row>
      <xdr:rowOff>0</xdr:rowOff>
    </xdr:from>
    <xdr:to>
      <xdr:col>50</xdr:col>
      <xdr:colOff>357142</xdr:colOff>
      <xdr:row>104</xdr:row>
      <xdr:rowOff>168248</xdr:rowOff>
    </xdr:to>
    <xdr:graphicFrame macro="">
      <xdr:nvGraphicFramePr>
        <xdr:cNvPr id="38" name="Gráfico 37">
          <a:extLst>
            <a:ext uri="{FF2B5EF4-FFF2-40B4-BE49-F238E27FC236}">
              <a16:creationId xmlns:a16="http://schemas.microsoft.com/office/drawing/2014/main" id="{97ACE32B-72DD-40FF-A606-0CB7F29E7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43</xdr:col>
      <xdr:colOff>0</xdr:colOff>
      <xdr:row>139</xdr:row>
      <xdr:rowOff>0</xdr:rowOff>
    </xdr:from>
    <xdr:to>
      <xdr:col>50</xdr:col>
      <xdr:colOff>347086</xdr:colOff>
      <xdr:row>150</xdr:row>
      <xdr:rowOff>156710</xdr:rowOff>
    </xdr:to>
    <xdr:graphicFrame macro="">
      <xdr:nvGraphicFramePr>
        <xdr:cNvPr id="39" name="Gráfico 38">
          <a:extLst>
            <a:ext uri="{FF2B5EF4-FFF2-40B4-BE49-F238E27FC236}">
              <a16:creationId xmlns:a16="http://schemas.microsoft.com/office/drawing/2014/main" id="{1B6FC65E-0044-4E6B-95FE-FFA52561F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34</xdr:col>
      <xdr:colOff>45721</xdr:colOff>
      <xdr:row>9</xdr:row>
      <xdr:rowOff>48491</xdr:rowOff>
    </xdr:from>
    <xdr:to>
      <xdr:col>40</xdr:col>
      <xdr:colOff>131015</xdr:colOff>
      <xdr:row>20</xdr:row>
      <xdr:rowOff>118890</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121227</xdr:colOff>
      <xdr:row>68</xdr:row>
      <xdr:rowOff>69273</xdr:rowOff>
    </xdr:from>
    <xdr:to>
      <xdr:col>46</xdr:col>
      <xdr:colOff>147890</xdr:colOff>
      <xdr:row>85</xdr:row>
      <xdr:rowOff>106846</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727363</xdr:colOff>
      <xdr:row>32</xdr:row>
      <xdr:rowOff>155863</xdr:rowOff>
    </xdr:from>
    <xdr:to>
      <xdr:col>47</xdr:col>
      <xdr:colOff>125744</xdr:colOff>
      <xdr:row>48</xdr:row>
      <xdr:rowOff>71514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710045</xdr:colOff>
      <xdr:row>84</xdr:row>
      <xdr:rowOff>0</xdr:rowOff>
    </xdr:from>
    <xdr:to>
      <xdr:col>32</xdr:col>
      <xdr:colOff>374487</xdr:colOff>
      <xdr:row>99</xdr:row>
      <xdr:rowOff>127796</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33</xdr:col>
      <xdr:colOff>534094</xdr:colOff>
      <xdr:row>9</xdr:row>
      <xdr:rowOff>61652</xdr:rowOff>
    </xdr:from>
    <xdr:to>
      <xdr:col>39</xdr:col>
      <xdr:colOff>619388</xdr:colOff>
      <xdr:row>20</xdr:row>
      <xdr:rowOff>124431</xdr:rowOff>
    </xdr:to>
    <xdr:graphicFrame macro="">
      <xdr:nvGraphicFramePr>
        <xdr:cNvPr id="4" name="Gráfico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0</xdr:colOff>
      <xdr:row>29</xdr:row>
      <xdr:rowOff>0</xdr:rowOff>
    </xdr:from>
    <xdr:to>
      <xdr:col>46</xdr:col>
      <xdr:colOff>160381</xdr:colOff>
      <xdr:row>44</xdr:row>
      <xdr:rowOff>106151</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0</xdr:colOff>
      <xdr:row>49</xdr:row>
      <xdr:rowOff>0</xdr:rowOff>
    </xdr:from>
    <xdr:to>
      <xdr:col>42</xdr:col>
      <xdr:colOff>472440</xdr:colOff>
      <xdr:row>66</xdr:row>
      <xdr:rowOff>37572</xdr:rowOff>
    </xdr:to>
    <xdr:graphicFrame macro="">
      <xdr:nvGraphicFramePr>
        <xdr:cNvPr id="7" name="Gráfico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52</xdr:row>
      <xdr:rowOff>0</xdr:rowOff>
    </xdr:from>
    <xdr:to>
      <xdr:col>32</xdr:col>
      <xdr:colOff>720851</xdr:colOff>
      <xdr:row>67</xdr:row>
      <xdr:rowOff>110477</xdr:rowOff>
    </xdr:to>
    <xdr:graphicFrame macro="">
      <xdr:nvGraphicFramePr>
        <xdr:cNvPr id="8" name="Gráfico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0</xdr:colOff>
      <xdr:row>29</xdr:row>
      <xdr:rowOff>0</xdr:rowOff>
    </xdr:from>
    <xdr:to>
      <xdr:col>20</xdr:col>
      <xdr:colOff>552333</xdr:colOff>
      <xdr:row>47</xdr:row>
      <xdr:rowOff>80963</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280146</xdr:colOff>
      <xdr:row>34</xdr:row>
      <xdr:rowOff>134471</xdr:rowOff>
    </xdr:from>
    <xdr:to>
      <xdr:col>20</xdr:col>
      <xdr:colOff>224715</xdr:colOff>
      <xdr:row>37</xdr:row>
      <xdr:rowOff>20179</xdr:rowOff>
    </xdr:to>
    <xdr:sp macro="" textlink="">
      <xdr:nvSpPr>
        <xdr:cNvPr id="3" name="CuadroTexto 1">
          <a:extLst>
            <a:ext uri="{FF2B5EF4-FFF2-40B4-BE49-F238E27FC236}">
              <a16:creationId xmlns:a16="http://schemas.microsoft.com/office/drawing/2014/main" id="{00000000-0008-0000-1200-000003000000}"/>
            </a:ext>
          </a:extLst>
        </xdr:cNvPr>
        <xdr:cNvSpPr txBox="1"/>
      </xdr:nvSpPr>
      <xdr:spPr>
        <a:xfrm>
          <a:off x="17088970" y="6925236"/>
          <a:ext cx="2331421" cy="457208"/>
        </a:xfrm>
        <a:prstGeom prst="rect">
          <a:avLst/>
        </a:prstGeom>
        <a:ln w="6350">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ES" sz="1100"/>
            <a:t>SIN</a:t>
          </a:r>
          <a:r>
            <a:rPr lang="es-ES" sz="1100" baseline="0"/>
            <a:t> VARIEDAD: 2,03 ha (0%)</a:t>
          </a:r>
        </a:p>
        <a:p>
          <a:r>
            <a:rPr lang="es-ES" sz="1100" baseline="0"/>
            <a:t>RESTO VARIEDADES: 64.138 ha (13%)</a:t>
          </a:r>
          <a:endParaRPr lang="es-ES" sz="1100"/>
        </a:p>
      </xdr:txBody>
    </xdr:sp>
    <xdr:clientData/>
  </xdr:twoCellAnchor>
  <xdr:twoCellAnchor>
    <xdr:from>
      <xdr:col>21</xdr:col>
      <xdr:colOff>10885</xdr:colOff>
      <xdr:row>28</xdr:row>
      <xdr:rowOff>174171</xdr:rowOff>
    </xdr:from>
    <xdr:to>
      <xdr:col>29</xdr:col>
      <xdr:colOff>97970</xdr:colOff>
      <xdr:row>47</xdr:row>
      <xdr:rowOff>43542</xdr:rowOff>
    </xdr:to>
    <xdr:graphicFrame macro="">
      <xdr:nvGraphicFramePr>
        <xdr:cNvPr id="7" name="Gráfico 6">
          <a:extLst>
            <a:ext uri="{FF2B5EF4-FFF2-40B4-BE49-F238E27FC236}">
              <a16:creationId xmlns:a16="http://schemas.microsoft.com/office/drawing/2014/main" id="{2D061DC1-1F93-0ED9-583F-3576B7865A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0.50215</cdr:x>
      <cdr:y>0.28062</cdr:y>
    </cdr:from>
    <cdr:to>
      <cdr:x>0.95261</cdr:x>
      <cdr:y>0.41005</cdr:y>
    </cdr:to>
    <cdr:sp macro="" textlink="">
      <cdr:nvSpPr>
        <cdr:cNvPr id="2" name="CuadroTexto 1">
          <a:extLst xmlns:a="http://schemas.openxmlformats.org/drawingml/2006/main">
            <a:ext uri="{FF2B5EF4-FFF2-40B4-BE49-F238E27FC236}">
              <a16:creationId xmlns:a16="http://schemas.microsoft.com/office/drawing/2014/main" id="{00000000-0008-0000-1200-000003000000}"/>
            </a:ext>
          </a:extLst>
        </cdr:cNvPr>
        <cdr:cNvSpPr txBox="1"/>
      </cdr:nvSpPr>
      <cdr:spPr>
        <a:xfrm xmlns:a="http://schemas.openxmlformats.org/drawingml/2006/main">
          <a:off x="3320473" y="923637"/>
          <a:ext cx="2978715" cy="426035"/>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2,03 ha (0%)</a:t>
          </a:r>
        </a:p>
        <a:p xmlns:a="http://schemas.openxmlformats.org/drawingml/2006/main">
          <a:r>
            <a:rPr lang="es-ES" sz="1100" baseline="0"/>
            <a:t>RESTO VARIEDADES: 64.138 ha (13%)</a:t>
          </a:r>
          <a:endParaRPr lang="es-ES" sz="1100"/>
        </a:p>
      </cdr:txBody>
    </cdr:sp>
  </cdr:relSizeAnchor>
</c:userShapes>
</file>

<file path=xl/drawings/drawing29.xml><?xml version="1.0" encoding="utf-8"?>
<xdr:wsDr xmlns:xdr="http://schemas.openxmlformats.org/drawingml/2006/spreadsheetDrawing" xmlns:a="http://schemas.openxmlformats.org/drawingml/2006/main">
  <xdr:twoCellAnchor>
    <xdr:from>
      <xdr:col>15</xdr:col>
      <xdr:colOff>0</xdr:colOff>
      <xdr:row>30</xdr:row>
      <xdr:rowOff>0</xdr:rowOff>
    </xdr:from>
    <xdr:to>
      <xdr:col>20</xdr:col>
      <xdr:colOff>539526</xdr:colOff>
      <xdr:row>48</xdr:row>
      <xdr:rowOff>80963</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1164770</xdr:colOff>
      <xdr:row>30</xdr:row>
      <xdr:rowOff>21771</xdr:rowOff>
    </xdr:from>
    <xdr:to>
      <xdr:col>29</xdr:col>
      <xdr:colOff>65314</xdr:colOff>
      <xdr:row>48</xdr:row>
      <xdr:rowOff>108856</xdr:rowOff>
    </xdr:to>
    <xdr:graphicFrame macro="">
      <xdr:nvGraphicFramePr>
        <xdr:cNvPr id="5" name="Gráfico 4">
          <a:extLst>
            <a:ext uri="{FF2B5EF4-FFF2-40B4-BE49-F238E27FC236}">
              <a16:creationId xmlns:a16="http://schemas.microsoft.com/office/drawing/2014/main" id="{A2400DCD-A2EB-3B38-EF6C-609DDEFBE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128153</xdr:colOff>
      <xdr:row>21</xdr:row>
      <xdr:rowOff>68407</xdr:rowOff>
    </xdr:from>
    <xdr:to>
      <xdr:col>24</xdr:col>
      <xdr:colOff>729094</xdr:colOff>
      <xdr:row>40</xdr:row>
      <xdr:rowOff>163656</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242454</xdr:colOff>
      <xdr:row>22</xdr:row>
      <xdr:rowOff>62355</xdr:rowOff>
    </xdr:from>
    <xdr:to>
      <xdr:col>17</xdr:col>
      <xdr:colOff>862177</xdr:colOff>
      <xdr:row>40</xdr:row>
      <xdr:rowOff>163656</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88</xdr:row>
      <xdr:rowOff>0</xdr:rowOff>
    </xdr:from>
    <xdr:to>
      <xdr:col>17</xdr:col>
      <xdr:colOff>341108</xdr:colOff>
      <xdr:row>105</xdr:row>
      <xdr:rowOff>29583</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88</xdr:row>
      <xdr:rowOff>0</xdr:rowOff>
    </xdr:from>
    <xdr:to>
      <xdr:col>25</xdr:col>
      <xdr:colOff>364092</xdr:colOff>
      <xdr:row>106</xdr:row>
      <xdr:rowOff>89647</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181429</xdr:colOff>
      <xdr:row>42</xdr:row>
      <xdr:rowOff>99786</xdr:rowOff>
    </xdr:from>
    <xdr:to>
      <xdr:col>17</xdr:col>
      <xdr:colOff>801152</xdr:colOff>
      <xdr:row>61</xdr:row>
      <xdr:rowOff>19658</xdr:rowOff>
    </xdr:to>
    <xdr:graphicFrame macro="">
      <xdr:nvGraphicFramePr>
        <xdr:cNvPr id="7" name="Gráfico 6">
          <a:extLst>
            <a:ext uri="{FF2B5EF4-FFF2-40B4-BE49-F238E27FC236}">
              <a16:creationId xmlns:a16="http://schemas.microsoft.com/office/drawing/2014/main" id="{E6ACBD35-2B24-42BF-93ED-25DA5AE04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107</xdr:row>
      <xdr:rowOff>0</xdr:rowOff>
    </xdr:from>
    <xdr:to>
      <xdr:col>17</xdr:col>
      <xdr:colOff>341108</xdr:colOff>
      <xdr:row>124</xdr:row>
      <xdr:rowOff>29583</xdr:rowOff>
    </xdr:to>
    <xdr:graphicFrame macro="">
      <xdr:nvGraphicFramePr>
        <xdr:cNvPr id="8" name="Gráfico 7">
          <a:extLst>
            <a:ext uri="{FF2B5EF4-FFF2-40B4-BE49-F238E27FC236}">
              <a16:creationId xmlns:a16="http://schemas.microsoft.com/office/drawing/2014/main" id="{4358553A-0527-475A-BF32-F783E6FC0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10</xdr:row>
      <xdr:rowOff>0</xdr:rowOff>
    </xdr:from>
    <xdr:to>
      <xdr:col>29</xdr:col>
      <xdr:colOff>0</xdr:colOff>
      <xdr:row>23</xdr:row>
      <xdr:rowOff>12700</xdr:rowOff>
    </xdr:to>
    <xdr:graphicFrame macro="">
      <xdr:nvGraphicFramePr>
        <xdr:cNvPr id="9" name="Gráfico 8">
          <a:extLst>
            <a:ext uri="{FF2B5EF4-FFF2-40B4-BE49-F238E27FC236}">
              <a16:creationId xmlns:a16="http://schemas.microsoft.com/office/drawing/2014/main" id="{6AB39648-10E9-4791-918D-5E328D426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0.51148</cdr:x>
      <cdr:y>0.37501</cdr:y>
    </cdr:from>
    <cdr:to>
      <cdr:x>0.91213</cdr:x>
      <cdr:y>0.46521</cdr:y>
    </cdr:to>
    <cdr:sp macro="" textlink="">
      <cdr:nvSpPr>
        <cdr:cNvPr id="2" name="CuadroTexto 1"/>
        <cdr:cNvSpPr txBox="1"/>
      </cdr:nvSpPr>
      <cdr:spPr>
        <a:xfrm xmlns:a="http://schemas.openxmlformats.org/drawingml/2006/main">
          <a:off x="2976336" y="1316265"/>
          <a:ext cx="2331421" cy="31659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17.370 ha (15%)</a:t>
          </a:r>
          <a:endParaRPr lang="es-ES" sz="1100"/>
        </a:p>
      </cdr:txBody>
    </cdr:sp>
  </cdr:relSizeAnchor>
</c:userShapes>
</file>

<file path=xl/drawings/drawing31.xml><?xml version="1.0" encoding="utf-8"?>
<c:userShapes xmlns:c="http://schemas.openxmlformats.org/drawingml/2006/chart">
  <cdr:relSizeAnchor xmlns:cdr="http://schemas.openxmlformats.org/drawingml/2006/chartDrawing">
    <cdr:from>
      <cdr:x>0.57268</cdr:x>
      <cdr:y>0.27745</cdr:y>
    </cdr:from>
    <cdr:to>
      <cdr:x>0.96843</cdr:x>
      <cdr:y>0.36748</cdr:y>
    </cdr:to>
    <cdr:sp macro="" textlink="">
      <cdr:nvSpPr>
        <cdr:cNvPr id="2" name="CuadroTexto 1">
          <a:extLst xmlns:a="http://schemas.openxmlformats.org/drawingml/2006/main">
            <a:ext uri="{FF2B5EF4-FFF2-40B4-BE49-F238E27FC236}">
              <a16:creationId xmlns:a16="http://schemas.microsoft.com/office/drawing/2014/main" id="{03931830-2CFF-33A3-5CC4-2583EA8304B1}"/>
            </a:ext>
          </a:extLst>
        </cdr:cNvPr>
        <cdr:cNvSpPr txBox="1"/>
      </cdr:nvSpPr>
      <cdr:spPr>
        <a:xfrm xmlns:a="http://schemas.openxmlformats.org/drawingml/2006/main">
          <a:off x="3694545" y="923636"/>
          <a:ext cx="2553058" cy="29972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17.370 ha (15%)</a:t>
          </a:r>
          <a:endParaRPr lang="es-ES" sz="1100"/>
        </a:p>
      </cdr:txBody>
    </cdr:sp>
  </cdr:relSizeAnchor>
</c:userShapes>
</file>

<file path=xl/drawings/drawing32.xml><?xml version="1.0" encoding="utf-8"?>
<xdr:wsDr xmlns:xdr="http://schemas.openxmlformats.org/drawingml/2006/spreadsheetDrawing" xmlns:a="http://schemas.openxmlformats.org/drawingml/2006/main">
  <xdr:twoCellAnchor>
    <xdr:from>
      <xdr:col>16</xdr:col>
      <xdr:colOff>0</xdr:colOff>
      <xdr:row>28</xdr:row>
      <xdr:rowOff>179294</xdr:rowOff>
    </xdr:from>
    <xdr:to>
      <xdr:col>21</xdr:col>
      <xdr:colOff>602680</xdr:colOff>
      <xdr:row>47</xdr:row>
      <xdr:rowOff>69757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11206</xdr:colOff>
      <xdr:row>90</xdr:row>
      <xdr:rowOff>11205</xdr:rowOff>
    </xdr:from>
    <xdr:to>
      <xdr:col>21</xdr:col>
      <xdr:colOff>613886</xdr:colOff>
      <xdr:row>108</xdr:row>
      <xdr:rowOff>92168</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151</xdr:row>
      <xdr:rowOff>112059</xdr:rowOff>
    </xdr:from>
    <xdr:to>
      <xdr:col>21</xdr:col>
      <xdr:colOff>602680</xdr:colOff>
      <xdr:row>170</xdr:row>
      <xdr:rowOff>2522</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20782</xdr:colOff>
      <xdr:row>28</xdr:row>
      <xdr:rowOff>166253</xdr:rowOff>
    </xdr:from>
    <xdr:to>
      <xdr:col>30</xdr:col>
      <xdr:colOff>277091</xdr:colOff>
      <xdr:row>49</xdr:row>
      <xdr:rowOff>110836</xdr:rowOff>
    </xdr:to>
    <xdr:graphicFrame macro="">
      <xdr:nvGraphicFramePr>
        <xdr:cNvPr id="5" name="Gráfico 4">
          <a:extLst>
            <a:ext uri="{FF2B5EF4-FFF2-40B4-BE49-F238E27FC236}">
              <a16:creationId xmlns:a16="http://schemas.microsoft.com/office/drawing/2014/main" id="{030083CE-67E5-B7FF-BD69-EA2CFB4393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2 ha (0%)</a:t>
          </a:r>
        </a:p>
        <a:p xmlns:a="http://schemas.openxmlformats.org/drawingml/2006/main">
          <a:r>
            <a:rPr lang="es-ES" sz="1100" baseline="0"/>
            <a:t>RESTO VARIEDADES: 6.405 ha (15%)</a:t>
          </a:r>
          <a:endParaRPr lang="es-ES" sz="1100"/>
        </a:p>
      </cdr:txBody>
    </cdr:sp>
  </cdr:relSizeAnchor>
</c:userShapes>
</file>

<file path=xl/drawings/drawing34.xml><?xml version="1.0" encoding="utf-8"?>
<c:userShapes xmlns:c="http://schemas.openxmlformats.org/drawingml/2006/chart">
  <cdr:relSizeAnchor xmlns:cdr="http://schemas.openxmlformats.org/drawingml/2006/chartDrawing">
    <cdr:from>
      <cdr:x>0.53009</cdr:x>
      <cdr:y>0.35289</cdr:y>
    </cdr:from>
    <cdr:to>
      <cdr:x>0.93174</cdr:x>
      <cdr:y>0.44696</cdr:y>
    </cdr:to>
    <cdr:sp macro="" textlink="">
      <cdr:nvSpPr>
        <cdr:cNvPr id="3" name="CuadroTexto 1"/>
        <cdr:cNvSpPr txBox="1"/>
      </cdr:nvSpPr>
      <cdr:spPr>
        <a:xfrm xmlns:a="http://schemas.openxmlformats.org/drawingml/2006/main">
          <a:off x="3087573" y="1238631"/>
          <a:ext cx="2339459" cy="33019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1.357 ha (13%)</a:t>
          </a:r>
          <a:endParaRPr lang="es-ES" sz="1100"/>
        </a:p>
      </cdr:txBody>
    </cdr:sp>
  </cdr:relSizeAnchor>
</c:userShapes>
</file>

<file path=xl/drawings/drawing35.xml><?xml version="1.0" encoding="utf-8"?>
<c:userShapes xmlns:c="http://schemas.openxmlformats.org/drawingml/2006/chart">
  <cdr:relSizeAnchor xmlns:cdr="http://schemas.openxmlformats.org/drawingml/2006/chartDrawing">
    <cdr:from>
      <cdr:x>0.482</cdr:x>
      <cdr:y>0.38481</cdr:y>
    </cdr:from>
    <cdr:to>
      <cdr:x>0.88364</cdr:x>
      <cdr:y>0.51507</cdr:y>
    </cdr:to>
    <cdr:sp macro="" textlink="">
      <cdr:nvSpPr>
        <cdr:cNvPr id="4" name="CuadroTexto 1"/>
        <cdr:cNvSpPr txBox="1"/>
      </cdr:nvSpPr>
      <cdr:spPr>
        <a:xfrm xmlns:a="http://schemas.openxmlformats.org/drawingml/2006/main">
          <a:off x="2807447" y="1350683"/>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1,56 ha (0%)</a:t>
          </a:r>
        </a:p>
        <a:p xmlns:a="http://schemas.openxmlformats.org/drawingml/2006/main">
          <a:r>
            <a:rPr lang="es-ES" sz="1100" baseline="0"/>
            <a:t>RESTO VARIEDADES: 5.049 ha (15%)</a:t>
          </a:r>
          <a:endParaRPr lang="es-ES" sz="1100"/>
        </a:p>
      </cdr:txBody>
    </cdr:sp>
  </cdr:relSizeAnchor>
</c:userShapes>
</file>

<file path=xl/drawings/drawing36.xml><?xml version="1.0" encoding="utf-8"?>
<xdr:wsDr xmlns:xdr="http://schemas.openxmlformats.org/drawingml/2006/spreadsheetDrawing" xmlns:a="http://schemas.openxmlformats.org/drawingml/2006/main">
  <xdr:twoCellAnchor>
    <xdr:from>
      <xdr:col>16</xdr:col>
      <xdr:colOff>0</xdr:colOff>
      <xdr:row>29</xdr:row>
      <xdr:rowOff>0</xdr:rowOff>
    </xdr:from>
    <xdr:to>
      <xdr:col>21</xdr:col>
      <xdr:colOff>681121</xdr:colOff>
      <xdr:row>47</xdr:row>
      <xdr:rowOff>80963</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91</xdr:row>
      <xdr:rowOff>0</xdr:rowOff>
    </xdr:from>
    <xdr:to>
      <xdr:col>21</xdr:col>
      <xdr:colOff>681121</xdr:colOff>
      <xdr:row>109</xdr:row>
      <xdr:rowOff>80963</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151</xdr:row>
      <xdr:rowOff>0</xdr:rowOff>
    </xdr:from>
    <xdr:to>
      <xdr:col>21</xdr:col>
      <xdr:colOff>681121</xdr:colOff>
      <xdr:row>169</xdr:row>
      <xdr:rowOff>80963</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0.53009</cdr:x>
      <cdr:y>0.35289</cdr:y>
    </cdr:from>
    <cdr:to>
      <cdr:x>0.93174</cdr:x>
      <cdr:y>0.44625</cdr:y>
    </cdr:to>
    <cdr:sp macro="" textlink="">
      <cdr:nvSpPr>
        <cdr:cNvPr id="3" name="CuadroTexto 1"/>
        <cdr:cNvSpPr txBox="1"/>
      </cdr:nvSpPr>
      <cdr:spPr>
        <a:xfrm xmlns:a="http://schemas.openxmlformats.org/drawingml/2006/main">
          <a:off x="3087573" y="1238631"/>
          <a:ext cx="2339459" cy="32770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1.752 ha (11%)</a:t>
          </a:r>
          <a:endParaRPr lang="es-ES" sz="1100"/>
        </a:p>
      </cdr:txBody>
    </cdr:sp>
  </cdr:relSizeAnchor>
</c:userShapes>
</file>

<file path=xl/drawings/drawing38.xml><?xml version="1.0" encoding="utf-8"?>
<c:userShapes xmlns:c="http://schemas.openxmlformats.org/drawingml/2006/chart">
  <cdr:relSizeAnchor xmlns:cdr="http://schemas.openxmlformats.org/drawingml/2006/chartDrawing">
    <cdr:from>
      <cdr:x>0.53009</cdr:x>
      <cdr:y>0.35289</cdr:y>
    </cdr:from>
    <cdr:to>
      <cdr:x>0.93174</cdr:x>
      <cdr:y>0.44625</cdr:y>
    </cdr:to>
    <cdr:sp macro="" textlink="">
      <cdr:nvSpPr>
        <cdr:cNvPr id="3" name="CuadroTexto 1"/>
        <cdr:cNvSpPr txBox="1"/>
      </cdr:nvSpPr>
      <cdr:spPr>
        <a:xfrm xmlns:a="http://schemas.openxmlformats.org/drawingml/2006/main">
          <a:off x="3087573" y="1238631"/>
          <a:ext cx="2339459" cy="32770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287 ha (8%)</a:t>
          </a:r>
          <a:endParaRPr lang="es-ES" sz="1100"/>
        </a:p>
      </cdr:txBody>
    </cdr:sp>
  </cdr:relSizeAnchor>
</c:userShapes>
</file>

<file path=xl/drawings/drawing39.xml><?xml version="1.0" encoding="utf-8"?>
<c:userShapes xmlns:c="http://schemas.openxmlformats.org/drawingml/2006/chart">
  <cdr:relSizeAnchor xmlns:cdr="http://schemas.openxmlformats.org/drawingml/2006/chartDrawing">
    <cdr:from>
      <cdr:x>0.53009</cdr:x>
      <cdr:y>0.35289</cdr:y>
    </cdr:from>
    <cdr:to>
      <cdr:x>0.93174</cdr:x>
      <cdr:y>0.44625</cdr:y>
    </cdr:to>
    <cdr:sp macro="" textlink="">
      <cdr:nvSpPr>
        <cdr:cNvPr id="3" name="CuadroTexto 1"/>
        <cdr:cNvSpPr txBox="1"/>
      </cdr:nvSpPr>
      <cdr:spPr>
        <a:xfrm xmlns:a="http://schemas.openxmlformats.org/drawingml/2006/main">
          <a:off x="3087573" y="1238631"/>
          <a:ext cx="2339459" cy="32770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1.465 ha (14%)</a:t>
          </a:r>
          <a:endParaRPr lang="es-ES" sz="1100"/>
        </a:p>
      </cdr:txBody>
    </cdr:sp>
  </cdr:relSizeAnchor>
</c:userShapes>
</file>

<file path=xl/drawings/drawing4.xml><?xml version="1.0" encoding="utf-8"?>
<c:userShapes xmlns:c="http://schemas.openxmlformats.org/drawingml/2006/chart">
  <cdr:relSizeAnchor xmlns:cdr="http://schemas.openxmlformats.org/drawingml/2006/chartDrawing">
    <cdr:from>
      <cdr:x>0.10626</cdr:x>
      <cdr:y>0.90418</cdr:y>
    </cdr:from>
    <cdr:to>
      <cdr:x>0.34761</cdr:x>
      <cdr:y>0.98338</cdr:y>
    </cdr:to>
    <cdr:grpSp>
      <cdr:nvGrpSpPr>
        <cdr:cNvPr id="2" name="Grupo 1">
          <a:extLst xmlns:a="http://schemas.openxmlformats.org/drawingml/2006/main">
            <a:ext uri="{FF2B5EF4-FFF2-40B4-BE49-F238E27FC236}">
              <a16:creationId xmlns:a16="http://schemas.microsoft.com/office/drawing/2014/main" id="{4F51DCDF-8156-72B0-463D-FD69D1A16CB5}"/>
            </a:ext>
          </a:extLst>
        </cdr:cNvPr>
        <cdr:cNvGrpSpPr/>
      </cdr:nvGrpSpPr>
      <cdr:grpSpPr>
        <a:xfrm xmlns:a="http://schemas.openxmlformats.org/drawingml/2006/main">
          <a:off x="727493" y="3106725"/>
          <a:ext cx="1652367" cy="272127"/>
          <a:chOff x="0" y="0"/>
          <a:chExt cx="1701800" cy="266700"/>
        </a:xfrm>
      </cdr:grpSpPr>
      <cdr:sp macro="" textlink="">
        <cdr:nvSpPr>
          <cdr:cNvPr id="3" name="CuadroTexto 20">
            <a:extLst xmlns:a="http://schemas.openxmlformats.org/drawingml/2006/main">
              <a:ext uri="{FF2B5EF4-FFF2-40B4-BE49-F238E27FC236}">
                <a16:creationId xmlns:a16="http://schemas.microsoft.com/office/drawing/2014/main" id="{2C32C05D-B940-CF83-AA28-579841DF8770}"/>
              </a:ext>
            </a:extLst>
          </cdr:cNvPr>
          <cdr:cNvSpPr txBox="1"/>
        </cdr:nvSpPr>
        <cdr:spPr>
          <a:xfrm xmlns:a="http://schemas.openxmlformats.org/drawingml/2006/main">
            <a:off x="101600" y="31750"/>
            <a:ext cx="1600200" cy="184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4" name="Elipse 3">
            <a:extLst xmlns:a="http://schemas.openxmlformats.org/drawingml/2006/main">
              <a:ext uri="{FF2B5EF4-FFF2-40B4-BE49-F238E27FC236}">
                <a16:creationId xmlns:a16="http://schemas.microsoft.com/office/drawing/2014/main" id="{09040C05-EE42-768E-CC8B-7C445CB67C62}"/>
              </a:ext>
            </a:extLst>
          </cdr:cNvPr>
          <cdr:cNvSpPr/>
        </cdr:nvSpPr>
        <cdr:spPr>
          <a:xfrm xmlns:a="http://schemas.openxmlformats.org/drawingml/2006/main">
            <a:off x="0" y="0"/>
            <a:ext cx="1492250" cy="26670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0.12942</cdr:x>
      <cdr:y>0.39766</cdr:y>
    </cdr:from>
    <cdr:to>
      <cdr:x>0.21947</cdr:x>
      <cdr:y>0.49385</cdr:y>
    </cdr:to>
    <cdr:sp macro="" textlink="">
      <cdr:nvSpPr>
        <cdr:cNvPr id="5" name="Elipse 4">
          <a:extLst xmlns:a="http://schemas.openxmlformats.org/drawingml/2006/main">
            <a:ext uri="{FF2B5EF4-FFF2-40B4-BE49-F238E27FC236}">
              <a16:creationId xmlns:a16="http://schemas.microsoft.com/office/drawing/2014/main" id="{C99B180D-5905-2CFA-7579-0D6F37454FB2}"/>
            </a:ext>
          </a:extLst>
        </cdr:cNvPr>
        <cdr:cNvSpPr/>
      </cdr:nvSpPr>
      <cdr:spPr>
        <a:xfrm xmlns:a="http://schemas.openxmlformats.org/drawingml/2006/main">
          <a:off x="912585" y="1338942"/>
          <a:ext cx="63500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0.71605</cdr:x>
      <cdr:y>0.41922</cdr:y>
    </cdr:from>
    <cdr:to>
      <cdr:x>0.80611</cdr:x>
      <cdr:y>0.5154</cdr:y>
    </cdr:to>
    <cdr:sp macro="" textlink="">
      <cdr:nvSpPr>
        <cdr:cNvPr id="6" name="Elipse 5">
          <a:extLst xmlns:a="http://schemas.openxmlformats.org/drawingml/2006/main">
            <a:ext uri="{FF2B5EF4-FFF2-40B4-BE49-F238E27FC236}">
              <a16:creationId xmlns:a16="http://schemas.microsoft.com/office/drawing/2014/main" id="{BFC708F6-1AA6-4C79-E20C-555A77251B5B}"/>
            </a:ext>
          </a:extLst>
        </cdr:cNvPr>
        <cdr:cNvSpPr/>
      </cdr:nvSpPr>
      <cdr:spPr>
        <a:xfrm xmlns:a="http://schemas.openxmlformats.org/drawingml/2006/main">
          <a:off x="5049157" y="1411514"/>
          <a:ext cx="63500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40.xml><?xml version="1.0" encoding="utf-8"?>
<xdr:wsDr xmlns:xdr="http://schemas.openxmlformats.org/drawingml/2006/spreadsheetDrawing" xmlns:a="http://schemas.openxmlformats.org/drawingml/2006/main">
  <xdr:twoCellAnchor>
    <xdr:from>
      <xdr:col>16</xdr:col>
      <xdr:colOff>0</xdr:colOff>
      <xdr:row>81</xdr:row>
      <xdr:rowOff>0</xdr:rowOff>
    </xdr:from>
    <xdr:to>
      <xdr:col>22</xdr:col>
      <xdr:colOff>406577</xdr:colOff>
      <xdr:row>99</xdr:row>
      <xdr:rowOff>80963</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133</xdr:row>
      <xdr:rowOff>0</xdr:rowOff>
    </xdr:from>
    <xdr:to>
      <xdr:col>22</xdr:col>
      <xdr:colOff>406577</xdr:colOff>
      <xdr:row>151</xdr:row>
      <xdr:rowOff>80963</xdr:rowOff>
    </xdr:to>
    <xdr:graphicFrame macro="">
      <xdr:nvGraphicFramePr>
        <xdr:cNvPr id="4" name="Gráfico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30480</xdr:colOff>
      <xdr:row>28</xdr:row>
      <xdr:rowOff>38100</xdr:rowOff>
    </xdr:from>
    <xdr:to>
      <xdr:col>22</xdr:col>
      <xdr:colOff>454474</xdr:colOff>
      <xdr:row>46</xdr:row>
      <xdr:rowOff>119063</xdr:rowOff>
    </xdr:to>
    <xdr:graphicFrame macro="">
      <xdr:nvGraphicFramePr>
        <xdr:cNvPr id="5" name="Gráfico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0,15 ha (0,12%)</a:t>
          </a:r>
        </a:p>
        <a:p xmlns:a="http://schemas.openxmlformats.org/drawingml/2006/main">
          <a:r>
            <a:rPr lang="es-ES" sz="1100" baseline="0"/>
            <a:t>RESTO VARIEDADES: 25 ha (20%)</a:t>
          </a:r>
          <a:endParaRPr lang="es-ES" sz="1100"/>
        </a:p>
      </cdr:txBody>
    </cdr:sp>
  </cdr:relSizeAnchor>
</c:userShapes>
</file>

<file path=xl/drawings/drawing42.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1,41 ha (0,05%)</a:t>
          </a:r>
        </a:p>
        <a:p xmlns:a="http://schemas.openxmlformats.org/drawingml/2006/main">
          <a:r>
            <a:rPr lang="es-ES" sz="1100" baseline="0"/>
            <a:t>RESTO VARIEDADES: 302 ha (10%)</a:t>
          </a:r>
          <a:endParaRPr lang="es-ES" sz="1100"/>
        </a:p>
      </cdr:txBody>
    </cdr:sp>
  </cdr:relSizeAnchor>
</c:userShapes>
</file>

<file path=xl/drawings/drawing43.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2 ha (0,05%)</a:t>
          </a:r>
        </a:p>
        <a:p xmlns:a="http://schemas.openxmlformats.org/drawingml/2006/main">
          <a:r>
            <a:rPr lang="es-ES" sz="1100" baseline="0"/>
            <a:t>RESTO VARIEDADES: 327 ha (10%)</a:t>
          </a:r>
          <a:endParaRPr lang="es-ES" sz="1100"/>
        </a:p>
      </cdr:txBody>
    </cdr:sp>
  </cdr:relSizeAnchor>
</c:userShapes>
</file>

<file path=xl/drawings/drawing44.xml><?xml version="1.0" encoding="utf-8"?>
<xdr:wsDr xmlns:xdr="http://schemas.openxmlformats.org/drawingml/2006/spreadsheetDrawing" xmlns:a="http://schemas.openxmlformats.org/drawingml/2006/main">
  <xdr:twoCellAnchor>
    <xdr:from>
      <xdr:col>16</xdr:col>
      <xdr:colOff>0</xdr:colOff>
      <xdr:row>26</xdr:row>
      <xdr:rowOff>176894</xdr:rowOff>
    </xdr:from>
    <xdr:to>
      <xdr:col>21</xdr:col>
      <xdr:colOff>705934</xdr:colOff>
      <xdr:row>45</xdr:row>
      <xdr:rowOff>12928</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734786</xdr:colOff>
      <xdr:row>62</xdr:row>
      <xdr:rowOff>13607</xdr:rowOff>
    </xdr:from>
    <xdr:to>
      <xdr:col>21</xdr:col>
      <xdr:colOff>678720</xdr:colOff>
      <xdr:row>80</xdr:row>
      <xdr:rowOff>94570</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98</xdr:row>
      <xdr:rowOff>0</xdr:rowOff>
    </xdr:from>
    <xdr:to>
      <xdr:col>21</xdr:col>
      <xdr:colOff>705934</xdr:colOff>
      <xdr:row>116</xdr:row>
      <xdr:rowOff>80963</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0.53009</cdr:x>
      <cdr:y>0.35289</cdr:y>
    </cdr:from>
    <cdr:to>
      <cdr:x>0.93174</cdr:x>
      <cdr:y>0.41481</cdr:y>
    </cdr:to>
    <cdr:sp macro="" textlink="">
      <cdr:nvSpPr>
        <cdr:cNvPr id="3" name="CuadroTexto 1"/>
        <cdr:cNvSpPr txBox="1"/>
      </cdr:nvSpPr>
      <cdr:spPr>
        <a:xfrm xmlns:a="http://schemas.openxmlformats.org/drawingml/2006/main">
          <a:off x="3100726" y="1238631"/>
          <a:ext cx="2349426" cy="21733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399 ha (6%)</a:t>
          </a:r>
          <a:endParaRPr lang="es-ES" sz="1100"/>
        </a:p>
      </cdr:txBody>
    </cdr:sp>
  </cdr:relSizeAnchor>
</c:userShapes>
</file>

<file path=xl/drawings/drawing46.xml><?xml version="1.0" encoding="utf-8"?>
<c:userShapes xmlns:c="http://schemas.openxmlformats.org/drawingml/2006/chart">
  <cdr:relSizeAnchor xmlns:cdr="http://schemas.openxmlformats.org/drawingml/2006/chartDrawing">
    <cdr:from>
      <cdr:x>0.53009</cdr:x>
      <cdr:y>0.35289</cdr:y>
    </cdr:from>
    <cdr:to>
      <cdr:x>0.93174</cdr:x>
      <cdr:y>0.41481</cdr:y>
    </cdr:to>
    <cdr:sp macro="" textlink="">
      <cdr:nvSpPr>
        <cdr:cNvPr id="3" name="CuadroTexto 1"/>
        <cdr:cNvSpPr txBox="1"/>
      </cdr:nvSpPr>
      <cdr:spPr>
        <a:xfrm xmlns:a="http://schemas.openxmlformats.org/drawingml/2006/main">
          <a:off x="3100726" y="1238631"/>
          <a:ext cx="2349426" cy="21733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36 ha (14%)</a:t>
          </a:r>
          <a:endParaRPr lang="es-ES" sz="1100"/>
        </a:p>
      </cdr:txBody>
    </cdr:sp>
  </cdr:relSizeAnchor>
</c:userShapes>
</file>

<file path=xl/drawings/drawing47.xml><?xml version="1.0" encoding="utf-8"?>
<c:userShapes xmlns:c="http://schemas.openxmlformats.org/drawingml/2006/chart">
  <cdr:relSizeAnchor xmlns:cdr="http://schemas.openxmlformats.org/drawingml/2006/chartDrawing">
    <cdr:from>
      <cdr:x>0.53009</cdr:x>
      <cdr:y>0.35289</cdr:y>
    </cdr:from>
    <cdr:to>
      <cdr:x>0.93174</cdr:x>
      <cdr:y>0.41481</cdr:y>
    </cdr:to>
    <cdr:sp macro="" textlink="">
      <cdr:nvSpPr>
        <cdr:cNvPr id="3" name="CuadroTexto 1"/>
        <cdr:cNvSpPr txBox="1"/>
      </cdr:nvSpPr>
      <cdr:spPr>
        <a:xfrm xmlns:a="http://schemas.openxmlformats.org/drawingml/2006/main">
          <a:off x="3100726" y="1238631"/>
          <a:ext cx="2349426" cy="21733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aseline="0"/>
            <a:t>RESTO VARIEDADES: 363 ha (6%)</a:t>
          </a:r>
          <a:endParaRPr lang="es-ES" sz="1100"/>
        </a:p>
      </cdr:txBody>
    </cdr:sp>
  </cdr:relSizeAnchor>
</c:userShapes>
</file>

<file path=xl/drawings/drawing48.xml><?xml version="1.0" encoding="utf-8"?>
<xdr:wsDr xmlns:xdr="http://schemas.openxmlformats.org/drawingml/2006/spreadsheetDrawing" xmlns:a="http://schemas.openxmlformats.org/drawingml/2006/main">
  <xdr:twoCellAnchor>
    <xdr:from>
      <xdr:col>19</xdr:col>
      <xdr:colOff>748393</xdr:colOff>
      <xdr:row>11</xdr:row>
      <xdr:rowOff>149678</xdr:rowOff>
    </xdr:from>
    <xdr:to>
      <xdr:col>27</xdr:col>
      <xdr:colOff>25577</xdr:colOff>
      <xdr:row>29</xdr:row>
      <xdr:rowOff>80962</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42</xdr:row>
      <xdr:rowOff>0</xdr:rowOff>
    </xdr:from>
    <xdr:to>
      <xdr:col>27</xdr:col>
      <xdr:colOff>39184</xdr:colOff>
      <xdr:row>59</xdr:row>
      <xdr:rowOff>80963</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72</xdr:row>
      <xdr:rowOff>0</xdr:rowOff>
    </xdr:from>
    <xdr:to>
      <xdr:col>27</xdr:col>
      <xdr:colOff>39184</xdr:colOff>
      <xdr:row>89</xdr:row>
      <xdr:rowOff>80963</xdr:rowOff>
    </xdr:to>
    <xdr:graphicFrame macro="">
      <xdr:nvGraphicFramePr>
        <xdr:cNvPr id="4" name="Gráfico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4.162 ha (27%)</a:t>
          </a:r>
        </a:p>
        <a:p xmlns:a="http://schemas.openxmlformats.org/drawingml/2006/main">
          <a:r>
            <a:rPr lang="es-ES" sz="1100" baseline="0"/>
            <a:t>RESTO VARIEDADES: 2.516 ha (16%)</a:t>
          </a:r>
          <a:endParaRPr lang="es-ES" sz="1100"/>
        </a:p>
      </cdr:txBody>
    </cdr:sp>
  </cdr:relSizeAnchor>
</c:userShapes>
</file>

<file path=xl/drawings/drawing5.xml><?xml version="1.0" encoding="utf-8"?>
<c:userShapes xmlns:c="http://schemas.openxmlformats.org/drawingml/2006/chart">
  <cdr:relSizeAnchor xmlns:cdr="http://schemas.openxmlformats.org/drawingml/2006/chartDrawing">
    <cdr:from>
      <cdr:x>0.142</cdr:x>
      <cdr:y>0.91435</cdr:y>
    </cdr:from>
    <cdr:to>
      <cdr:x>0.39669</cdr:x>
      <cdr:y>1</cdr:y>
    </cdr:to>
    <cdr:grpSp>
      <cdr:nvGrpSpPr>
        <cdr:cNvPr id="5" name="Grupo 4">
          <a:extLst xmlns:a="http://schemas.openxmlformats.org/drawingml/2006/main">
            <a:ext uri="{FF2B5EF4-FFF2-40B4-BE49-F238E27FC236}">
              <a16:creationId xmlns:a16="http://schemas.microsoft.com/office/drawing/2014/main" id="{FB37CDCA-9BDC-6B37-60D0-25BB61987452}"/>
            </a:ext>
          </a:extLst>
        </cdr:cNvPr>
        <cdr:cNvGrpSpPr/>
      </cdr:nvGrpSpPr>
      <cdr:grpSpPr>
        <a:xfrm xmlns:a="http://schemas.openxmlformats.org/drawingml/2006/main">
          <a:off x="932619" y="2903568"/>
          <a:ext cx="1672737" cy="271986"/>
          <a:chOff x="0" y="0"/>
          <a:chExt cx="1723978" cy="266700"/>
        </a:xfrm>
      </cdr:grpSpPr>
      <cdr:sp macro="" textlink="">
        <cdr:nvSpPr>
          <cdr:cNvPr id="6" name="CuadroTexto 20">
            <a:extLst xmlns:a="http://schemas.openxmlformats.org/drawingml/2006/main">
              <a:ext uri="{FF2B5EF4-FFF2-40B4-BE49-F238E27FC236}">
                <a16:creationId xmlns:a16="http://schemas.microsoft.com/office/drawing/2014/main" id="{7ADE44AD-53C8-710F-5468-B6CA985A9758}"/>
              </a:ext>
            </a:extLst>
          </cdr:cNvPr>
          <cdr:cNvSpPr txBox="1"/>
        </cdr:nvSpPr>
        <cdr:spPr>
          <a:xfrm xmlns:a="http://schemas.openxmlformats.org/drawingml/2006/main">
            <a:off x="102924" y="31750"/>
            <a:ext cx="1621054" cy="184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7" name="Elipse 6">
            <a:extLst xmlns:a="http://schemas.openxmlformats.org/drawingml/2006/main">
              <a:ext uri="{FF2B5EF4-FFF2-40B4-BE49-F238E27FC236}">
                <a16:creationId xmlns:a16="http://schemas.microsoft.com/office/drawing/2014/main" id="{88D05186-2A85-DEF0-706A-D0536C3B2CD5}"/>
              </a:ext>
            </a:extLst>
          </cdr:cNvPr>
          <cdr:cNvSpPr/>
        </cdr:nvSpPr>
        <cdr:spPr>
          <a:xfrm xmlns:a="http://schemas.openxmlformats.org/drawingml/2006/main">
            <a:off x="0" y="0"/>
            <a:ext cx="1511697" cy="26670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0.12707</cdr:x>
      <cdr:y>0.32803</cdr:y>
    </cdr:from>
    <cdr:to>
      <cdr:x>0.22088</cdr:x>
      <cdr:y>0.43203</cdr:y>
    </cdr:to>
    <cdr:sp macro="" textlink="">
      <cdr:nvSpPr>
        <cdr:cNvPr id="8" name="Elipse 7">
          <a:extLst xmlns:a="http://schemas.openxmlformats.org/drawingml/2006/main">
            <a:ext uri="{FF2B5EF4-FFF2-40B4-BE49-F238E27FC236}">
              <a16:creationId xmlns:a16="http://schemas.microsoft.com/office/drawing/2014/main" id="{942F8DCF-5D21-8222-20EC-920CBA350680}"/>
            </a:ext>
          </a:extLst>
        </cdr:cNvPr>
        <cdr:cNvSpPr/>
      </cdr:nvSpPr>
      <cdr:spPr>
        <a:xfrm xmlns:a="http://schemas.openxmlformats.org/drawingml/2006/main">
          <a:off x="849085" y="1021443"/>
          <a:ext cx="62683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0.42167</cdr:x>
      <cdr:y>0.29307</cdr:y>
    </cdr:from>
    <cdr:to>
      <cdr:x>0.51547</cdr:x>
      <cdr:y>0.39707</cdr:y>
    </cdr:to>
    <cdr:sp macro="" textlink="">
      <cdr:nvSpPr>
        <cdr:cNvPr id="9" name="Elipse 8">
          <a:extLst xmlns:a="http://schemas.openxmlformats.org/drawingml/2006/main">
            <a:ext uri="{FF2B5EF4-FFF2-40B4-BE49-F238E27FC236}">
              <a16:creationId xmlns:a16="http://schemas.microsoft.com/office/drawing/2014/main" id="{624F24F1-DF3C-7A2C-8984-C561E41FB25D}"/>
            </a:ext>
          </a:extLst>
        </cdr:cNvPr>
        <cdr:cNvSpPr/>
      </cdr:nvSpPr>
      <cdr:spPr>
        <a:xfrm xmlns:a="http://schemas.openxmlformats.org/drawingml/2006/main">
          <a:off x="2817585" y="912586"/>
          <a:ext cx="62683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0.71626</cdr:x>
      <cdr:y>0.47952</cdr:y>
    </cdr:from>
    <cdr:to>
      <cdr:x>0.81007</cdr:x>
      <cdr:y>0.58352</cdr:y>
    </cdr:to>
    <cdr:sp macro="" textlink="">
      <cdr:nvSpPr>
        <cdr:cNvPr id="10" name="Elipse 9">
          <a:extLst xmlns:a="http://schemas.openxmlformats.org/drawingml/2006/main">
            <a:ext uri="{FF2B5EF4-FFF2-40B4-BE49-F238E27FC236}">
              <a16:creationId xmlns:a16="http://schemas.microsoft.com/office/drawing/2014/main" id="{77D10D8A-0393-AD30-3D41-8605D768C638}"/>
            </a:ext>
          </a:extLst>
        </cdr:cNvPr>
        <cdr:cNvSpPr/>
      </cdr:nvSpPr>
      <cdr:spPr>
        <a:xfrm xmlns:a="http://schemas.openxmlformats.org/drawingml/2006/main">
          <a:off x="4786086" y="1493157"/>
          <a:ext cx="62683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50.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284 ha (20 %)</a:t>
          </a:r>
        </a:p>
        <a:p xmlns:a="http://schemas.openxmlformats.org/drawingml/2006/main">
          <a:r>
            <a:rPr lang="es-ES" sz="1100" baseline="0"/>
            <a:t>RESTO VARIEDADES: 284 ha (28%)</a:t>
          </a:r>
          <a:endParaRPr lang="es-ES" sz="1100"/>
        </a:p>
      </cdr:txBody>
    </cdr:sp>
  </cdr:relSizeAnchor>
</c:userShapes>
</file>

<file path=xl/drawings/drawing51.xml><?xml version="1.0" encoding="utf-8"?>
<c:userShapes xmlns:c="http://schemas.openxmlformats.org/drawingml/2006/chart">
  <cdr:relSizeAnchor xmlns:cdr="http://schemas.openxmlformats.org/drawingml/2006/chartDrawing">
    <cdr:from>
      <cdr:x>0.53009</cdr:x>
      <cdr:y>0.35289</cdr:y>
    </cdr:from>
    <cdr:to>
      <cdr:x>0.93174</cdr:x>
      <cdr:y>0.48315</cdr:y>
    </cdr:to>
    <cdr:sp macro="" textlink="">
      <cdr:nvSpPr>
        <cdr:cNvPr id="3" name="CuadroTexto 1"/>
        <cdr:cNvSpPr txBox="1"/>
      </cdr:nvSpPr>
      <cdr:spPr>
        <a:xfrm xmlns:a="http://schemas.openxmlformats.org/drawingml/2006/main">
          <a:off x="3087594" y="1238624"/>
          <a:ext cx="2339427"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3.878 ha (27%)</a:t>
          </a:r>
        </a:p>
        <a:p xmlns:a="http://schemas.openxmlformats.org/drawingml/2006/main">
          <a:r>
            <a:rPr lang="es-ES" sz="1100" baseline="0"/>
            <a:t>RESTO VARIEDADES: 2.127 ha (15%)</a:t>
          </a:r>
          <a:endParaRPr lang="es-ES" sz="1100"/>
        </a:p>
      </cdr:txBody>
    </cdr:sp>
  </cdr:relSizeAnchor>
</c:userShapes>
</file>

<file path=xl/drawings/drawing52.xml><?xml version="1.0" encoding="utf-8"?>
<xdr:wsDr xmlns:xdr="http://schemas.openxmlformats.org/drawingml/2006/spreadsheetDrawing" xmlns:a="http://schemas.openxmlformats.org/drawingml/2006/main">
  <xdr:twoCellAnchor>
    <xdr:from>
      <xdr:col>20</xdr:col>
      <xdr:colOff>0</xdr:colOff>
      <xdr:row>12</xdr:row>
      <xdr:rowOff>0</xdr:rowOff>
    </xdr:from>
    <xdr:to>
      <xdr:col>27</xdr:col>
      <xdr:colOff>515434</xdr:colOff>
      <xdr:row>29</xdr:row>
      <xdr:rowOff>80963</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40</xdr:row>
      <xdr:rowOff>0</xdr:rowOff>
    </xdr:from>
    <xdr:to>
      <xdr:col>27</xdr:col>
      <xdr:colOff>515434</xdr:colOff>
      <xdr:row>57</xdr:row>
      <xdr:rowOff>80963</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68</xdr:row>
      <xdr:rowOff>0</xdr:rowOff>
    </xdr:from>
    <xdr:to>
      <xdr:col>27</xdr:col>
      <xdr:colOff>515434</xdr:colOff>
      <xdr:row>85</xdr:row>
      <xdr:rowOff>80963</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0.5507</cdr:x>
      <cdr:y>0.35175</cdr:y>
    </cdr:from>
    <cdr:to>
      <cdr:x>0.95235</cdr:x>
      <cdr:y>0.48201</cdr:y>
    </cdr:to>
    <cdr:sp macro="" textlink="">
      <cdr:nvSpPr>
        <cdr:cNvPr id="4" name="CuadroTexto 1"/>
        <cdr:cNvSpPr txBox="1"/>
      </cdr:nvSpPr>
      <cdr:spPr>
        <a:xfrm xmlns:a="http://schemas.openxmlformats.org/drawingml/2006/main">
          <a:off x="3221265" y="1234621"/>
          <a:ext cx="2349426"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440 ha (57%)</a:t>
          </a:r>
        </a:p>
        <a:p xmlns:a="http://schemas.openxmlformats.org/drawingml/2006/main">
          <a:r>
            <a:rPr lang="es-ES" sz="1100" baseline="0"/>
            <a:t>RESTO VARIEDADES: 32 ha (4%)</a:t>
          </a:r>
          <a:endParaRPr lang="es-ES" sz="1100"/>
        </a:p>
      </cdr:txBody>
    </cdr:sp>
  </cdr:relSizeAnchor>
</c:userShapes>
</file>

<file path=xl/drawings/drawing54.xml><?xml version="1.0" encoding="utf-8"?>
<c:userShapes xmlns:c="http://schemas.openxmlformats.org/drawingml/2006/chart">
  <cdr:relSizeAnchor xmlns:cdr="http://schemas.openxmlformats.org/drawingml/2006/chartDrawing">
    <cdr:from>
      <cdr:x>0.48324</cdr:x>
      <cdr:y>0.36338</cdr:y>
    </cdr:from>
    <cdr:to>
      <cdr:x>0.88489</cdr:x>
      <cdr:y>0.49364</cdr:y>
    </cdr:to>
    <cdr:sp macro="" textlink="">
      <cdr:nvSpPr>
        <cdr:cNvPr id="4" name="CuadroTexto 1"/>
        <cdr:cNvSpPr txBox="1"/>
      </cdr:nvSpPr>
      <cdr:spPr>
        <a:xfrm xmlns:a="http://schemas.openxmlformats.org/drawingml/2006/main">
          <a:off x="2826657" y="1275443"/>
          <a:ext cx="2349426" cy="457208"/>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t>SIN</a:t>
          </a:r>
          <a:r>
            <a:rPr lang="es-ES" sz="1100" baseline="0"/>
            <a:t> VARIEDAD: 22 ha (16%)</a:t>
          </a:r>
        </a:p>
        <a:p xmlns:a="http://schemas.openxmlformats.org/drawingml/2006/main">
          <a:r>
            <a:rPr lang="es-ES" sz="1100" baseline="0"/>
            <a:t>RESTO VARIEDADES: 1 ha (1%)</a:t>
          </a:r>
          <a:endParaRPr lang="es-ES" sz="1100"/>
        </a:p>
      </cdr:txBody>
    </cdr:sp>
  </cdr:relSizeAnchor>
</c:userShapes>
</file>

<file path=xl/drawings/drawing55.xml><?xml version="1.0" encoding="utf-8"?>
<c:userShapes xmlns:c="http://schemas.openxmlformats.org/drawingml/2006/chart">
  <cdr:relSizeAnchor xmlns:cdr="http://schemas.openxmlformats.org/drawingml/2006/chartDrawing">
    <cdr:from>
      <cdr:x>0.53009</cdr:x>
      <cdr:y>0.35289</cdr:y>
    </cdr:from>
    <cdr:to>
      <cdr:x>0.93174</cdr:x>
      <cdr:y>0.48459</cdr:y>
    </cdr:to>
    <cdr:sp macro="" textlink="">
      <cdr:nvSpPr>
        <cdr:cNvPr id="3" name="CuadroTexto 1"/>
        <cdr:cNvSpPr txBox="1"/>
      </cdr:nvSpPr>
      <cdr:spPr>
        <a:xfrm xmlns:a="http://schemas.openxmlformats.org/drawingml/2006/main">
          <a:off x="3100726" y="1238631"/>
          <a:ext cx="2349426" cy="462262"/>
        </a:xfrm>
        <a:prstGeom xmlns:a="http://schemas.openxmlformats.org/drawingml/2006/main" prst="rect">
          <a:avLst/>
        </a:prstGeom>
        <a:ln xmlns:a="http://schemas.openxmlformats.org/drawingml/2006/main" w="635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a:effectLst/>
              <a:latin typeface="+mn-lt"/>
              <a:ea typeface="+mn-ea"/>
              <a:cs typeface="+mn-cs"/>
            </a:rPr>
            <a:t>SIN</a:t>
          </a:r>
          <a:r>
            <a:rPr lang="es-ES" sz="1100" baseline="0">
              <a:effectLst/>
              <a:latin typeface="+mn-lt"/>
              <a:ea typeface="+mn-ea"/>
              <a:cs typeface="+mn-cs"/>
            </a:rPr>
            <a:t> VARIEDAD: 418 ha (66%)</a:t>
          </a:r>
          <a:endParaRPr lang="es-ES">
            <a:effectLst/>
          </a:endParaRPr>
        </a:p>
        <a:p xmlns:a="http://schemas.openxmlformats.org/drawingml/2006/main">
          <a:r>
            <a:rPr lang="es-ES" sz="1100" baseline="0">
              <a:effectLst/>
              <a:latin typeface="+mn-lt"/>
              <a:ea typeface="+mn-ea"/>
              <a:cs typeface="+mn-cs"/>
            </a:rPr>
            <a:t>RESTO VARIEDADES: 32 ha (5%)</a:t>
          </a:r>
          <a:endParaRPr lang="es-ES">
            <a:effectLs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6</xdr:col>
      <xdr:colOff>738187</xdr:colOff>
      <xdr:row>6</xdr:row>
      <xdr:rowOff>285749</xdr:rowOff>
    </xdr:from>
    <xdr:to>
      <xdr:col>14</xdr:col>
      <xdr:colOff>490537</xdr:colOff>
      <xdr:row>23</xdr:row>
      <xdr:rowOff>24092</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190500</xdr:colOff>
      <xdr:row>6</xdr:row>
      <xdr:rowOff>261938</xdr:rowOff>
    </xdr:from>
    <xdr:to>
      <xdr:col>22</xdr:col>
      <xdr:colOff>742950</xdr:colOff>
      <xdr:row>23</xdr:row>
      <xdr:rowOff>24092</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738187</xdr:colOff>
      <xdr:row>35</xdr:row>
      <xdr:rowOff>4773</xdr:rowOff>
    </xdr:from>
    <xdr:to>
      <xdr:col>14</xdr:col>
      <xdr:colOff>528637</xdr:colOff>
      <xdr:row>50</xdr:row>
      <xdr:rowOff>151991</xdr:rowOff>
    </xdr:to>
    <xdr:graphicFrame macro="">
      <xdr:nvGraphicFramePr>
        <xdr:cNvPr id="4" name="Gráfico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190500</xdr:colOff>
      <xdr:row>35</xdr:row>
      <xdr:rowOff>23823</xdr:rowOff>
    </xdr:from>
    <xdr:to>
      <xdr:col>23</xdr:col>
      <xdr:colOff>1</xdr:colOff>
      <xdr:row>50</xdr:row>
      <xdr:rowOff>151991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759619</xdr:colOff>
      <xdr:row>7</xdr:row>
      <xdr:rowOff>21430</xdr:rowOff>
    </xdr:from>
    <xdr:to>
      <xdr:col>14</xdr:col>
      <xdr:colOff>511969</xdr:colOff>
      <xdr:row>23</xdr:row>
      <xdr:rowOff>155061</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375047</xdr:colOff>
      <xdr:row>7</xdr:row>
      <xdr:rowOff>0</xdr:rowOff>
    </xdr:from>
    <xdr:to>
      <xdr:col>23</xdr:col>
      <xdr:colOff>165497</xdr:colOff>
      <xdr:row>23</xdr:row>
      <xdr:rowOff>155061</xdr:rowOff>
    </xdr:to>
    <xdr:graphicFrame macro="">
      <xdr:nvGraphicFramePr>
        <xdr:cNvPr id="3" name="Gráfico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759619</xdr:colOff>
      <xdr:row>29</xdr:row>
      <xdr:rowOff>202407</xdr:rowOff>
    </xdr:from>
    <xdr:to>
      <xdr:col>14</xdr:col>
      <xdr:colOff>550069</xdr:colOff>
      <xdr:row>45</xdr:row>
      <xdr:rowOff>99593</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375047</xdr:colOff>
      <xdr:row>29</xdr:row>
      <xdr:rowOff>221457</xdr:rowOff>
    </xdr:from>
    <xdr:to>
      <xdr:col>23</xdr:col>
      <xdr:colOff>184548</xdr:colOff>
      <xdr:row>45</xdr:row>
      <xdr:rowOff>99593</xdr:rowOff>
    </xdr:to>
    <xdr:graphicFrame macro="">
      <xdr:nvGraphicFramePr>
        <xdr:cNvPr id="5" name="Gráfico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918882</xdr:colOff>
      <xdr:row>18</xdr:row>
      <xdr:rowOff>112058</xdr:rowOff>
    </xdr:from>
    <xdr:to>
      <xdr:col>20</xdr:col>
      <xdr:colOff>542364</xdr:colOff>
      <xdr:row>32</xdr:row>
      <xdr:rowOff>188258</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627530</xdr:colOff>
      <xdr:row>19</xdr:row>
      <xdr:rowOff>56029</xdr:rowOff>
    </xdr:from>
    <xdr:to>
      <xdr:col>14</xdr:col>
      <xdr:colOff>386044</xdr:colOff>
      <xdr:row>33</xdr:row>
      <xdr:rowOff>146517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82</xdr:row>
      <xdr:rowOff>0</xdr:rowOff>
    </xdr:from>
    <xdr:to>
      <xdr:col>14</xdr:col>
      <xdr:colOff>1158688</xdr:colOff>
      <xdr:row>98</xdr:row>
      <xdr:rowOff>19049</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82</xdr:row>
      <xdr:rowOff>0</xdr:rowOff>
    </xdr:from>
    <xdr:to>
      <xdr:col>23</xdr:col>
      <xdr:colOff>125505</xdr:colOff>
      <xdr:row>97</xdr:row>
      <xdr:rowOff>76200</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671286</xdr:colOff>
      <xdr:row>35</xdr:row>
      <xdr:rowOff>154214</xdr:rowOff>
    </xdr:from>
    <xdr:to>
      <xdr:col>14</xdr:col>
      <xdr:colOff>429800</xdr:colOff>
      <xdr:row>50</xdr:row>
      <xdr:rowOff>63274</xdr:rowOff>
    </xdr:to>
    <xdr:graphicFrame macro="">
      <xdr:nvGraphicFramePr>
        <xdr:cNvPr id="6" name="Gráfico 5">
          <a:extLst>
            <a:ext uri="{FF2B5EF4-FFF2-40B4-BE49-F238E27FC236}">
              <a16:creationId xmlns:a16="http://schemas.microsoft.com/office/drawing/2014/main" id="{CCD799F1-42DA-4782-B9B6-1512A1972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748394</xdr:colOff>
      <xdr:row>9</xdr:row>
      <xdr:rowOff>29932</xdr:rowOff>
    </xdr:from>
    <xdr:to>
      <xdr:col>26</xdr:col>
      <xdr:colOff>748394</xdr:colOff>
      <xdr:row>22</xdr:row>
      <xdr:rowOff>51704</xdr:rowOff>
    </xdr:to>
    <xdr:graphicFrame macro="">
      <xdr:nvGraphicFramePr>
        <xdr:cNvPr id="7" name="Gráfico 6">
          <a:extLst>
            <a:ext uri="{FF2B5EF4-FFF2-40B4-BE49-F238E27FC236}">
              <a16:creationId xmlns:a16="http://schemas.microsoft.com/office/drawing/2014/main" id="{A877B15A-D40B-3007-B2ED-565237FDF2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108858</xdr:rowOff>
    </xdr:from>
    <xdr:to>
      <xdr:col>14</xdr:col>
      <xdr:colOff>1158688</xdr:colOff>
      <xdr:row>115</xdr:row>
      <xdr:rowOff>127907</xdr:rowOff>
    </xdr:to>
    <xdr:graphicFrame macro="">
      <xdr:nvGraphicFramePr>
        <xdr:cNvPr id="8" name="Gráfico 7">
          <a:extLst>
            <a:ext uri="{FF2B5EF4-FFF2-40B4-BE49-F238E27FC236}">
              <a16:creationId xmlns:a16="http://schemas.microsoft.com/office/drawing/2014/main" id="{A8099297-5D7B-476E-BE99-645D79D2E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0.02088</cdr:x>
      <cdr:y>0.85732</cdr:y>
    </cdr:from>
    <cdr:to>
      <cdr:x>0.3318</cdr:x>
      <cdr:y>0.9587</cdr:y>
    </cdr:to>
    <cdr:grpSp>
      <cdr:nvGrpSpPr>
        <cdr:cNvPr id="2" name="Grupo 1">
          <a:extLst xmlns:a="http://schemas.openxmlformats.org/drawingml/2006/main">
            <a:ext uri="{FF2B5EF4-FFF2-40B4-BE49-F238E27FC236}">
              <a16:creationId xmlns:a16="http://schemas.microsoft.com/office/drawing/2014/main" id="{1875ADA9-AFE0-D159-50C3-26684EBD4320}"/>
            </a:ext>
          </a:extLst>
        </cdr:cNvPr>
        <cdr:cNvGrpSpPr/>
      </cdr:nvGrpSpPr>
      <cdr:grpSpPr>
        <a:xfrm xmlns:a="http://schemas.openxmlformats.org/drawingml/2006/main">
          <a:off x="112923" y="2301834"/>
          <a:ext cx="1681518" cy="272197"/>
          <a:chOff x="0" y="0"/>
          <a:chExt cx="1723978" cy="266700"/>
        </a:xfrm>
      </cdr:grpSpPr>
      <cdr:sp macro="" textlink="">
        <cdr:nvSpPr>
          <cdr:cNvPr id="3" name="CuadroTexto 20">
            <a:extLst xmlns:a="http://schemas.openxmlformats.org/drawingml/2006/main">
              <a:ext uri="{FF2B5EF4-FFF2-40B4-BE49-F238E27FC236}">
                <a16:creationId xmlns:a16="http://schemas.microsoft.com/office/drawing/2014/main" id="{70290344-248F-5748-50F0-2616C440EC8F}"/>
              </a:ext>
            </a:extLst>
          </cdr:cNvPr>
          <cdr:cNvSpPr txBox="1"/>
        </cdr:nvSpPr>
        <cdr:spPr>
          <a:xfrm xmlns:a="http://schemas.openxmlformats.org/drawingml/2006/main">
            <a:off x="102924" y="31750"/>
            <a:ext cx="1621054" cy="184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4" name="Elipse 3">
            <a:extLst xmlns:a="http://schemas.openxmlformats.org/drawingml/2006/main">
              <a:ext uri="{FF2B5EF4-FFF2-40B4-BE49-F238E27FC236}">
                <a16:creationId xmlns:a16="http://schemas.microsoft.com/office/drawing/2014/main" id="{E7616DF0-0CC6-B7DA-7DB8-44464D252E05}"/>
              </a:ext>
            </a:extLst>
          </cdr:cNvPr>
          <cdr:cNvSpPr/>
        </cdr:nvSpPr>
        <cdr:spPr>
          <a:xfrm xmlns:a="http://schemas.openxmlformats.org/drawingml/2006/main">
            <a:off x="0" y="0"/>
            <a:ext cx="1511697" cy="26670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0.49654</cdr:x>
      <cdr:y>0.30899</cdr:y>
    </cdr:from>
    <cdr:to>
      <cdr:x>0.61106</cdr:x>
      <cdr:y>0.43211</cdr:y>
    </cdr:to>
    <cdr:sp macro="" textlink="">
      <cdr:nvSpPr>
        <cdr:cNvPr id="5" name="Elipse 4">
          <a:extLst xmlns:a="http://schemas.openxmlformats.org/drawingml/2006/main">
            <a:ext uri="{FF2B5EF4-FFF2-40B4-BE49-F238E27FC236}">
              <a16:creationId xmlns:a16="http://schemas.microsoft.com/office/drawing/2014/main" id="{70CCF386-772D-1545-31EB-EDDC46342CB9}"/>
            </a:ext>
          </a:extLst>
        </cdr:cNvPr>
        <cdr:cNvSpPr/>
      </cdr:nvSpPr>
      <cdr:spPr>
        <a:xfrm xmlns:a="http://schemas.openxmlformats.org/drawingml/2006/main">
          <a:off x="2717800" y="812800"/>
          <a:ext cx="62683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0.83132</cdr:x>
      <cdr:y>0.60902</cdr:y>
    </cdr:from>
    <cdr:to>
      <cdr:x>0.94584</cdr:x>
      <cdr:y>0.73213</cdr:y>
    </cdr:to>
    <cdr:sp macro="" textlink="">
      <cdr:nvSpPr>
        <cdr:cNvPr id="6" name="Elipse 5">
          <a:extLst xmlns:a="http://schemas.openxmlformats.org/drawingml/2006/main">
            <a:ext uri="{FF2B5EF4-FFF2-40B4-BE49-F238E27FC236}">
              <a16:creationId xmlns:a16="http://schemas.microsoft.com/office/drawing/2014/main" id="{82F85E4D-B1CE-06C3-0CA0-2A4E9746050B}"/>
            </a:ext>
          </a:extLst>
        </cdr:cNvPr>
        <cdr:cNvSpPr/>
      </cdr:nvSpPr>
      <cdr:spPr>
        <a:xfrm xmlns:a="http://schemas.openxmlformats.org/drawingml/2006/main">
          <a:off x="4550229" y="1602014"/>
          <a:ext cx="626830" cy="32385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8.xml><?xml version="1.0" encoding="utf-8"?>
<c:userShapes xmlns:c="http://schemas.openxmlformats.org/drawingml/2006/chart">
  <cdr:relSizeAnchor xmlns:cdr="http://schemas.openxmlformats.org/drawingml/2006/chartDrawing">
    <cdr:from>
      <cdr:x>0.06471</cdr:x>
      <cdr:y>0.88979</cdr:y>
    </cdr:from>
    <cdr:to>
      <cdr:x>0.34679</cdr:x>
      <cdr:y>0.98106</cdr:y>
    </cdr:to>
    <cdr:grpSp>
      <cdr:nvGrpSpPr>
        <cdr:cNvPr id="2" name="Grupo 1">
          <a:extLst xmlns:a="http://schemas.openxmlformats.org/drawingml/2006/main">
            <a:ext uri="{FF2B5EF4-FFF2-40B4-BE49-F238E27FC236}">
              <a16:creationId xmlns:a16="http://schemas.microsoft.com/office/drawing/2014/main" id="{3FD8A32B-17F8-8238-0A1C-082D4FF10FA1}"/>
            </a:ext>
          </a:extLst>
        </cdr:cNvPr>
        <cdr:cNvGrpSpPr/>
      </cdr:nvGrpSpPr>
      <cdr:grpSpPr>
        <a:xfrm xmlns:a="http://schemas.openxmlformats.org/drawingml/2006/main">
          <a:off x="389148" y="2651541"/>
          <a:ext cx="1696349" cy="271982"/>
          <a:chOff x="0" y="0"/>
          <a:chExt cx="1746445" cy="266700"/>
        </a:xfrm>
      </cdr:grpSpPr>
      <cdr:sp macro="" textlink="">
        <cdr:nvSpPr>
          <cdr:cNvPr id="3" name="CuadroTexto 20">
            <a:extLst xmlns:a="http://schemas.openxmlformats.org/drawingml/2006/main">
              <a:ext uri="{FF2B5EF4-FFF2-40B4-BE49-F238E27FC236}">
                <a16:creationId xmlns:a16="http://schemas.microsoft.com/office/drawing/2014/main" id="{43F1B292-FAA9-B387-26AC-4EC5E70A78EE}"/>
              </a:ext>
            </a:extLst>
          </cdr:cNvPr>
          <cdr:cNvSpPr txBox="1"/>
        </cdr:nvSpPr>
        <cdr:spPr>
          <a:xfrm xmlns:a="http://schemas.openxmlformats.org/drawingml/2006/main">
            <a:off x="104265" y="31750"/>
            <a:ext cx="1642180" cy="1841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900" b="0" i="0" u="none" strike="noStrike" kern="1200" baseline="0">
                <a:solidFill>
                  <a:schemeClr val="tx1">
                    <a:lumMod val="65000"/>
                    <a:lumOff val="35000"/>
                  </a:schemeClr>
                </a:solidFill>
                <a:latin typeface="+mn-lt"/>
                <a:ea typeface="+mn-ea"/>
                <a:cs typeface="+mn-cs"/>
              </a:rPr>
              <a:t>Mejora representatividad</a:t>
            </a:r>
          </a:p>
        </cdr:txBody>
      </cdr:sp>
      <cdr:sp macro="" textlink="">
        <cdr:nvSpPr>
          <cdr:cNvPr id="4" name="Elipse 3">
            <a:extLst xmlns:a="http://schemas.openxmlformats.org/drawingml/2006/main">
              <a:ext uri="{FF2B5EF4-FFF2-40B4-BE49-F238E27FC236}">
                <a16:creationId xmlns:a16="http://schemas.microsoft.com/office/drawing/2014/main" id="{2B4B2673-815A-E2B2-DEC0-578A62FC6F5D}"/>
              </a:ext>
            </a:extLst>
          </cdr:cNvPr>
          <cdr:cNvSpPr/>
        </cdr:nvSpPr>
        <cdr:spPr>
          <a:xfrm xmlns:a="http://schemas.openxmlformats.org/drawingml/2006/main">
            <a:off x="0" y="0"/>
            <a:ext cx="1531398" cy="266700"/>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grpSp>
  </cdr:relSizeAnchor>
  <cdr:relSizeAnchor xmlns:cdr="http://schemas.openxmlformats.org/drawingml/2006/chartDrawing">
    <cdr:from>
      <cdr:x>0.62043</cdr:x>
      <cdr:y>0.28438</cdr:y>
    </cdr:from>
    <cdr:to>
      <cdr:x>0.79112</cdr:x>
      <cdr:y>0.71406</cdr:y>
    </cdr:to>
    <cdr:sp macro="" textlink="">
      <cdr:nvSpPr>
        <cdr:cNvPr id="5" name="Elipse 4">
          <a:extLst xmlns:a="http://schemas.openxmlformats.org/drawingml/2006/main">
            <a:ext uri="{FF2B5EF4-FFF2-40B4-BE49-F238E27FC236}">
              <a16:creationId xmlns:a16="http://schemas.microsoft.com/office/drawing/2014/main" id="{240F8EC7-18C6-661A-37C3-03E922AF567D}"/>
            </a:ext>
          </a:extLst>
        </cdr:cNvPr>
        <cdr:cNvSpPr/>
      </cdr:nvSpPr>
      <cdr:spPr>
        <a:xfrm xmlns:a="http://schemas.openxmlformats.org/drawingml/2006/main">
          <a:off x="3791857" y="830942"/>
          <a:ext cx="1043214" cy="1255485"/>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dr:relSizeAnchor xmlns:cdr="http://schemas.openxmlformats.org/drawingml/2006/chartDrawing">
    <cdr:from>
      <cdr:x>0.14487</cdr:x>
      <cdr:y>0.3384</cdr:y>
    </cdr:from>
    <cdr:to>
      <cdr:x>0.27608</cdr:x>
      <cdr:y>0.42223</cdr:y>
    </cdr:to>
    <cdr:sp macro="" textlink="">
      <cdr:nvSpPr>
        <cdr:cNvPr id="14" name="Elipse 13">
          <a:extLst xmlns:a="http://schemas.openxmlformats.org/drawingml/2006/main">
            <a:ext uri="{FF2B5EF4-FFF2-40B4-BE49-F238E27FC236}">
              <a16:creationId xmlns:a16="http://schemas.microsoft.com/office/drawing/2014/main" id="{54B2D689-504B-EAC6-F329-41B589B16F59}"/>
            </a:ext>
          </a:extLst>
        </cdr:cNvPr>
        <cdr:cNvSpPr/>
      </cdr:nvSpPr>
      <cdr:spPr>
        <a:xfrm xmlns:a="http://schemas.openxmlformats.org/drawingml/2006/main">
          <a:off x="885371" y="988785"/>
          <a:ext cx="801915" cy="244929"/>
        </a:xfrm>
        <a:prstGeom xmlns:a="http://schemas.openxmlformats.org/drawingml/2006/main" prst="ellipse">
          <a:avLst/>
        </a:prstGeom>
        <a:noFill xmlns:a="http://schemas.openxmlformats.org/drawingml/2006/main"/>
        <a:ln xmlns:a="http://schemas.openxmlformats.org/drawingml/2006/main" w="38100"/>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s-ES" sz="1100"/>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0</xdr:colOff>
      <xdr:row>18</xdr:row>
      <xdr:rowOff>190182</xdr:rowOff>
    </xdr:from>
    <xdr:to>
      <xdr:col>14</xdr:col>
      <xdr:colOff>196664</xdr:colOff>
      <xdr:row>32</xdr:row>
      <xdr:rowOff>82550</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18</xdr:row>
      <xdr:rowOff>0</xdr:rowOff>
    </xdr:from>
    <xdr:to>
      <xdr:col>19</xdr:col>
      <xdr:colOff>739588</xdr:colOff>
      <xdr:row>32</xdr:row>
      <xdr:rowOff>82550</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76</xdr:row>
      <xdr:rowOff>78105</xdr:rowOff>
    </xdr:from>
    <xdr:to>
      <xdr:col>13</xdr:col>
      <xdr:colOff>1258420</xdr:colOff>
      <xdr:row>88</xdr:row>
      <xdr:rowOff>187643</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76</xdr:row>
      <xdr:rowOff>0</xdr:rowOff>
    </xdr:from>
    <xdr:to>
      <xdr:col>19</xdr:col>
      <xdr:colOff>89983</xdr:colOff>
      <xdr:row>88</xdr:row>
      <xdr:rowOff>187643</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732117</xdr:colOff>
      <xdr:row>6</xdr:row>
      <xdr:rowOff>22412</xdr:rowOff>
    </xdr:from>
    <xdr:to>
      <xdr:col>25</xdr:col>
      <xdr:colOff>732117</xdr:colOff>
      <xdr:row>18</xdr:row>
      <xdr:rowOff>113553</xdr:rowOff>
    </xdr:to>
    <xdr:graphicFrame macro="">
      <xdr:nvGraphicFramePr>
        <xdr:cNvPr id="8" name="Gráfico 7">
          <a:extLst>
            <a:ext uri="{FF2B5EF4-FFF2-40B4-BE49-F238E27FC236}">
              <a16:creationId xmlns:a16="http://schemas.microsoft.com/office/drawing/2014/main" id="{B98DBBD6-03DC-4EB4-871A-24B90DB20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9072</xdr:colOff>
      <xdr:row>34</xdr:row>
      <xdr:rowOff>18143</xdr:rowOff>
    </xdr:from>
    <xdr:to>
      <xdr:col>14</xdr:col>
      <xdr:colOff>205736</xdr:colOff>
      <xdr:row>47</xdr:row>
      <xdr:rowOff>98289</xdr:rowOff>
    </xdr:to>
    <xdr:graphicFrame macro="">
      <xdr:nvGraphicFramePr>
        <xdr:cNvPr id="9" name="Gráfico 8">
          <a:extLst>
            <a:ext uri="{FF2B5EF4-FFF2-40B4-BE49-F238E27FC236}">
              <a16:creationId xmlns:a16="http://schemas.microsoft.com/office/drawing/2014/main" id="{2373AEFB-CEF2-455D-A91F-8BCD4709E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ateo Muñoz, Maria Angelica" id="{6A5EC8F6-CF78-439D-ABD4-729EE88ED75E}" userId="S::mmateom@mapa.es::257a08de-b9f2-45d4-9669-bd8ca0be452f"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V17" dT="2022-08-11T10:47:32.96" personId="{6A5EC8F6-CF78-439D-ABD4-729EE88ED75E}" id="{68726631-E5C8-4518-905B-BE60BB8C5C75}">
    <text>Este dato no me cuadra mucho, ya tiene en cuenta las superficies de REGEPA de CAT de 2020??? Es raro...</text>
  </threadedComment>
</ThreadedComments>
</file>

<file path=xl/threadedComments/threadedComment2.xml><?xml version="1.0" encoding="utf-8"?>
<ThreadedComments xmlns="http://schemas.microsoft.com/office/spreadsheetml/2018/threadedcomments" xmlns:x="http://schemas.openxmlformats.org/spreadsheetml/2006/main">
  <threadedComment ref="M69" dT="2022-08-12T14:42:27.17" personId="{6A5EC8F6-CF78-439D-ABD4-729EE88ED75E}" id="{40849C84-EB20-4E60-830B-E8257248B82F}">
    <text>La suma de las CCAA no coincide con el total de ES que se basa en la suma de eco + convencional.</text>
  </threadedComment>
  <threadedComment ref="N69" dT="2022-08-12T14:42:38.26" personId="{6A5EC8F6-CF78-439D-ABD4-729EE88ED75E}" id="{FE07B272-C8DE-484C-B85B-487BD480D6F0}">
    <text>La suma de las CCAA no coincide con el total de ES que se basa en la suma de eco + convencional.</text>
  </threadedComment>
  <threadedComment ref="AC69" dT="2022-08-12T14:43:09.93" personId="{6A5EC8F6-CF78-439D-ABD4-729EE88ED75E}" id="{376DB22E-188E-4CB1-868D-632AB8EAB906}">
    <text>La suma de las CCAA no coincide con el total de ES que se basa en la suma de eco + convencional.</text>
  </threadedComment>
  <threadedComment ref="AG69" dT="2022-08-12T14:43:17.53" personId="{6A5EC8F6-CF78-439D-ABD4-729EE88ED75E}" id="{918156C9-75ED-4163-9E45-ACE4F1035593}">
    <text>La suma de las CCAA no coincide con el total de ES que se basa en la suma de eco + convencional.</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1.bin"/><Relationship Id="rId1" Type="http://schemas.openxmlformats.org/officeDocument/2006/relationships/hyperlink" Target="../../AppData/Roaming/Microsoft/Excel/DATOS%202021_15_02_2022%20FS%20ECO_CONV/BDA_Frutos%20Secos_A&#241;o_Plantacion_RSU_REGEPA_2021_ALM_PIST_Prod_eco_conv.xlsx"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2.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3.bin"/><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4.bin"/><Relationship Id="rId1" Type="http://schemas.openxmlformats.org/officeDocument/2006/relationships/hyperlink" Target="../../AppData/Roaming/Microsoft/Frutas%20de%20hueso/BDA_Frutales%20de%20Hueso_A&#241;o_Plantacion_RSU_REGEPA_2021_%20con%20tabla%20c&#243;digos.xls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5.bin"/><Relationship Id="rId1" Type="http://schemas.openxmlformats.org/officeDocument/2006/relationships/hyperlink" Target="../../AppData/Roaming/Microsoft/Frutas%20de%20hueso/BDA_Frutales%20de%20Hueso_A&#241;o_Plantacion_RSU_REGEPA_2021_%20con%20tabla%20c&#243;digos.xls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6.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7.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8.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19.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hyperlink" Target="../../AppData/Roaming/Microsoft/Excel/DATOS%202021_15_02_2022%20FS%20ECO_CONV/BDA_Frutos%20Secos_A&#241;o_Plantacion_RSU_REGEPA_2021_AVELL_ALG_Prod_eco_conv%20(1).xlsx"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20.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7/10/relationships/threadedComment" Target="../threadedComments/threadedComment1.xml"/><Relationship Id="rId2" Type="http://schemas.openxmlformats.org/officeDocument/2006/relationships/hyperlink" Target="2021%20SUPERFICIES%20DE%20PRODUCCI&#211;N_FdC_(2013-2020).xlsx" TargetMode="External"/><Relationship Id="rId1" Type="http://schemas.openxmlformats.org/officeDocument/2006/relationships/hyperlink" Target="../../AppData/Roaming/Microsoft/Excel/DATOS%202021_15_02_2022%20FS%20ECO_CONV/BDA_Frutos%20Secos_A&#241;o_Plantacion_RSU_REGEPA_2021_ALM_PIST_Prod_eco_conv.xls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2021%20SUPERFICIES%20DE%20PRODUCCI&#211;N_FdC_(2013-2020).xlsx" TargetMode="External"/><Relationship Id="rId1" Type="http://schemas.openxmlformats.org/officeDocument/2006/relationships/hyperlink" Target="../../AppData/Roaming/Microsoft/Excel/DATOS%202021_15_02_2022%20FS%20ECO_CONV/BDA_Frutos%20Secos_A&#241;o_Plantacion_RSU_REGEPA_2021_ALM_PIST_Prod_eco_conv.xlsx" TargetMode="External"/><Relationship Id="rId4"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2021%20SUPERFICIES%20DE%20PRODUCCI&#211;N_FdC_(2013-2020).xlsx" TargetMode="External"/><Relationship Id="rId1" Type="http://schemas.openxmlformats.org/officeDocument/2006/relationships/hyperlink" Target="../../AppData/Roaming/Microsoft/Excel/DATOS%202021_15_02_2022%20FS%20ECO_CONV/BDA_Frutos%20Secos_A&#241;o_Plantacion_RSU_REGEPA_2021_ALM_PIST_Prod_eco_conv.xlsx" TargetMode="Externa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espanayccaa_tcm30-584075.xls" TargetMode="External"/><Relationship Id="rId1" Type="http://schemas.openxmlformats.org/officeDocument/2006/relationships/hyperlink" Target="../../AppData/Roaming/Microsoft/Excel/DATOS%202021_15_02_2022%20FS%20ECO_CONV/BDA_Frutos%20Secos_A&#241;o_Plantacion_RSU_REGEPA_2021_ALM_PIST_Prod_eco_conv.xlsx" TargetMode="External"/><Relationship Id="rId4"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2021%20SUPERFICIES%20DE%20PRODUCCI&#211;N_FdC_(2013-2020).xlsx" TargetMode="External"/><Relationship Id="rId1" Type="http://schemas.openxmlformats.org/officeDocument/2006/relationships/hyperlink" Target="..\Frutas%20de%20hueso\BDA_Frutales%20de%20Hueso_A&#241;o_Plantacion_RSU_REGEPA_2021.xlsx" TargetMode="External"/><Relationship Id="rId4" Type="http://schemas.openxmlformats.org/officeDocument/2006/relationships/drawing" Target="../drawings/drawing1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2021%20SUPERFICIES%20DE%20PRODUCCI&#211;N_FdC_(2013-2020).xlsx" TargetMode="External"/><Relationship Id="rId1" Type="http://schemas.openxmlformats.org/officeDocument/2006/relationships/hyperlink" Target="../../AppData/Roaming/Microsoft/Frutas%20de%20hueso/BDA_Frutales%20de%20Hueso_A&#241;o_Plantacion_RSU_REGEPA_2021_%20con%20tabla%20c&#243;digos.xlsx" TargetMode="External"/><Relationship Id="rId4"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9.bin"/><Relationship Id="rId1" Type="http://schemas.openxmlformats.org/officeDocument/2006/relationships/hyperlink" Target="../../AppData/Roaming/Microsoft/Excel/DATOS%202021_15_02_2022%20FS%20ECO_CONV/BDA_Frutos%20Secos_A&#241;o_Plantacion_RSU_REGEPA_2021_ALM_PIST_Prod_eco_conv.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G38"/>
  <sheetViews>
    <sheetView workbookViewId="0"/>
  </sheetViews>
  <sheetFormatPr baseColWidth="10" defaultRowHeight="14.5" x14ac:dyDescent="0.35"/>
  <cols>
    <col min="6" max="6" width="25.453125" customWidth="1"/>
  </cols>
  <sheetData>
    <row r="2" spans="1:7" ht="40.5" customHeight="1" x14ac:dyDescent="0.45">
      <c r="A2" s="655" t="s">
        <v>281</v>
      </c>
      <c r="B2" s="655"/>
      <c r="C2" s="655"/>
      <c r="D2" s="655"/>
      <c r="E2" s="655"/>
      <c r="F2" s="655"/>
    </row>
    <row r="4" spans="1:7" ht="18.5" x14ac:dyDescent="0.35">
      <c r="A4" s="658" t="s">
        <v>141</v>
      </c>
      <c r="B4" s="658"/>
      <c r="C4" s="658"/>
      <c r="D4" s="658"/>
      <c r="E4" s="658"/>
      <c r="F4" s="659"/>
    </row>
    <row r="5" spans="1:7" ht="15.5" x14ac:dyDescent="0.35">
      <c r="A5" s="656" t="s">
        <v>80</v>
      </c>
      <c r="B5" s="656"/>
      <c r="C5" s="656"/>
      <c r="D5" s="656"/>
      <c r="E5" s="656"/>
      <c r="F5" s="657"/>
    </row>
    <row r="6" spans="1:7" ht="15.5" x14ac:dyDescent="0.35">
      <c r="A6" s="653" t="s">
        <v>219</v>
      </c>
      <c r="B6" s="653"/>
      <c r="C6" s="653"/>
      <c r="D6" s="653"/>
      <c r="E6" s="653"/>
      <c r="F6" s="654"/>
    </row>
    <row r="7" spans="1:7" x14ac:dyDescent="0.35">
      <c r="A7" s="441" t="s">
        <v>280</v>
      </c>
      <c r="B7" s="341"/>
      <c r="C7" s="217"/>
      <c r="D7" s="217"/>
      <c r="E7" s="217"/>
      <c r="F7" s="218"/>
    </row>
    <row r="8" spans="1:7" x14ac:dyDescent="0.35">
      <c r="A8" s="341" t="s">
        <v>103</v>
      </c>
      <c r="B8" s="341"/>
      <c r="C8" s="217"/>
      <c r="D8" s="217"/>
      <c r="E8" s="217"/>
      <c r="F8" s="218"/>
    </row>
    <row r="9" spans="1:7" x14ac:dyDescent="0.35">
      <c r="A9" s="341" t="s">
        <v>104</v>
      </c>
      <c r="B9" s="341"/>
      <c r="C9" s="217"/>
      <c r="D9" s="217"/>
      <c r="E9" s="217"/>
      <c r="F9" s="218"/>
    </row>
    <row r="10" spans="1:7" x14ac:dyDescent="0.35">
      <c r="A10" s="341" t="s">
        <v>105</v>
      </c>
      <c r="B10" s="341"/>
      <c r="C10" s="217"/>
      <c r="D10" s="217"/>
      <c r="E10" s="217"/>
      <c r="F10" s="218"/>
    </row>
    <row r="11" spans="1:7" x14ac:dyDescent="0.35">
      <c r="A11" s="341" t="s">
        <v>106</v>
      </c>
      <c r="B11" s="341"/>
      <c r="C11" s="217"/>
      <c r="D11" s="217"/>
      <c r="E11" s="217"/>
      <c r="F11" s="218"/>
    </row>
    <row r="12" spans="1:7" x14ac:dyDescent="0.35">
      <c r="A12" s="341" t="s">
        <v>85</v>
      </c>
      <c r="B12" s="341"/>
      <c r="C12" s="217"/>
      <c r="D12" s="217"/>
      <c r="E12" s="217"/>
      <c r="F12" s="218"/>
    </row>
    <row r="13" spans="1:7" x14ac:dyDescent="0.35">
      <c r="A13" s="341" t="s">
        <v>87</v>
      </c>
      <c r="B13" s="217"/>
      <c r="C13" s="217"/>
      <c r="D13" s="217"/>
      <c r="E13" s="217"/>
      <c r="F13" s="218"/>
    </row>
    <row r="14" spans="1:7" ht="15.5" x14ac:dyDescent="0.35">
      <c r="A14" s="656" t="s">
        <v>142</v>
      </c>
      <c r="B14" s="656"/>
      <c r="C14" s="656"/>
      <c r="D14" s="656"/>
      <c r="E14" s="656"/>
      <c r="F14" s="657"/>
      <c r="G14" s="219"/>
    </row>
    <row r="15" spans="1:7" ht="15.5" x14ac:dyDescent="0.35">
      <c r="A15" s="663" t="s">
        <v>139</v>
      </c>
      <c r="B15" s="653"/>
      <c r="C15" s="653"/>
      <c r="D15" s="653"/>
      <c r="E15" s="653"/>
      <c r="F15" s="654"/>
      <c r="G15" s="219"/>
    </row>
    <row r="16" spans="1:7" x14ac:dyDescent="0.35">
      <c r="A16" s="341" t="s">
        <v>103</v>
      </c>
      <c r="B16" s="217"/>
      <c r="C16" s="217"/>
      <c r="D16" s="217"/>
      <c r="E16" s="217"/>
      <c r="F16" s="218"/>
    </row>
    <row r="17" spans="1:6" x14ac:dyDescent="0.35">
      <c r="A17" s="341" t="s">
        <v>104</v>
      </c>
      <c r="B17" s="217"/>
      <c r="C17" s="217"/>
      <c r="D17" s="217"/>
      <c r="E17" s="217"/>
      <c r="F17" s="218"/>
    </row>
    <row r="18" spans="1:6" x14ac:dyDescent="0.35">
      <c r="A18" s="341" t="s">
        <v>105</v>
      </c>
      <c r="B18" s="217"/>
      <c r="C18" s="217"/>
      <c r="D18" s="217"/>
      <c r="E18" s="217"/>
      <c r="F18" s="218"/>
    </row>
    <row r="19" spans="1:6" x14ac:dyDescent="0.35">
      <c r="A19" s="341" t="s">
        <v>106</v>
      </c>
      <c r="B19" s="217"/>
      <c r="C19" s="217"/>
      <c r="D19" s="217"/>
      <c r="E19" s="217"/>
      <c r="F19" s="218"/>
    </row>
    <row r="20" spans="1:6" ht="15.5" x14ac:dyDescent="0.35">
      <c r="A20" s="656" t="s">
        <v>140</v>
      </c>
      <c r="B20" s="656"/>
      <c r="C20" s="656"/>
      <c r="D20" s="656"/>
      <c r="E20" s="656"/>
      <c r="F20" s="657"/>
    </row>
    <row r="21" spans="1:6" ht="15" customHeight="1" x14ac:dyDescent="0.35">
      <c r="A21" s="341" t="s">
        <v>103</v>
      </c>
      <c r="B21" s="217"/>
      <c r="C21" s="217"/>
      <c r="D21" s="217"/>
      <c r="E21" s="217"/>
      <c r="F21" s="218"/>
    </row>
    <row r="22" spans="1:6" x14ac:dyDescent="0.35">
      <c r="A22" s="341" t="s">
        <v>104</v>
      </c>
      <c r="B22" s="217"/>
      <c r="C22" s="217"/>
      <c r="D22" s="217"/>
      <c r="E22" s="217"/>
      <c r="F22" s="218"/>
    </row>
    <row r="23" spans="1:6" x14ac:dyDescent="0.35">
      <c r="A23" s="341" t="s">
        <v>105</v>
      </c>
      <c r="B23" s="217"/>
      <c r="C23" s="217"/>
      <c r="D23" s="217"/>
      <c r="E23" s="217"/>
      <c r="F23" s="218"/>
    </row>
    <row r="24" spans="1:6" x14ac:dyDescent="0.35">
      <c r="A24" s="341" t="s">
        <v>106</v>
      </c>
      <c r="B24" s="217"/>
      <c r="C24" s="217"/>
      <c r="D24" s="217"/>
      <c r="E24" s="217"/>
      <c r="F24" s="218"/>
    </row>
    <row r="25" spans="1:6" x14ac:dyDescent="0.35">
      <c r="A25" s="341" t="s">
        <v>85</v>
      </c>
      <c r="B25" s="217"/>
      <c r="C25" s="217"/>
      <c r="D25" s="217"/>
      <c r="E25" s="217"/>
      <c r="F25" s="218"/>
    </row>
    <row r="26" spans="1:6" x14ac:dyDescent="0.35">
      <c r="A26" s="341" t="s">
        <v>87</v>
      </c>
      <c r="B26" s="217"/>
      <c r="C26" s="217"/>
      <c r="D26" s="217"/>
      <c r="E26" s="217"/>
      <c r="F26" s="218"/>
    </row>
    <row r="27" spans="1:6" ht="15.5" x14ac:dyDescent="0.35">
      <c r="A27" s="656" t="s">
        <v>148</v>
      </c>
      <c r="B27" s="656"/>
      <c r="C27" s="656"/>
      <c r="D27" s="656"/>
      <c r="E27" s="656"/>
      <c r="F27" s="657"/>
    </row>
    <row r="28" spans="1:6" x14ac:dyDescent="0.35">
      <c r="A28" s="662" t="s">
        <v>137</v>
      </c>
      <c r="B28" s="662"/>
      <c r="C28" s="217"/>
      <c r="D28" s="217"/>
      <c r="E28" s="217"/>
      <c r="F28" s="218"/>
    </row>
    <row r="29" spans="1:6" x14ac:dyDescent="0.35">
      <c r="A29" s="662" t="s">
        <v>138</v>
      </c>
      <c r="B29" s="662"/>
      <c r="C29" s="217"/>
      <c r="D29" s="217"/>
      <c r="E29" s="217"/>
      <c r="F29" s="218"/>
    </row>
    <row r="30" spans="1:6" x14ac:dyDescent="0.35">
      <c r="A30" s="662" t="s">
        <v>161</v>
      </c>
      <c r="B30" s="662"/>
      <c r="C30" s="217"/>
      <c r="D30" s="217"/>
      <c r="E30" s="217"/>
      <c r="F30" s="218"/>
    </row>
    <row r="31" spans="1:6" x14ac:dyDescent="0.35">
      <c r="A31" s="662" t="s">
        <v>162</v>
      </c>
      <c r="B31" s="662"/>
      <c r="C31" s="217"/>
      <c r="D31" s="217"/>
      <c r="E31" s="217"/>
      <c r="F31" s="218"/>
    </row>
    <row r="32" spans="1:6" x14ac:dyDescent="0.35">
      <c r="A32" s="662" t="s">
        <v>163</v>
      </c>
      <c r="B32" s="662"/>
      <c r="C32" s="217"/>
      <c r="D32" s="217"/>
      <c r="E32" s="217"/>
      <c r="F32" s="218"/>
    </row>
    <row r="33" spans="1:6" x14ac:dyDescent="0.35">
      <c r="A33" s="662" t="s">
        <v>173</v>
      </c>
      <c r="B33" s="662"/>
      <c r="C33" s="217"/>
      <c r="D33" s="217"/>
      <c r="E33" s="217"/>
      <c r="F33" s="218"/>
    </row>
    <row r="34" spans="1:6" x14ac:dyDescent="0.35">
      <c r="A34" s="662" t="s">
        <v>185</v>
      </c>
      <c r="B34" s="662"/>
      <c r="C34" s="217"/>
      <c r="D34" s="217"/>
      <c r="E34" s="217"/>
      <c r="F34" s="218"/>
    </row>
    <row r="35" spans="1:6" x14ac:dyDescent="0.35">
      <c r="A35" s="662" t="s">
        <v>189</v>
      </c>
      <c r="B35" s="662"/>
      <c r="C35" s="217"/>
      <c r="D35" s="217"/>
      <c r="E35" s="217"/>
      <c r="F35" s="218"/>
    </row>
    <row r="36" spans="1:6" ht="15.5" x14ac:dyDescent="0.35">
      <c r="A36" s="660" t="s">
        <v>274</v>
      </c>
      <c r="B36" s="660"/>
      <c r="C36" s="660"/>
      <c r="D36" s="660"/>
      <c r="E36" s="660"/>
      <c r="F36" s="661"/>
    </row>
    <row r="37" spans="1:6" x14ac:dyDescent="0.35">
      <c r="A37" s="341" t="s">
        <v>103</v>
      </c>
      <c r="B37" s="217"/>
      <c r="C37" s="217"/>
      <c r="D37" s="217"/>
      <c r="E37" s="217"/>
      <c r="F37" s="218"/>
    </row>
    <row r="38" spans="1:6" x14ac:dyDescent="0.35">
      <c r="A38" s="341" t="s">
        <v>104</v>
      </c>
      <c r="B38" s="404"/>
      <c r="C38" s="217"/>
      <c r="D38" s="217"/>
      <c r="E38" s="217"/>
      <c r="F38" s="218"/>
    </row>
  </sheetData>
  <mergeCells count="17">
    <mergeCell ref="A36:F36"/>
    <mergeCell ref="A30:B30"/>
    <mergeCell ref="A29:B29"/>
    <mergeCell ref="A28:B28"/>
    <mergeCell ref="A35:B35"/>
    <mergeCell ref="A34:B34"/>
    <mergeCell ref="A33:B33"/>
    <mergeCell ref="A32:B32"/>
    <mergeCell ref="A31:B31"/>
    <mergeCell ref="A6:F6"/>
    <mergeCell ref="A2:F2"/>
    <mergeCell ref="A27:F27"/>
    <mergeCell ref="A4:F4"/>
    <mergeCell ref="A5:F5"/>
    <mergeCell ref="A14:F14"/>
    <mergeCell ref="A20:F20"/>
    <mergeCell ref="A15:F15"/>
  </mergeCells>
  <hyperlinks>
    <hyperlink ref="A8" location="'ALM-REPR'!A1" display="ALMENDRO" xr:uid="{00000000-0004-0000-0000-000000000000}"/>
    <hyperlink ref="A9" location="'PIS-REPR'!A1" display="PISTACHO" xr:uid="{00000000-0004-0000-0000-000001000000}"/>
    <hyperlink ref="A10" location="'AVE-REPR'!A1" display="AVELLANO" xr:uid="{00000000-0004-0000-0000-000002000000}"/>
    <hyperlink ref="A11" location="ALG!A1" display="ALG!A1" xr:uid="{00000000-0004-0000-0000-000003000000}"/>
    <hyperlink ref="A16" location="'ALM-ECO'!A1" display="ALMENDRO" xr:uid="{00000000-0004-0000-0000-000004000000}"/>
    <hyperlink ref="A17" location="'PIS-ECO'!A1" display="PISTACHO" xr:uid="{00000000-0004-0000-0000-000005000000}"/>
    <hyperlink ref="A18" location="'AVE-ECO'!A1" display="AVELLANO" xr:uid="{00000000-0004-0000-0000-000006000000}"/>
    <hyperlink ref="A19" location="'ALG-ECO'!A1" display="ALGARROBO" xr:uid="{00000000-0004-0000-0000-000007000000}"/>
    <hyperlink ref="A12" location="'NOG-REPR'!A1" display="NOGAL" xr:uid="{00000000-0004-0000-0000-000008000000}"/>
    <hyperlink ref="A13" location="'CAS-REPR'!A1" display="CASTAÑO" xr:uid="{00000000-0004-0000-0000-000009000000}"/>
    <hyperlink ref="A21" location="'ALM-EDAD'!A1" display="ALMENDRO" xr:uid="{00000000-0004-0000-0000-00000A000000}"/>
    <hyperlink ref="A22" location="'PIS-EDAD'!A1" display="'PIS-EDAD'!A1" xr:uid="{00000000-0004-0000-0000-00000B000000}"/>
    <hyperlink ref="A23" location="'AVE-EDAD'!A1" display="'AVE-EDAD'!A1" xr:uid="{00000000-0004-0000-0000-00000C000000}"/>
    <hyperlink ref="A24" location="'ALG-EDAD'!A1" display="'ALG-EDAD'!A1" xr:uid="{00000000-0004-0000-0000-00000D000000}"/>
    <hyperlink ref="A25" location="'NOG-EDAD'!A1" display="'NOG-EDAD'!A1" xr:uid="{00000000-0004-0000-0000-00000E000000}"/>
    <hyperlink ref="A26" location="'CAS-EDAD'!A1" display="'CAS-EDAD'!A1" xr:uid="{00000000-0004-0000-0000-00000F000000}"/>
    <hyperlink ref="A28" location="'ALM S-VAR'!A1" display="'ALM S-VAR'!A1" xr:uid="{00000000-0004-0000-0000-000010000000}"/>
    <hyperlink ref="A29" location="'ALM R-VAR'!A1" display="'ALM R-VAR'!A1" xr:uid="{00000000-0004-0000-0000-000011000000}"/>
    <hyperlink ref="A30" location="'PIS S-VAR'!A1" display="'PIS S-VAR'!A1" xr:uid="{00000000-0004-0000-0000-000012000000}"/>
    <hyperlink ref="A31" location="'PIS R-VAR'!A1" display="'PIS R-VAR'!A1" xr:uid="{00000000-0004-0000-0000-000013000000}"/>
    <hyperlink ref="A32" location="'AVE S-VAR'!A1" display="'AVE S-VAR'!A1" xr:uid="{00000000-0004-0000-0000-000014000000}"/>
    <hyperlink ref="A33:B33" location="'AVE R-VAR'!A1" display="'AVE R-VAR'!A1" xr:uid="{00000000-0004-0000-0000-000015000000}"/>
    <hyperlink ref="A34" location="'ALG S-VAR'!A1" display="'ALG S-VAR'!A1" xr:uid="{00000000-0004-0000-0000-000016000000}"/>
    <hyperlink ref="A35" location="'ALG R-VAR'!A1" display="ALGARROBO REGADÍO" xr:uid="{00000000-0004-0000-0000-000017000000}"/>
    <hyperlink ref="A37" location="'ALM-VAR-EDAD'!A1" display="ALMENDRO" xr:uid="{00000000-0004-0000-0000-000018000000}"/>
    <hyperlink ref="A38" location="'PIS-VAR-EDAD'!A1" display="PISTACHO" xr:uid="{00000000-0004-0000-0000-000019000000}"/>
    <hyperlink ref="A7" location="'FRUTOS SECOS TOTAL'!A1" display="'FRUTOS SECOS TOTAL'!A1" xr:uid="{00000000-0004-0000-0000-00001A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M127"/>
  <sheetViews>
    <sheetView topLeftCell="C1" workbookViewId="0"/>
  </sheetViews>
  <sheetFormatPr baseColWidth="10" defaultRowHeight="14.5" x14ac:dyDescent="0.35"/>
  <cols>
    <col min="1" max="1" width="21.54296875" bestFit="1" customWidth="1"/>
    <col min="2" max="2" width="18" customWidth="1"/>
    <col min="3" max="3" width="18.6328125" customWidth="1"/>
    <col min="4" max="4" width="18.453125" bestFit="1" customWidth="1"/>
    <col min="5" max="5" width="19" customWidth="1"/>
    <col min="6" max="6" width="20" customWidth="1"/>
    <col min="7" max="7" width="16.1796875" customWidth="1"/>
    <col min="8" max="8" width="17.54296875" customWidth="1"/>
    <col min="9" max="9" width="18.1796875" customWidth="1"/>
    <col min="10" max="10" width="13.81640625" customWidth="1"/>
  </cols>
  <sheetData>
    <row r="1" spans="1:13" x14ac:dyDescent="0.35">
      <c r="A1" s="240" t="s">
        <v>10</v>
      </c>
      <c r="B1" s="2" t="s">
        <v>9</v>
      </c>
      <c r="L1" t="s">
        <v>143</v>
      </c>
      <c r="M1" s="2" t="s">
        <v>144</v>
      </c>
    </row>
    <row r="3" spans="1:13" ht="18.5" x14ac:dyDescent="0.45">
      <c r="A3" t="s">
        <v>243</v>
      </c>
      <c r="C3" s="642"/>
      <c r="D3" s="643" t="s">
        <v>304</v>
      </c>
      <c r="E3" s="643" t="s">
        <v>302</v>
      </c>
      <c r="F3" s="644" t="s">
        <v>303</v>
      </c>
    </row>
    <row r="4" spans="1:13" ht="18.5" x14ac:dyDescent="0.45">
      <c r="A4" s="332" t="s">
        <v>63</v>
      </c>
      <c r="C4" s="645" t="s">
        <v>349</v>
      </c>
      <c r="D4" s="646">
        <f>C65</f>
        <v>10444.08</v>
      </c>
      <c r="E4" s="647">
        <f>D65</f>
        <v>0.23724677723711388</v>
      </c>
      <c r="F4" s="648">
        <f>D4/D6</f>
        <v>0.75425347604628035</v>
      </c>
    </row>
    <row r="5" spans="1:13" ht="18.5" x14ac:dyDescent="0.45">
      <c r="A5" s="332" t="s">
        <v>67</v>
      </c>
      <c r="C5" s="645" t="s">
        <v>350</v>
      </c>
      <c r="D5" s="646">
        <f>C124</f>
        <v>3402.8300000000004</v>
      </c>
      <c r="E5" s="647">
        <f>D124</f>
        <v>0.21762554385121163</v>
      </c>
      <c r="F5" s="649">
        <f>D5/D6</f>
        <v>0.24574652395371968</v>
      </c>
    </row>
    <row r="6" spans="1:13" ht="18.5" x14ac:dyDescent="0.45">
      <c r="C6" s="644" t="s">
        <v>351</v>
      </c>
      <c r="D6" s="650">
        <f>SUM(D4:D5)</f>
        <v>13846.91</v>
      </c>
      <c r="E6" s="651">
        <f>D6/'PIS-REPR'!G7</f>
        <v>0.23210413056516305</v>
      </c>
      <c r="F6" s="642" t="s">
        <v>353</v>
      </c>
    </row>
    <row r="7" spans="1:13" ht="15" x14ac:dyDescent="0.35">
      <c r="A7" s="283" t="s">
        <v>63</v>
      </c>
      <c r="E7" s="450">
        <f>1-E6</f>
        <v>0.76789586943483701</v>
      </c>
      <c r="F7" t="s">
        <v>354</v>
      </c>
    </row>
    <row r="8" spans="1:13" ht="18.5" x14ac:dyDescent="0.35">
      <c r="A8" s="287" t="s">
        <v>213</v>
      </c>
      <c r="B8" s="220"/>
      <c r="C8" s="221"/>
    </row>
    <row r="9" spans="1:13" x14ac:dyDescent="0.35">
      <c r="F9" s="375" t="s">
        <v>225</v>
      </c>
    </row>
    <row r="10" spans="1:13" ht="43.5" x14ac:dyDescent="0.35">
      <c r="A10" s="373" t="s">
        <v>0</v>
      </c>
      <c r="B10" s="70" t="s">
        <v>81</v>
      </c>
      <c r="C10" s="70" t="s">
        <v>82</v>
      </c>
      <c r="D10" s="70" t="s">
        <v>83</v>
      </c>
      <c r="F10" s="342"/>
      <c r="G10" s="373" t="s">
        <v>251</v>
      </c>
      <c r="H10" s="373" t="s">
        <v>252</v>
      </c>
      <c r="I10" s="480" t="s">
        <v>301</v>
      </c>
    </row>
    <row r="11" spans="1:13" x14ac:dyDescent="0.35">
      <c r="A11" s="71" t="s">
        <v>5</v>
      </c>
      <c r="B11" s="95">
        <f>SUM(B12:B19)</f>
        <v>4141.8799999999974</v>
      </c>
      <c r="C11" s="95">
        <f>SUM(C12:C19)</f>
        <v>1091.9699999999998</v>
      </c>
      <c r="D11" s="97">
        <f>C11/B11</f>
        <v>0.26364114846398268</v>
      </c>
      <c r="F11" s="374" t="s">
        <v>15</v>
      </c>
      <c r="G11" s="323">
        <v>8200.0600000000013</v>
      </c>
      <c r="H11" s="457">
        <v>34604.449999999997</v>
      </c>
      <c r="I11" s="481">
        <v>0.23696547698345161</v>
      </c>
      <c r="J11" s="190"/>
    </row>
    <row r="12" spans="1:13" x14ac:dyDescent="0.35">
      <c r="A12" s="5" t="s">
        <v>6</v>
      </c>
      <c r="B12" s="12">
        <v>121.53999999999999</v>
      </c>
      <c r="C12" s="12">
        <v>25.4</v>
      </c>
      <c r="D12" s="84">
        <f>C12/B12</f>
        <v>0.20898469639624814</v>
      </c>
      <c r="F12" s="374" t="s">
        <v>5</v>
      </c>
      <c r="G12" s="323">
        <f>C11</f>
        <v>1091.9699999999998</v>
      </c>
      <c r="H12" s="457">
        <f>B11</f>
        <v>4141.8799999999974</v>
      </c>
      <c r="I12" s="481">
        <f>G12/H12</f>
        <v>0.26364114846398268</v>
      </c>
      <c r="J12" s="190"/>
    </row>
    <row r="13" spans="1:13" x14ac:dyDescent="0.35">
      <c r="A13" s="6" t="s">
        <v>7</v>
      </c>
      <c r="B13" s="12">
        <v>219.78</v>
      </c>
      <c r="C13" s="12">
        <v>29.26</v>
      </c>
      <c r="D13" s="84">
        <f t="shared" ref="D13:D65" si="0">C13/B13</f>
        <v>0.13313313313313313</v>
      </c>
      <c r="F13" s="374" t="s">
        <v>16</v>
      </c>
      <c r="G13" s="323">
        <v>434.19999999999993</v>
      </c>
      <c r="H13" s="457">
        <v>1955.57</v>
      </c>
      <c r="I13" s="481">
        <f t="shared" ref="I13:I15" si="1">G13/H13</f>
        <v>0.22203245089666948</v>
      </c>
      <c r="J13" s="190"/>
    </row>
    <row r="14" spans="1:13" x14ac:dyDescent="0.35">
      <c r="A14" s="6" t="s">
        <v>8</v>
      </c>
      <c r="B14" s="12">
        <v>339.93</v>
      </c>
      <c r="C14" s="12">
        <v>99.36</v>
      </c>
      <c r="D14" s="84">
        <f t="shared" si="0"/>
        <v>0.29229547259729943</v>
      </c>
      <c r="F14" s="374" t="s">
        <v>22</v>
      </c>
      <c r="G14" s="323">
        <v>302.48</v>
      </c>
      <c r="H14" s="457">
        <v>547.88000000000011</v>
      </c>
      <c r="I14" s="481">
        <f t="shared" si="1"/>
        <v>0.55209169891217047</v>
      </c>
      <c r="J14" s="190"/>
    </row>
    <row r="15" spans="1:13" x14ac:dyDescent="0.35">
      <c r="A15" s="6" t="s">
        <v>26</v>
      </c>
      <c r="B15" s="12">
        <v>1925.3199999999983</v>
      </c>
      <c r="C15" s="12">
        <v>519.62</v>
      </c>
      <c r="D15" s="84">
        <f t="shared" si="0"/>
        <v>0.26988760309974469</v>
      </c>
      <c r="F15" s="374" t="s">
        <v>17</v>
      </c>
      <c r="G15" s="323">
        <v>208.3</v>
      </c>
      <c r="H15" s="457">
        <v>1435.12</v>
      </c>
      <c r="I15" s="481">
        <f t="shared" si="1"/>
        <v>0.1451446568928034</v>
      </c>
      <c r="J15" s="190"/>
    </row>
    <row r="16" spans="1:13" x14ac:dyDescent="0.35">
      <c r="A16" s="6" t="s">
        <v>27</v>
      </c>
      <c r="B16" s="12">
        <v>50.679999999999993</v>
      </c>
      <c r="C16" s="12">
        <v>7.7799999999999994</v>
      </c>
      <c r="D16" s="84">
        <f t="shared" si="0"/>
        <v>0.15351223362273086</v>
      </c>
    </row>
    <row r="17" spans="1:4" x14ac:dyDescent="0.35">
      <c r="A17" s="6" t="s">
        <v>28</v>
      </c>
      <c r="B17" s="12">
        <v>573.18999999999983</v>
      </c>
      <c r="C17" s="12">
        <v>188.26999999999998</v>
      </c>
      <c r="D17" s="84">
        <f t="shared" si="0"/>
        <v>0.32846002198223984</v>
      </c>
    </row>
    <row r="18" spans="1:4" x14ac:dyDescent="0.35">
      <c r="A18" s="6" t="s">
        <v>29</v>
      </c>
      <c r="B18" s="12">
        <v>479.68999999999988</v>
      </c>
      <c r="C18" s="12">
        <v>0.01</v>
      </c>
      <c r="D18" s="84">
        <f t="shared" si="0"/>
        <v>2.0846796889657909E-5</v>
      </c>
    </row>
    <row r="19" spans="1:4" x14ac:dyDescent="0.35">
      <c r="A19" s="6" t="s">
        <v>30</v>
      </c>
      <c r="B19" s="12">
        <v>431.75</v>
      </c>
      <c r="C19" s="12">
        <v>222.26999999999998</v>
      </c>
      <c r="D19" s="84">
        <f t="shared" si="0"/>
        <v>0.51481181239143015</v>
      </c>
    </row>
    <row r="20" spans="1:4" x14ac:dyDescent="0.35">
      <c r="A20" s="71" t="s">
        <v>12</v>
      </c>
      <c r="B20" s="95">
        <f>SUM(B21:B23)</f>
        <v>440.16</v>
      </c>
      <c r="C20" s="95">
        <f>SUM(C21:C23)</f>
        <v>67.579999999999984</v>
      </c>
      <c r="D20" s="97">
        <f t="shared" si="0"/>
        <v>0.15353507815339873</v>
      </c>
    </row>
    <row r="21" spans="1:4" x14ac:dyDescent="0.35">
      <c r="A21" s="6" t="s">
        <v>31</v>
      </c>
      <c r="B21" s="12">
        <v>38.46</v>
      </c>
      <c r="C21" s="12">
        <v>1.92</v>
      </c>
      <c r="D21" s="84">
        <f t="shared" si="0"/>
        <v>4.992199687987519E-2</v>
      </c>
    </row>
    <row r="22" spans="1:4" x14ac:dyDescent="0.35">
      <c r="A22" s="6" t="s">
        <v>32</v>
      </c>
      <c r="B22" s="12">
        <v>146.85</v>
      </c>
      <c r="C22" s="12">
        <v>20.27</v>
      </c>
      <c r="D22" s="84">
        <f t="shared" si="0"/>
        <v>0.13803200544773578</v>
      </c>
    </row>
    <row r="23" spans="1:4" x14ac:dyDescent="0.35">
      <c r="A23" s="6" t="s">
        <v>33</v>
      </c>
      <c r="B23" s="12">
        <v>254.85000000000002</v>
      </c>
      <c r="C23" s="12">
        <v>45.389999999999993</v>
      </c>
      <c r="D23" s="84">
        <f t="shared" si="0"/>
        <v>0.17810476751030013</v>
      </c>
    </row>
    <row r="24" spans="1:4" x14ac:dyDescent="0.35">
      <c r="A24" s="71" t="s">
        <v>13</v>
      </c>
      <c r="B24" s="95">
        <f>SUM(B25:B27)</f>
        <v>244.41999999999996</v>
      </c>
      <c r="C24" s="95">
        <f>SUM(C25:C27)</f>
        <v>75.839999999999989</v>
      </c>
      <c r="D24" s="88">
        <f t="shared" si="0"/>
        <v>0.31028557401194667</v>
      </c>
    </row>
    <row r="25" spans="1:4" x14ac:dyDescent="0.35">
      <c r="A25" s="6" t="s">
        <v>34</v>
      </c>
      <c r="B25" s="12">
        <v>2.4</v>
      </c>
      <c r="C25" s="12">
        <v>1.58</v>
      </c>
      <c r="D25" s="84">
        <f t="shared" si="0"/>
        <v>0.65833333333333344</v>
      </c>
    </row>
    <row r="26" spans="1:4" x14ac:dyDescent="0.35">
      <c r="A26" s="6" t="s">
        <v>35</v>
      </c>
      <c r="B26" s="12">
        <v>8.11</v>
      </c>
      <c r="C26" s="12">
        <v>6.0500000000000007</v>
      </c>
      <c r="D26" s="84">
        <f t="shared" si="0"/>
        <v>0.74599260172626403</v>
      </c>
    </row>
    <row r="27" spans="1:4" x14ac:dyDescent="0.35">
      <c r="A27" s="6" t="s">
        <v>36</v>
      </c>
      <c r="B27" s="12">
        <v>233.90999999999997</v>
      </c>
      <c r="C27" s="12">
        <v>68.209999999999994</v>
      </c>
      <c r="D27" s="84">
        <f t="shared" si="0"/>
        <v>0.29160788337394727</v>
      </c>
    </row>
    <row r="28" spans="1:4" x14ac:dyDescent="0.35">
      <c r="A28" s="71" t="s">
        <v>14</v>
      </c>
      <c r="B28" s="95">
        <f>SUM(B29:B32)</f>
        <v>231.96000000000006</v>
      </c>
      <c r="C28" s="95">
        <f>SUM(C29:C32)</f>
        <v>6.0200000000000005</v>
      </c>
      <c r="D28" s="88">
        <f t="shared" si="0"/>
        <v>2.5952750474219688E-2</v>
      </c>
    </row>
    <row r="29" spans="1:4" x14ac:dyDescent="0.35">
      <c r="A29" s="6" t="s">
        <v>37</v>
      </c>
      <c r="B29" s="12">
        <v>3.3699999999999997</v>
      </c>
      <c r="C29" s="55">
        <v>0.4</v>
      </c>
      <c r="D29" s="84">
        <f t="shared" si="0"/>
        <v>0.11869436201780417</v>
      </c>
    </row>
    <row r="30" spans="1:4" x14ac:dyDescent="0.35">
      <c r="A30" s="6" t="s">
        <v>38</v>
      </c>
      <c r="B30" s="12">
        <v>2.54</v>
      </c>
      <c r="C30" s="12"/>
      <c r="D30" s="84">
        <f t="shared" si="0"/>
        <v>0</v>
      </c>
    </row>
    <row r="31" spans="1:4" x14ac:dyDescent="0.35">
      <c r="A31" s="6" t="s">
        <v>39</v>
      </c>
      <c r="B31" s="12">
        <v>222.22000000000006</v>
      </c>
      <c r="C31" s="12">
        <v>3.7300000000000004</v>
      </c>
      <c r="D31" s="84">
        <f t="shared" si="0"/>
        <v>1.6785167851678516E-2</v>
      </c>
    </row>
    <row r="32" spans="1:4" x14ac:dyDescent="0.35">
      <c r="A32" s="6" t="s">
        <v>40</v>
      </c>
      <c r="B32" s="12">
        <v>3.83</v>
      </c>
      <c r="C32" s="12">
        <v>1.89</v>
      </c>
      <c r="D32" s="84">
        <f t="shared" si="0"/>
        <v>0.49347258485639683</v>
      </c>
    </row>
    <row r="33" spans="1:5" x14ac:dyDescent="0.35">
      <c r="A33" s="71" t="s">
        <v>15</v>
      </c>
      <c r="B33" s="95">
        <f>SUM(B34:B38)</f>
        <v>34604.449999999997</v>
      </c>
      <c r="C33" s="95">
        <f>SUM(C34:C38)</f>
        <v>8200.0600000000013</v>
      </c>
      <c r="D33" s="88">
        <f t="shared" si="0"/>
        <v>0.23696547698345161</v>
      </c>
      <c r="E33" s="190"/>
    </row>
    <row r="34" spans="1:5" x14ac:dyDescent="0.35">
      <c r="A34" s="6" t="s">
        <v>41</v>
      </c>
      <c r="B34" s="12">
        <v>8331.9300000000039</v>
      </c>
      <c r="C34" s="12">
        <v>2268.6800000000003</v>
      </c>
      <c r="D34" s="84">
        <f t="shared" si="0"/>
        <v>0.27228745320712</v>
      </c>
      <c r="E34" s="141"/>
    </row>
    <row r="35" spans="1:5" x14ac:dyDescent="0.35">
      <c r="A35" s="6" t="s">
        <v>42</v>
      </c>
      <c r="B35" s="12">
        <v>10496.229999999996</v>
      </c>
      <c r="C35" s="12">
        <v>2392.9699999999993</v>
      </c>
      <c r="D35" s="84">
        <f t="shared" si="0"/>
        <v>0.22798376178875657</v>
      </c>
      <c r="E35" s="190"/>
    </row>
    <row r="36" spans="1:5" x14ac:dyDescent="0.35">
      <c r="A36" s="6" t="s">
        <v>43</v>
      </c>
      <c r="B36" s="12">
        <v>5933.7999999999975</v>
      </c>
      <c r="C36" s="12">
        <v>1393.4600000000014</v>
      </c>
      <c r="D36" s="84">
        <f t="shared" si="0"/>
        <v>0.23483433887222388</v>
      </c>
    </row>
    <row r="37" spans="1:5" x14ac:dyDescent="0.35">
      <c r="A37" s="6" t="s">
        <v>44</v>
      </c>
      <c r="B37" s="12">
        <v>291.65999999999997</v>
      </c>
      <c r="C37" s="12">
        <v>47.280000000000008</v>
      </c>
      <c r="D37" s="84">
        <f t="shared" si="0"/>
        <v>0.16210656243571286</v>
      </c>
    </row>
    <row r="38" spans="1:5" x14ac:dyDescent="0.35">
      <c r="A38" s="6" t="s">
        <v>45</v>
      </c>
      <c r="B38" s="12">
        <v>9550.8300000000017</v>
      </c>
      <c r="C38" s="12">
        <v>2097.67</v>
      </c>
      <c r="D38" s="84">
        <f t="shared" si="0"/>
        <v>0.21963222044576228</v>
      </c>
    </row>
    <row r="39" spans="1:5" x14ac:dyDescent="0.35">
      <c r="A39" s="71" t="s">
        <v>16</v>
      </c>
      <c r="B39" s="95">
        <f>SUM(B40:B48)</f>
        <v>1955.57</v>
      </c>
      <c r="C39" s="95">
        <f>SUM(C40:C48)</f>
        <v>434.19999999999993</v>
      </c>
      <c r="D39" s="88">
        <f t="shared" si="0"/>
        <v>0.22203245089666948</v>
      </c>
    </row>
    <row r="40" spans="1:5" x14ac:dyDescent="0.35">
      <c r="A40" s="6" t="s">
        <v>46</v>
      </c>
      <c r="B40" s="12">
        <v>98.45999999999998</v>
      </c>
      <c r="C40" s="12">
        <v>8.879999999999999</v>
      </c>
      <c r="D40" s="84">
        <f t="shared" si="0"/>
        <v>9.0188909201706288E-2</v>
      </c>
    </row>
    <row r="41" spans="1:5" x14ac:dyDescent="0.35">
      <c r="A41" s="6" t="s">
        <v>47</v>
      </c>
      <c r="B41" s="12">
        <v>72.79000000000002</v>
      </c>
      <c r="C41" s="12">
        <v>14.93</v>
      </c>
      <c r="D41" s="84">
        <f t="shared" si="0"/>
        <v>0.20511059211430135</v>
      </c>
    </row>
    <row r="42" spans="1:5" x14ac:dyDescent="0.35">
      <c r="A42" s="6" t="s">
        <v>48</v>
      </c>
      <c r="B42" s="12">
        <v>13.969999999999999</v>
      </c>
      <c r="C42" s="12">
        <v>3.87</v>
      </c>
      <c r="D42" s="84">
        <f t="shared" si="0"/>
        <v>0.27702219040801723</v>
      </c>
    </row>
    <row r="43" spans="1:5" x14ac:dyDescent="0.35">
      <c r="A43" s="6" t="s">
        <v>49</v>
      </c>
      <c r="B43" s="12">
        <v>62.400000000000006</v>
      </c>
      <c r="C43" s="12">
        <v>1.81</v>
      </c>
      <c r="D43" s="84">
        <f t="shared" si="0"/>
        <v>2.9006410256410254E-2</v>
      </c>
    </row>
    <row r="44" spans="1:5" x14ac:dyDescent="0.35">
      <c r="A44" s="6" t="s">
        <v>50</v>
      </c>
      <c r="B44" s="12">
        <v>111.00999999999998</v>
      </c>
      <c r="C44" s="12"/>
      <c r="D44" s="84">
        <f t="shared" si="0"/>
        <v>0</v>
      </c>
    </row>
    <row r="45" spans="1:5" x14ac:dyDescent="0.35">
      <c r="A45" s="6" t="s">
        <v>51</v>
      </c>
      <c r="B45" s="12">
        <v>188.23999999999995</v>
      </c>
      <c r="C45" s="12">
        <v>19.350000000000001</v>
      </c>
      <c r="D45" s="84">
        <f t="shared" si="0"/>
        <v>0.10279430514237148</v>
      </c>
    </row>
    <row r="46" spans="1:5" x14ac:dyDescent="0.35">
      <c r="A46" s="6" t="s">
        <v>52</v>
      </c>
      <c r="B46" s="12">
        <v>33.03</v>
      </c>
      <c r="C46" s="12"/>
      <c r="D46" s="84">
        <f t="shared" si="0"/>
        <v>0</v>
      </c>
    </row>
    <row r="47" spans="1:5" x14ac:dyDescent="0.35">
      <c r="A47" s="6" t="s">
        <v>53</v>
      </c>
      <c r="B47" s="12">
        <v>780.00999999999988</v>
      </c>
      <c r="C47" s="12">
        <v>104.03999999999999</v>
      </c>
      <c r="D47" s="84">
        <f t="shared" si="0"/>
        <v>0.13338290534736735</v>
      </c>
    </row>
    <row r="48" spans="1:5" x14ac:dyDescent="0.35">
      <c r="A48" s="6" t="s">
        <v>54</v>
      </c>
      <c r="B48" s="12">
        <v>595.66000000000008</v>
      </c>
      <c r="C48" s="12">
        <v>281.31999999999994</v>
      </c>
      <c r="D48" s="84">
        <f t="shared" si="0"/>
        <v>0.47228284591881259</v>
      </c>
    </row>
    <row r="49" spans="1:4" x14ac:dyDescent="0.35">
      <c r="A49" s="71" t="s">
        <v>17</v>
      </c>
      <c r="B49" s="95">
        <f>SUM(B50:B51)</f>
        <v>1435.12</v>
      </c>
      <c r="C49" s="95">
        <f>SUM(C50:C51)</f>
        <v>208.3</v>
      </c>
      <c r="D49" s="88">
        <f t="shared" si="0"/>
        <v>0.1451446568928034</v>
      </c>
    </row>
    <row r="50" spans="1:4" x14ac:dyDescent="0.35">
      <c r="A50" s="6" t="s">
        <v>55</v>
      </c>
      <c r="B50" s="12">
        <v>1266.2199999999998</v>
      </c>
      <c r="C50" s="12">
        <v>190.67000000000002</v>
      </c>
      <c r="D50" s="84">
        <f t="shared" si="0"/>
        <v>0.1505820473535405</v>
      </c>
    </row>
    <row r="51" spans="1:4" x14ac:dyDescent="0.35">
      <c r="A51" s="6" t="s">
        <v>56</v>
      </c>
      <c r="B51" s="12">
        <v>168.89999999999998</v>
      </c>
      <c r="C51" s="12">
        <v>17.63</v>
      </c>
      <c r="D51" s="84">
        <f t="shared" si="0"/>
        <v>0.10438129070455891</v>
      </c>
    </row>
    <row r="52" spans="1:4" x14ac:dyDescent="0.35">
      <c r="A52" s="71" t="s">
        <v>64</v>
      </c>
      <c r="B52" s="95">
        <f>SUM(B53:B54)</f>
        <v>2.69</v>
      </c>
      <c r="C52" s="95"/>
      <c r="D52" s="88">
        <f t="shared" si="0"/>
        <v>0</v>
      </c>
    </row>
    <row r="53" spans="1:4" x14ac:dyDescent="0.35">
      <c r="A53" s="6" t="s">
        <v>65</v>
      </c>
      <c r="B53" s="12">
        <v>0.3</v>
      </c>
      <c r="C53" s="12"/>
      <c r="D53" s="84">
        <f t="shared" si="0"/>
        <v>0</v>
      </c>
    </row>
    <row r="54" spans="1:4" x14ac:dyDescent="0.35">
      <c r="A54" s="7" t="s">
        <v>66</v>
      </c>
      <c r="B54" s="12">
        <v>2.39</v>
      </c>
      <c r="C54" s="12"/>
      <c r="D54" s="84">
        <f t="shared" si="0"/>
        <v>0</v>
      </c>
    </row>
    <row r="55" spans="1:4" x14ac:dyDescent="0.35">
      <c r="A55" s="71" t="s">
        <v>18</v>
      </c>
      <c r="B55" s="95">
        <v>0.15</v>
      </c>
      <c r="C55" s="95"/>
      <c r="D55" s="88">
        <f t="shared" si="0"/>
        <v>0</v>
      </c>
    </row>
    <row r="56" spans="1:4" x14ac:dyDescent="0.35">
      <c r="A56" s="6" t="s">
        <v>18</v>
      </c>
      <c r="B56" s="12">
        <v>0.15</v>
      </c>
      <c r="C56" s="12"/>
      <c r="D56" s="84">
        <f t="shared" si="0"/>
        <v>0</v>
      </c>
    </row>
    <row r="57" spans="1:4" x14ac:dyDescent="0.35">
      <c r="A57" s="71" t="s">
        <v>20</v>
      </c>
      <c r="B57" s="95">
        <v>59.73</v>
      </c>
      <c r="C57" s="95">
        <v>5.26</v>
      </c>
      <c r="D57" s="88">
        <f t="shared" si="0"/>
        <v>8.8062949941402985E-2</v>
      </c>
    </row>
    <row r="58" spans="1:4" x14ac:dyDescent="0.35">
      <c r="A58" s="6" t="s">
        <v>20</v>
      </c>
      <c r="B58" s="12">
        <v>59.73</v>
      </c>
      <c r="C58" s="12">
        <v>5.26</v>
      </c>
      <c r="D58" s="84">
        <f t="shared" si="0"/>
        <v>8.8062949941402985E-2</v>
      </c>
    </row>
    <row r="59" spans="1:4" x14ac:dyDescent="0.35">
      <c r="A59" s="71" t="s">
        <v>21</v>
      </c>
      <c r="B59" s="95">
        <v>342.89</v>
      </c>
      <c r="C59" s="99">
        <v>50.89</v>
      </c>
      <c r="D59" s="88">
        <f t="shared" si="0"/>
        <v>0.14841494356790808</v>
      </c>
    </row>
    <row r="60" spans="1:4" x14ac:dyDescent="0.35">
      <c r="A60" s="6" t="s">
        <v>21</v>
      </c>
      <c r="B60" s="12">
        <v>342.89</v>
      </c>
      <c r="C60" s="12">
        <v>50.890000000000008</v>
      </c>
      <c r="D60" s="84">
        <f t="shared" si="0"/>
        <v>0.1484149435679081</v>
      </c>
    </row>
    <row r="61" spans="1:4" x14ac:dyDescent="0.35">
      <c r="A61" s="71" t="s">
        <v>22</v>
      </c>
      <c r="B61" s="95">
        <v>547.88000000000011</v>
      </c>
      <c r="C61" s="99">
        <v>302.48</v>
      </c>
      <c r="D61" s="88">
        <f t="shared" si="0"/>
        <v>0.55209169891217047</v>
      </c>
    </row>
    <row r="62" spans="1:4" x14ac:dyDescent="0.35">
      <c r="A62" s="6" t="s">
        <v>22</v>
      </c>
      <c r="B62" s="12">
        <v>547.88000000000011</v>
      </c>
      <c r="C62" s="12">
        <v>302.4799999999999</v>
      </c>
      <c r="D62" s="84">
        <f t="shared" si="0"/>
        <v>0.55209169891217025</v>
      </c>
    </row>
    <row r="63" spans="1:4" x14ac:dyDescent="0.35">
      <c r="A63" s="71" t="s">
        <v>23</v>
      </c>
      <c r="B63" s="95">
        <v>15.11</v>
      </c>
      <c r="C63" s="99">
        <v>1.48</v>
      </c>
      <c r="D63" s="88">
        <f t="shared" si="0"/>
        <v>9.7948378557246862E-2</v>
      </c>
    </row>
    <row r="64" spans="1:4" x14ac:dyDescent="0.35">
      <c r="A64" s="6" t="s">
        <v>23</v>
      </c>
      <c r="B64" s="12">
        <v>15.11</v>
      </c>
      <c r="C64" s="12">
        <v>1.48</v>
      </c>
      <c r="D64" s="84">
        <f t="shared" si="0"/>
        <v>9.7948378557246862E-2</v>
      </c>
    </row>
    <row r="65" spans="1:9" x14ac:dyDescent="0.35">
      <c r="A65" s="75" t="s">
        <v>25</v>
      </c>
      <c r="B65" s="96">
        <f>SUM(B11,B20,B24,B28,B33,B39,B49,B52,B55,B57,B59,B61,B63)</f>
        <v>44022.01</v>
      </c>
      <c r="C65" s="96">
        <v>10444.08</v>
      </c>
      <c r="D65" s="94">
        <f t="shared" si="0"/>
        <v>0.23724677723711388</v>
      </c>
    </row>
    <row r="67" spans="1:9" x14ac:dyDescent="0.35">
      <c r="B67" s="141"/>
    </row>
    <row r="69" spans="1:9" ht="15" x14ac:dyDescent="0.35">
      <c r="A69" s="284" t="s">
        <v>67</v>
      </c>
    </row>
    <row r="70" spans="1:9" ht="18.5" x14ac:dyDescent="0.35">
      <c r="A70" s="287" t="s">
        <v>213</v>
      </c>
      <c r="B70" s="220"/>
      <c r="C70" s="221"/>
    </row>
    <row r="71" spans="1:9" x14ac:dyDescent="0.35">
      <c r="F71" s="375" t="s">
        <v>225</v>
      </c>
    </row>
    <row r="72" spans="1:9" ht="43.5" x14ac:dyDescent="0.35">
      <c r="A72" s="373" t="s">
        <v>0</v>
      </c>
      <c r="B72" s="70" t="s">
        <v>81</v>
      </c>
      <c r="C72" s="70" t="s">
        <v>82</v>
      </c>
      <c r="D72" s="70" t="s">
        <v>83</v>
      </c>
      <c r="F72" s="342"/>
      <c r="G72" s="373" t="s">
        <v>251</v>
      </c>
      <c r="H72" s="373" t="s">
        <v>252</v>
      </c>
      <c r="I72" s="480" t="s">
        <v>301</v>
      </c>
    </row>
    <row r="73" spans="1:9" x14ac:dyDescent="0.35">
      <c r="A73" s="71" t="s">
        <v>5</v>
      </c>
      <c r="B73" s="77">
        <f>SUM(B74:B81)</f>
        <v>1385.08</v>
      </c>
      <c r="C73" s="77">
        <f>SUM(C74:C81)</f>
        <v>285.38</v>
      </c>
      <c r="D73" s="88">
        <f>C73/B73</f>
        <v>0.2060386403673434</v>
      </c>
      <c r="E73" s="190"/>
      <c r="F73" s="374" t="s">
        <v>15</v>
      </c>
      <c r="G73" s="323">
        <v>2482.4600000000005</v>
      </c>
      <c r="H73" s="457">
        <v>11399.790000000003</v>
      </c>
      <c r="I73" s="481">
        <v>0.21776366055865939</v>
      </c>
    </row>
    <row r="74" spans="1:9" x14ac:dyDescent="0.35">
      <c r="A74" s="15" t="s">
        <v>6</v>
      </c>
      <c r="B74" s="20">
        <v>8.6199999999999992</v>
      </c>
      <c r="C74" s="20">
        <v>0.5</v>
      </c>
      <c r="D74" s="84">
        <f>C74/B74</f>
        <v>5.8004640371229703E-2</v>
      </c>
      <c r="F74" s="374" t="s">
        <v>5</v>
      </c>
      <c r="G74" s="323">
        <f>C73</f>
        <v>285.38</v>
      </c>
      <c r="H74" s="457">
        <f>B73</f>
        <v>1385.08</v>
      </c>
      <c r="I74" s="481">
        <f>G74/H74</f>
        <v>0.2060386403673434</v>
      </c>
    </row>
    <row r="75" spans="1:9" x14ac:dyDescent="0.35">
      <c r="A75" s="16" t="s">
        <v>7</v>
      </c>
      <c r="B75" s="20">
        <v>10</v>
      </c>
      <c r="C75" s="20">
        <v>8.33</v>
      </c>
      <c r="D75" s="84">
        <f t="shared" ref="D75:D124" si="2">C75/B75</f>
        <v>0.83299999999999996</v>
      </c>
      <c r="F75" s="374" t="s">
        <v>16</v>
      </c>
      <c r="G75" s="323">
        <f>C101</f>
        <v>210.01000000000002</v>
      </c>
      <c r="H75" s="457">
        <f>B101</f>
        <v>589.13</v>
      </c>
      <c r="I75" s="481">
        <f t="shared" ref="I75:I76" si="3">G75/H75</f>
        <v>0.35647480182642205</v>
      </c>
    </row>
    <row r="76" spans="1:9" x14ac:dyDescent="0.35">
      <c r="A76" s="16" t="s">
        <v>8</v>
      </c>
      <c r="B76" s="20">
        <v>411.29</v>
      </c>
      <c r="C76" s="20">
        <v>70.720000000000013</v>
      </c>
      <c r="D76" s="84">
        <f t="shared" si="2"/>
        <v>0.17194680152690317</v>
      </c>
      <c r="F76" s="374" t="s">
        <v>22</v>
      </c>
      <c r="G76" s="323">
        <f>C120</f>
        <v>317.82</v>
      </c>
      <c r="H76" s="457">
        <f>B120</f>
        <v>403.24</v>
      </c>
      <c r="I76" s="481">
        <f t="shared" si="3"/>
        <v>0.78816585656184901</v>
      </c>
    </row>
    <row r="77" spans="1:9" x14ac:dyDescent="0.35">
      <c r="A77" s="16" t="s">
        <v>26</v>
      </c>
      <c r="B77" s="20">
        <v>510.95999999999987</v>
      </c>
      <c r="C77" s="20">
        <v>154.05000000000001</v>
      </c>
      <c r="D77" s="84">
        <f t="shared" si="2"/>
        <v>0.30149131047440125</v>
      </c>
      <c r="I77" s="344"/>
    </row>
    <row r="78" spans="1:9" x14ac:dyDescent="0.35">
      <c r="A78" s="16" t="s">
        <v>27</v>
      </c>
      <c r="B78" s="20">
        <v>11.219999999999999</v>
      </c>
      <c r="C78" s="20">
        <v>0</v>
      </c>
      <c r="D78" s="84">
        <f t="shared" si="2"/>
        <v>0</v>
      </c>
    </row>
    <row r="79" spans="1:9" x14ac:dyDescent="0.35">
      <c r="A79" s="16" t="s">
        <v>28</v>
      </c>
      <c r="B79" s="20">
        <v>226.48</v>
      </c>
      <c r="C79" s="20">
        <v>12.690000000000001</v>
      </c>
      <c r="D79" s="84">
        <f t="shared" si="2"/>
        <v>5.6031437654539037E-2</v>
      </c>
    </row>
    <row r="80" spans="1:9" x14ac:dyDescent="0.35">
      <c r="A80" s="16" t="s">
        <v>29</v>
      </c>
      <c r="B80" s="20">
        <v>75.429999999999993</v>
      </c>
      <c r="C80" s="20">
        <v>0</v>
      </c>
      <c r="D80" s="84">
        <f t="shared" si="2"/>
        <v>0</v>
      </c>
    </row>
    <row r="81" spans="1:5" x14ac:dyDescent="0.35">
      <c r="A81" s="16" t="s">
        <v>30</v>
      </c>
      <c r="B81" s="20">
        <v>131.07999999999998</v>
      </c>
      <c r="C81" s="20">
        <v>39.090000000000003</v>
      </c>
      <c r="D81" s="84">
        <f t="shared" si="2"/>
        <v>0.29821483063777854</v>
      </c>
    </row>
    <row r="82" spans="1:5" x14ac:dyDescent="0.35">
      <c r="A82" s="71" t="s">
        <v>12</v>
      </c>
      <c r="B82" s="78">
        <f>SUM(B83:B85)</f>
        <v>488.42000000000007</v>
      </c>
      <c r="C82" s="78">
        <f>SUM(C83:C85)</f>
        <v>38.94</v>
      </c>
      <c r="D82" s="88">
        <f t="shared" si="2"/>
        <v>7.9726464927726115E-2</v>
      </c>
      <c r="E82" s="190"/>
    </row>
    <row r="83" spans="1:5" x14ac:dyDescent="0.35">
      <c r="A83" s="6" t="s">
        <v>31</v>
      </c>
      <c r="B83" s="13">
        <v>123.08000000000004</v>
      </c>
      <c r="C83" s="13">
        <v>0</v>
      </c>
      <c r="D83" s="84">
        <f t="shared" si="2"/>
        <v>0</v>
      </c>
    </row>
    <row r="84" spans="1:5" x14ac:dyDescent="0.35">
      <c r="A84" s="6" t="s">
        <v>32</v>
      </c>
      <c r="B84" s="13">
        <v>53.550000000000011</v>
      </c>
      <c r="C84" s="13">
        <v>4.4800000000000004</v>
      </c>
      <c r="D84" s="84">
        <f t="shared" si="2"/>
        <v>8.3660130718954243E-2</v>
      </c>
    </row>
    <row r="85" spans="1:5" x14ac:dyDescent="0.35">
      <c r="A85" s="6" t="s">
        <v>33</v>
      </c>
      <c r="B85" s="13">
        <v>311.79000000000002</v>
      </c>
      <c r="C85" s="13">
        <v>34.46</v>
      </c>
      <c r="D85" s="84">
        <f t="shared" si="2"/>
        <v>0.11052310850251772</v>
      </c>
    </row>
    <row r="86" spans="1:5" x14ac:dyDescent="0.35">
      <c r="A86" s="71" t="s">
        <v>13</v>
      </c>
      <c r="B86" s="79">
        <f>SUM(B87:B89)</f>
        <v>43.95</v>
      </c>
      <c r="C86" s="79">
        <f>SUM(C87:C89)</f>
        <v>7.41</v>
      </c>
      <c r="D86" s="88">
        <f t="shared" si="2"/>
        <v>0.16860068259385666</v>
      </c>
      <c r="E86" s="190"/>
    </row>
    <row r="87" spans="1:5" x14ac:dyDescent="0.35">
      <c r="A87" s="6" t="s">
        <v>34</v>
      </c>
      <c r="B87" s="13">
        <v>16.14</v>
      </c>
      <c r="C87" s="13">
        <v>7.41</v>
      </c>
      <c r="D87" s="84">
        <f t="shared" si="2"/>
        <v>0.45910780669144979</v>
      </c>
    </row>
    <row r="88" spans="1:5" x14ac:dyDescent="0.35">
      <c r="A88" s="6" t="s">
        <v>61</v>
      </c>
      <c r="B88" s="13">
        <v>0.98000000000000009</v>
      </c>
      <c r="C88" s="13">
        <v>0</v>
      </c>
      <c r="D88" s="84">
        <f t="shared" si="2"/>
        <v>0</v>
      </c>
    </row>
    <row r="89" spans="1:5" x14ac:dyDescent="0.35">
      <c r="A89" s="6" t="s">
        <v>36</v>
      </c>
      <c r="B89" s="13">
        <v>26.83</v>
      </c>
      <c r="C89" s="13">
        <v>0</v>
      </c>
      <c r="D89" s="84">
        <f t="shared" si="2"/>
        <v>0</v>
      </c>
    </row>
    <row r="90" spans="1:5" x14ac:dyDescent="0.35">
      <c r="A90" s="71" t="s">
        <v>14</v>
      </c>
      <c r="B90" s="79">
        <f>SUM(B91:B94)</f>
        <v>457.09000000000003</v>
      </c>
      <c r="C90" s="79">
        <f>SUM(C91:C94)</f>
        <v>31.199999999999996</v>
      </c>
      <c r="D90" s="88">
        <f t="shared" si="2"/>
        <v>6.8257892318799349E-2</v>
      </c>
      <c r="E90" s="190"/>
    </row>
    <row r="91" spans="1:5" x14ac:dyDescent="0.35">
      <c r="A91" s="6" t="s">
        <v>37</v>
      </c>
      <c r="B91" s="13">
        <v>2.64</v>
      </c>
      <c r="C91" s="13">
        <v>0</v>
      </c>
      <c r="D91" s="84">
        <f t="shared" si="2"/>
        <v>0</v>
      </c>
    </row>
    <row r="92" spans="1:5" x14ac:dyDescent="0.35">
      <c r="A92" s="6" t="s">
        <v>38</v>
      </c>
      <c r="B92" s="13">
        <v>1.07</v>
      </c>
      <c r="C92" s="13">
        <v>0</v>
      </c>
      <c r="D92" s="84">
        <f t="shared" si="2"/>
        <v>0</v>
      </c>
    </row>
    <row r="93" spans="1:5" x14ac:dyDescent="0.35">
      <c r="A93" s="6" t="s">
        <v>39</v>
      </c>
      <c r="B93" s="13">
        <v>429.41</v>
      </c>
      <c r="C93" s="13">
        <v>16.079999999999998</v>
      </c>
      <c r="D93" s="84">
        <f t="shared" si="2"/>
        <v>3.744672923313383E-2</v>
      </c>
    </row>
    <row r="94" spans="1:5" x14ac:dyDescent="0.35">
      <c r="A94" s="6" t="s">
        <v>40</v>
      </c>
      <c r="B94" s="13">
        <v>23.97</v>
      </c>
      <c r="C94" s="13">
        <v>15.12</v>
      </c>
      <c r="D94" s="84">
        <f t="shared" si="2"/>
        <v>0.63078848560700873</v>
      </c>
    </row>
    <row r="95" spans="1:5" x14ac:dyDescent="0.35">
      <c r="A95" s="71" t="s">
        <v>15</v>
      </c>
      <c r="B95" s="79">
        <f>SUM(B96:B100)</f>
        <v>11399.790000000003</v>
      </c>
      <c r="C95" s="79">
        <f>SUM(C96:C100)</f>
        <v>2482.4600000000005</v>
      </c>
      <c r="D95" s="88">
        <f t="shared" si="2"/>
        <v>0.21776366055865939</v>
      </c>
      <c r="E95" s="190"/>
    </row>
    <row r="96" spans="1:5" x14ac:dyDescent="0.35">
      <c r="A96" s="6" t="s">
        <v>41</v>
      </c>
      <c r="B96" s="13">
        <v>2708.44</v>
      </c>
      <c r="C96" s="13">
        <v>542.15</v>
      </c>
      <c r="D96" s="84">
        <f t="shared" si="2"/>
        <v>0.20017057789723972</v>
      </c>
    </row>
    <row r="97" spans="1:5" x14ac:dyDescent="0.35">
      <c r="A97" s="6" t="s">
        <v>42</v>
      </c>
      <c r="B97" s="13">
        <v>4242.6600000000017</v>
      </c>
      <c r="C97" s="13">
        <v>845.67000000000019</v>
      </c>
      <c r="D97" s="84">
        <f t="shared" si="2"/>
        <v>0.19932542320148205</v>
      </c>
    </row>
    <row r="98" spans="1:5" x14ac:dyDescent="0.35">
      <c r="A98" s="6" t="s">
        <v>43</v>
      </c>
      <c r="B98" s="13">
        <v>994.76</v>
      </c>
      <c r="C98" s="13">
        <v>264.90000000000003</v>
      </c>
      <c r="D98" s="84">
        <f t="shared" si="2"/>
        <v>0.26629538783224099</v>
      </c>
    </row>
    <row r="99" spans="1:5" x14ac:dyDescent="0.35">
      <c r="A99" s="6" t="s">
        <v>44</v>
      </c>
      <c r="B99" s="13">
        <v>147.25</v>
      </c>
      <c r="C99" s="13">
        <v>26.32</v>
      </c>
      <c r="D99" s="84">
        <f t="shared" si="2"/>
        <v>0.17874363327674023</v>
      </c>
    </row>
    <row r="100" spans="1:5" x14ac:dyDescent="0.35">
      <c r="A100" s="6" t="s">
        <v>45</v>
      </c>
      <c r="B100" s="13">
        <v>3306.6800000000007</v>
      </c>
      <c r="C100" s="13">
        <v>803.42000000000041</v>
      </c>
      <c r="D100" s="84">
        <f t="shared" si="2"/>
        <v>0.24296877835170028</v>
      </c>
    </row>
    <row r="101" spans="1:5" x14ac:dyDescent="0.35">
      <c r="A101" s="71" t="s">
        <v>16</v>
      </c>
      <c r="B101" s="79">
        <f>SUM(B102:B110)</f>
        <v>589.13</v>
      </c>
      <c r="C101" s="79">
        <f>SUM(C102:C110)</f>
        <v>210.01000000000002</v>
      </c>
      <c r="D101" s="88">
        <f t="shared" si="2"/>
        <v>0.35647480182642205</v>
      </c>
      <c r="E101" s="190"/>
    </row>
    <row r="102" spans="1:5" x14ac:dyDescent="0.35">
      <c r="A102" s="6" t="s">
        <v>46</v>
      </c>
      <c r="B102" s="13">
        <v>13.350000000000001</v>
      </c>
      <c r="C102" s="13">
        <v>1.79</v>
      </c>
      <c r="D102" s="84">
        <f t="shared" si="2"/>
        <v>0.1340823970037453</v>
      </c>
    </row>
    <row r="103" spans="1:5" x14ac:dyDescent="0.35">
      <c r="A103" s="6" t="s">
        <v>47</v>
      </c>
      <c r="B103" s="13">
        <v>11.14</v>
      </c>
      <c r="C103" s="13">
        <v>2.2000000000000002</v>
      </c>
      <c r="D103" s="84">
        <f t="shared" si="2"/>
        <v>0.19748653500897667</v>
      </c>
    </row>
    <row r="104" spans="1:5" x14ac:dyDescent="0.35">
      <c r="A104" s="6" t="s">
        <v>48</v>
      </c>
      <c r="B104" s="13">
        <v>16.79</v>
      </c>
      <c r="C104" s="13">
        <v>0</v>
      </c>
      <c r="D104" s="84">
        <f t="shared" si="2"/>
        <v>0</v>
      </c>
    </row>
    <row r="105" spans="1:5" x14ac:dyDescent="0.35">
      <c r="A105" s="6" t="s">
        <v>49</v>
      </c>
      <c r="B105" s="13">
        <v>7.5600000000000005</v>
      </c>
      <c r="C105" s="13">
        <v>0.49</v>
      </c>
      <c r="D105" s="84">
        <f t="shared" si="2"/>
        <v>6.4814814814814811E-2</v>
      </c>
    </row>
    <row r="106" spans="1:5" x14ac:dyDescent="0.35">
      <c r="A106" s="6" t="s">
        <v>50</v>
      </c>
      <c r="B106" s="13">
        <v>58.849999999999994</v>
      </c>
      <c r="C106" s="13">
        <v>0</v>
      </c>
      <c r="D106" s="84">
        <f t="shared" si="2"/>
        <v>0</v>
      </c>
    </row>
    <row r="107" spans="1:5" x14ac:dyDescent="0.35">
      <c r="A107" s="6" t="s">
        <v>51</v>
      </c>
      <c r="B107" s="13">
        <v>15.56</v>
      </c>
      <c r="C107" s="13">
        <v>0</v>
      </c>
      <c r="D107" s="84">
        <f t="shared" si="2"/>
        <v>0</v>
      </c>
    </row>
    <row r="108" spans="1:5" x14ac:dyDescent="0.35">
      <c r="A108" s="6" t="s">
        <v>52</v>
      </c>
      <c r="B108" s="13">
        <v>2.8600000000000003</v>
      </c>
      <c r="C108" s="13">
        <v>0</v>
      </c>
      <c r="D108" s="84">
        <f t="shared" si="2"/>
        <v>0</v>
      </c>
    </row>
    <row r="109" spans="1:5" x14ac:dyDescent="0.35">
      <c r="A109" s="6" t="s">
        <v>53</v>
      </c>
      <c r="B109" s="13">
        <v>257.62</v>
      </c>
      <c r="C109" s="13">
        <v>105.41</v>
      </c>
      <c r="D109" s="84">
        <f t="shared" si="2"/>
        <v>0.40916854281499881</v>
      </c>
    </row>
    <row r="110" spans="1:5" x14ac:dyDescent="0.35">
      <c r="A110" s="6" t="s">
        <v>54</v>
      </c>
      <c r="B110" s="13">
        <v>205.4</v>
      </c>
      <c r="C110" s="13">
        <v>100.12000000000002</v>
      </c>
      <c r="D110" s="84">
        <f t="shared" si="2"/>
        <v>0.48743914313534575</v>
      </c>
    </row>
    <row r="111" spans="1:5" x14ac:dyDescent="0.35">
      <c r="A111" s="71" t="s">
        <v>18</v>
      </c>
      <c r="B111" s="79">
        <v>0</v>
      </c>
      <c r="C111" s="79">
        <v>0</v>
      </c>
      <c r="D111" s="98"/>
      <c r="E111" s="190"/>
    </row>
    <row r="112" spans="1:5" x14ac:dyDescent="0.35">
      <c r="A112" s="6" t="s">
        <v>18</v>
      </c>
      <c r="B112" s="13">
        <v>0</v>
      </c>
      <c r="C112" s="100">
        <v>0</v>
      </c>
      <c r="D112" s="84"/>
    </row>
    <row r="113" spans="1:5" x14ac:dyDescent="0.35">
      <c r="A113" s="71" t="s">
        <v>17</v>
      </c>
      <c r="B113" s="79">
        <f>SUM(B114:B115)</f>
        <v>565.08000000000004</v>
      </c>
      <c r="C113" s="79">
        <f>SUM(C114:C115)</f>
        <v>6.79</v>
      </c>
      <c r="D113" s="88">
        <f t="shared" si="2"/>
        <v>1.2015997734834005E-2</v>
      </c>
      <c r="E113" s="190"/>
    </row>
    <row r="114" spans="1:5" x14ac:dyDescent="0.35">
      <c r="A114" s="6" t="s">
        <v>55</v>
      </c>
      <c r="B114" s="13">
        <v>247.57999999999998</v>
      </c>
      <c r="C114" s="13">
        <v>4.66</v>
      </c>
      <c r="D114" s="84">
        <f t="shared" si="2"/>
        <v>1.8822198885208825E-2</v>
      </c>
    </row>
    <row r="115" spans="1:5" x14ac:dyDescent="0.35">
      <c r="A115" s="6" t="s">
        <v>56</v>
      </c>
      <c r="B115" s="13">
        <v>317.50000000000006</v>
      </c>
      <c r="C115" s="13">
        <v>2.13</v>
      </c>
      <c r="D115" s="84">
        <f t="shared" si="2"/>
        <v>6.7086614173228329E-3</v>
      </c>
    </row>
    <row r="116" spans="1:5" x14ac:dyDescent="0.35">
      <c r="A116" s="71" t="s">
        <v>20</v>
      </c>
      <c r="B116" s="79">
        <v>19.010000000000005</v>
      </c>
      <c r="C116" s="79">
        <v>0</v>
      </c>
      <c r="D116" s="88">
        <f t="shared" si="2"/>
        <v>0</v>
      </c>
      <c r="E116" s="190"/>
    </row>
    <row r="117" spans="1:5" x14ac:dyDescent="0.35">
      <c r="A117" s="6" t="s">
        <v>20</v>
      </c>
      <c r="B117" s="13">
        <v>19.010000000000005</v>
      </c>
      <c r="C117" s="13">
        <v>0</v>
      </c>
      <c r="D117" s="84">
        <f t="shared" si="2"/>
        <v>0</v>
      </c>
    </row>
    <row r="118" spans="1:5" x14ac:dyDescent="0.35">
      <c r="A118" s="71" t="s">
        <v>21</v>
      </c>
      <c r="B118" s="79">
        <v>225.36</v>
      </c>
      <c r="C118" s="79">
        <v>22.82</v>
      </c>
      <c r="D118" s="88">
        <f t="shared" si="2"/>
        <v>0.10126020589279375</v>
      </c>
      <c r="E118" s="190"/>
    </row>
    <row r="119" spans="1:5" x14ac:dyDescent="0.35">
      <c r="A119" s="6" t="s">
        <v>21</v>
      </c>
      <c r="B119" s="13">
        <v>225.36</v>
      </c>
      <c r="C119" s="13">
        <v>22.82</v>
      </c>
      <c r="D119" s="84">
        <f t="shared" si="2"/>
        <v>0.10126020589279375</v>
      </c>
    </row>
    <row r="120" spans="1:5" x14ac:dyDescent="0.35">
      <c r="A120" s="71" t="s">
        <v>22</v>
      </c>
      <c r="B120" s="79">
        <v>403.24</v>
      </c>
      <c r="C120" s="79">
        <v>317.82</v>
      </c>
      <c r="D120" s="88">
        <f t="shared" si="2"/>
        <v>0.78816585656184901</v>
      </c>
      <c r="E120" s="190"/>
    </row>
    <row r="121" spans="1:5" x14ac:dyDescent="0.35">
      <c r="A121" s="6" t="s">
        <v>22</v>
      </c>
      <c r="B121" s="13">
        <v>403.24</v>
      </c>
      <c r="C121" s="13">
        <v>317.82</v>
      </c>
      <c r="D121" s="84">
        <f>C121/B121</f>
        <v>0.78816585656184901</v>
      </c>
    </row>
    <row r="122" spans="1:5" x14ac:dyDescent="0.35">
      <c r="A122" s="71" t="s">
        <v>23</v>
      </c>
      <c r="B122" s="79">
        <v>60.02</v>
      </c>
      <c r="C122" s="101">
        <v>0</v>
      </c>
      <c r="D122" s="88">
        <f t="shared" si="2"/>
        <v>0</v>
      </c>
      <c r="E122" s="190"/>
    </row>
    <row r="123" spans="1:5" x14ac:dyDescent="0.35">
      <c r="A123" s="6" t="s">
        <v>23</v>
      </c>
      <c r="B123" s="13">
        <v>60.02</v>
      </c>
      <c r="C123" s="13">
        <v>0</v>
      </c>
      <c r="D123" s="84">
        <f t="shared" si="2"/>
        <v>0</v>
      </c>
    </row>
    <row r="124" spans="1:5" x14ac:dyDescent="0.35">
      <c r="A124" s="75" t="s">
        <v>25</v>
      </c>
      <c r="B124" s="81">
        <f>SUM(B73,B82,B86,B90,B95,B101,B111,B113,B116,B118,B120,B122)</f>
        <v>15636.170000000002</v>
      </c>
      <c r="C124" s="81">
        <v>3402.8300000000004</v>
      </c>
      <c r="D124" s="94">
        <f t="shared" si="2"/>
        <v>0.21762554385121163</v>
      </c>
      <c r="E124" s="190"/>
    </row>
    <row r="127" spans="1:5" x14ac:dyDescent="0.35">
      <c r="C127" s="141"/>
    </row>
  </sheetData>
  <conditionalFormatting sqref="G75:H76">
    <cfRule type="cellIs" dxfId="11" priority="12" operator="lessThan">
      <formula>0</formula>
    </cfRule>
  </conditionalFormatting>
  <conditionalFormatting sqref="G13:H15">
    <cfRule type="cellIs" dxfId="10" priority="11" operator="lessThan">
      <formula>0</formula>
    </cfRule>
  </conditionalFormatting>
  <conditionalFormatting sqref="G11:H11">
    <cfRule type="cellIs" dxfId="9" priority="5" operator="lessThan">
      <formula>0</formula>
    </cfRule>
  </conditionalFormatting>
  <conditionalFormatting sqref="G12:H12">
    <cfRule type="cellIs" dxfId="8" priority="6" operator="lessThan">
      <formula>0</formula>
    </cfRule>
  </conditionalFormatting>
  <conditionalFormatting sqref="G73:H73">
    <cfRule type="cellIs" dxfId="7" priority="1" operator="lessThan">
      <formula>0</formula>
    </cfRule>
  </conditionalFormatting>
  <conditionalFormatting sqref="G74:H74">
    <cfRule type="cellIs" dxfId="6" priority="2" operator="lessThan">
      <formula>0</formula>
    </cfRule>
  </conditionalFormatting>
  <hyperlinks>
    <hyperlink ref="B1" r:id="rId1" xr:uid="{00000000-0004-0000-0900-000000000000}"/>
    <hyperlink ref="M1" location="ÍNDICE!A1" display="ÍNDICE!A1" xr:uid="{00000000-0004-0000-0900-000001000000}"/>
    <hyperlink ref="A4" location="'PIS-ECO'!A7" display="PISTACHO - SECANO" xr:uid="{00000000-0004-0000-0900-000002000000}"/>
    <hyperlink ref="A5" location="'PIS-ECO'!A69" display="PISTACHO - REGADÍO" xr:uid="{00000000-0004-0000-0900-000003000000}"/>
  </hyperlinks>
  <pageMargins left="0.7" right="0.7" top="0.75" bottom="0.75" header="0.3" footer="0.3"/>
  <pageSetup paperSize="9" orientation="portrait" r:id="rId2"/>
  <ignoredErrors>
    <ignoredError sqref="F4:F5" evalError="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L101"/>
  <sheetViews>
    <sheetView topLeftCell="A85" workbookViewId="0"/>
  </sheetViews>
  <sheetFormatPr baseColWidth="10" defaultRowHeight="14.5" x14ac:dyDescent="0.35"/>
  <cols>
    <col min="1" max="1" width="21.54296875" bestFit="1" customWidth="1"/>
    <col min="2" max="2" width="18" customWidth="1"/>
    <col min="3" max="3" width="16.453125" customWidth="1"/>
    <col min="4" max="4" width="18.453125" bestFit="1" customWidth="1"/>
    <col min="5" max="5" width="15.08984375" customWidth="1"/>
    <col min="6" max="6" width="15.1796875" customWidth="1"/>
    <col min="7" max="7" width="16.1796875" customWidth="1"/>
    <col min="8" max="8" width="17.54296875" customWidth="1"/>
    <col min="9" max="9" width="18.1796875" customWidth="1"/>
  </cols>
  <sheetData>
    <row r="1" spans="1:12" x14ac:dyDescent="0.35">
      <c r="A1" s="240" t="s">
        <v>10</v>
      </c>
      <c r="B1" s="2" t="s">
        <v>102</v>
      </c>
      <c r="K1" t="s">
        <v>143</v>
      </c>
      <c r="L1" s="2" t="s">
        <v>144</v>
      </c>
    </row>
    <row r="3" spans="1:12" x14ac:dyDescent="0.35">
      <c r="A3" t="s">
        <v>243</v>
      </c>
      <c r="D3" s="491" t="s">
        <v>304</v>
      </c>
      <c r="E3" s="491" t="s">
        <v>302</v>
      </c>
      <c r="F3" s="492" t="s">
        <v>303</v>
      </c>
    </row>
    <row r="4" spans="1:12" x14ac:dyDescent="0.35">
      <c r="A4" s="332" t="s">
        <v>68</v>
      </c>
      <c r="C4" s="495" t="s">
        <v>305</v>
      </c>
      <c r="D4" s="493">
        <f>C58</f>
        <v>125.18000000000004</v>
      </c>
      <c r="E4" s="488">
        <f>D58</f>
        <v>3.9511145059370971E-2</v>
      </c>
      <c r="F4" s="489">
        <f>D4/D6</f>
        <v>0.33495665203895975</v>
      </c>
    </row>
    <row r="5" spans="1:12" x14ac:dyDescent="0.35">
      <c r="A5" s="332" t="s">
        <v>75</v>
      </c>
      <c r="C5" s="495" t="s">
        <v>306</v>
      </c>
      <c r="D5" s="493">
        <f>C97</f>
        <v>248.54000000000002</v>
      </c>
      <c r="E5" s="488">
        <f>D97</f>
        <v>3.6863447727589621E-2</v>
      </c>
      <c r="F5" s="490">
        <f>D5/D6</f>
        <v>0.66504334796104037</v>
      </c>
    </row>
    <row r="6" spans="1:12" x14ac:dyDescent="0.35">
      <c r="C6" s="496" t="s">
        <v>307</v>
      </c>
      <c r="D6" s="497">
        <f>SUM(D4:D5)</f>
        <v>373.72</v>
      </c>
      <c r="E6" s="498">
        <f>D6/'AVE-REPR'!G7</f>
        <v>3.7706988889292511E-2</v>
      </c>
    </row>
    <row r="7" spans="1:12" ht="15" x14ac:dyDescent="0.35">
      <c r="A7" s="283" t="s">
        <v>68</v>
      </c>
    </row>
    <row r="8" spans="1:12" ht="18.5" x14ac:dyDescent="0.35">
      <c r="A8" s="287" t="s">
        <v>213</v>
      </c>
      <c r="B8" s="220"/>
      <c r="C8" s="221"/>
    </row>
    <row r="9" spans="1:12" x14ac:dyDescent="0.35">
      <c r="F9" s="375" t="s">
        <v>225</v>
      </c>
    </row>
    <row r="10" spans="1:12" ht="43.5" x14ac:dyDescent="0.35">
      <c r="A10" s="373" t="s">
        <v>0</v>
      </c>
      <c r="B10" s="70" t="s">
        <v>81</v>
      </c>
      <c r="C10" s="70" t="s">
        <v>82</v>
      </c>
      <c r="D10" s="70" t="s">
        <v>83</v>
      </c>
      <c r="F10" s="342"/>
      <c r="G10" s="373" t="s">
        <v>251</v>
      </c>
      <c r="H10" s="373" t="s">
        <v>252</v>
      </c>
      <c r="I10" s="480" t="s">
        <v>301</v>
      </c>
    </row>
    <row r="11" spans="1:12" x14ac:dyDescent="0.35">
      <c r="A11" s="376" t="s">
        <v>5</v>
      </c>
      <c r="B11" s="102">
        <v>0.15</v>
      </c>
      <c r="C11" s="95">
        <f>SUM(C12:C13)</f>
        <v>0</v>
      </c>
      <c r="D11" s="88">
        <f>C11/B11</f>
        <v>0</v>
      </c>
      <c r="F11" s="374" t="s">
        <v>14</v>
      </c>
      <c r="G11" s="503">
        <f>C37</f>
        <v>64.720000000000013</v>
      </c>
      <c r="H11" s="504">
        <f>B37</f>
        <v>2671.2499999999936</v>
      </c>
      <c r="I11" s="501">
        <f>G11/H11</f>
        <v>2.422835751052884E-2</v>
      </c>
      <c r="L11">
        <f>(G11+G66)/(H11+H66)</f>
        <v>3.3321505447596454E-2</v>
      </c>
    </row>
    <row r="12" spans="1:12" x14ac:dyDescent="0.35">
      <c r="A12" s="6" t="s">
        <v>8</v>
      </c>
      <c r="B12" s="54">
        <v>0.12</v>
      </c>
      <c r="C12" s="12">
        <v>0</v>
      </c>
      <c r="D12" s="84">
        <f>C12/B12</f>
        <v>0</v>
      </c>
      <c r="F12" s="502" t="s">
        <v>13</v>
      </c>
      <c r="G12" s="505">
        <f>C20</f>
        <v>51.1</v>
      </c>
      <c r="H12" s="506">
        <f>B20</f>
        <v>449.85999999999979</v>
      </c>
      <c r="I12" s="501">
        <f>G12/H12</f>
        <v>0.11359089494509408</v>
      </c>
    </row>
    <row r="13" spans="1:12" x14ac:dyDescent="0.35">
      <c r="A13" s="6" t="s">
        <v>29</v>
      </c>
      <c r="B13" s="54">
        <v>0.03</v>
      </c>
      <c r="C13" s="12">
        <v>0</v>
      </c>
      <c r="D13" s="84">
        <f t="shared" ref="D13:D56" si="0">C13/B13</f>
        <v>0</v>
      </c>
      <c r="F13" s="481" t="s">
        <v>308</v>
      </c>
      <c r="G13" s="494">
        <f>D4- (G11+G12)</f>
        <v>9.3600000000000136</v>
      </c>
      <c r="H13" s="494">
        <f>B58-(H11+H12)</f>
        <v>47.110000000000127</v>
      </c>
      <c r="I13" s="501">
        <f>G13/H13</f>
        <v>0.1986839312247928</v>
      </c>
    </row>
    <row r="14" spans="1:12" x14ac:dyDescent="0.35">
      <c r="A14" s="71" t="s">
        <v>12</v>
      </c>
      <c r="B14" s="95">
        <v>20.32</v>
      </c>
      <c r="C14" s="95">
        <f>SUM(C15:C17)</f>
        <v>4.47</v>
      </c>
      <c r="D14" s="88">
        <f t="shared" si="0"/>
        <v>0.21998031496062992</v>
      </c>
      <c r="F14" s="344"/>
    </row>
    <row r="15" spans="1:12" x14ac:dyDescent="0.35">
      <c r="A15" s="6" t="s">
        <v>31</v>
      </c>
      <c r="B15" s="55">
        <v>1.91</v>
      </c>
      <c r="C15" s="12">
        <v>1.91</v>
      </c>
      <c r="D15" s="84">
        <f t="shared" si="0"/>
        <v>1</v>
      </c>
      <c r="F15" s="344"/>
    </row>
    <row r="16" spans="1:12" x14ac:dyDescent="0.35">
      <c r="A16" s="6" t="s">
        <v>32</v>
      </c>
      <c r="B16" s="12">
        <v>17.41</v>
      </c>
      <c r="C16" s="12">
        <v>2.56</v>
      </c>
      <c r="D16" s="84">
        <f t="shared" si="0"/>
        <v>0.14704192992533027</v>
      </c>
    </row>
    <row r="17" spans="1:4" x14ac:dyDescent="0.35">
      <c r="A17" s="6" t="s">
        <v>33</v>
      </c>
      <c r="B17" s="12">
        <v>1</v>
      </c>
      <c r="C17" s="12">
        <v>0</v>
      </c>
      <c r="D17" s="84">
        <f t="shared" si="0"/>
        <v>0</v>
      </c>
    </row>
    <row r="18" spans="1:4" x14ac:dyDescent="0.35">
      <c r="A18" s="71" t="s">
        <v>69</v>
      </c>
      <c r="B18" s="95">
        <v>0</v>
      </c>
      <c r="C18" s="95">
        <v>0</v>
      </c>
      <c r="D18" s="98"/>
    </row>
    <row r="19" spans="1:4" x14ac:dyDescent="0.35">
      <c r="A19" s="6" t="s">
        <v>69</v>
      </c>
      <c r="B19" s="12">
        <v>0</v>
      </c>
      <c r="C19" s="12">
        <v>0</v>
      </c>
      <c r="D19" s="84"/>
    </row>
    <row r="20" spans="1:4" x14ac:dyDescent="0.35">
      <c r="A20" s="71" t="s">
        <v>13</v>
      </c>
      <c r="B20" s="95">
        <v>449.85999999999979</v>
      </c>
      <c r="C20" s="95">
        <f>SUM(C21:C23)</f>
        <v>51.1</v>
      </c>
      <c r="D20" s="88">
        <f t="shared" si="0"/>
        <v>0.11359089494509408</v>
      </c>
    </row>
    <row r="21" spans="1:4" x14ac:dyDescent="0.35">
      <c r="A21" s="6" t="s">
        <v>34</v>
      </c>
      <c r="B21" s="55">
        <v>0.28000000000000003</v>
      </c>
      <c r="C21" s="55">
        <v>9.0000000000000011E-2</v>
      </c>
      <c r="D21" s="84">
        <f t="shared" si="0"/>
        <v>0.32142857142857145</v>
      </c>
    </row>
    <row r="22" spans="1:4" x14ac:dyDescent="0.35">
      <c r="A22" s="6" t="s">
        <v>61</v>
      </c>
      <c r="B22" s="12">
        <v>441.35999999999979</v>
      </c>
      <c r="C22" s="12">
        <v>51.01</v>
      </c>
      <c r="D22" s="84">
        <f t="shared" si="0"/>
        <v>0.11557458763820923</v>
      </c>
    </row>
    <row r="23" spans="1:4" x14ac:dyDescent="0.35">
      <c r="A23" s="6" t="s">
        <v>36</v>
      </c>
      <c r="B23" s="12">
        <v>8.2200000000000006</v>
      </c>
      <c r="C23" s="12">
        <v>0</v>
      </c>
      <c r="D23" s="84">
        <f t="shared" si="0"/>
        <v>0</v>
      </c>
    </row>
    <row r="24" spans="1:4" x14ac:dyDescent="0.35">
      <c r="A24" s="71" t="s">
        <v>16</v>
      </c>
      <c r="B24" s="95">
        <v>6.7200000000000006</v>
      </c>
      <c r="C24" s="95">
        <f>SUM(C25:C29)</f>
        <v>0.8</v>
      </c>
      <c r="D24" s="88">
        <f t="shared" si="0"/>
        <v>0.11904761904761904</v>
      </c>
    </row>
    <row r="25" spans="1:4" x14ac:dyDescent="0.35">
      <c r="A25" s="6" t="s">
        <v>47</v>
      </c>
      <c r="B25" s="12">
        <v>2.25</v>
      </c>
      <c r="C25" s="12">
        <v>0</v>
      </c>
      <c r="D25" s="84">
        <f t="shared" si="0"/>
        <v>0</v>
      </c>
    </row>
    <row r="26" spans="1:4" x14ac:dyDescent="0.35">
      <c r="A26" s="6" t="s">
        <v>48</v>
      </c>
      <c r="B26" s="12">
        <v>3.32</v>
      </c>
      <c r="C26" s="12">
        <v>0</v>
      </c>
      <c r="D26" s="84">
        <f t="shared" si="0"/>
        <v>0</v>
      </c>
    </row>
    <row r="27" spans="1:4" x14ac:dyDescent="0.35">
      <c r="A27" s="6" t="s">
        <v>52</v>
      </c>
      <c r="B27" s="55"/>
      <c r="C27" s="12"/>
      <c r="D27" s="84"/>
    </row>
    <row r="28" spans="1:4" x14ac:dyDescent="0.35">
      <c r="A28" s="6" t="s">
        <v>53</v>
      </c>
      <c r="B28" s="12">
        <v>0.99</v>
      </c>
      <c r="C28" s="12">
        <v>0.8</v>
      </c>
      <c r="D28" s="84">
        <f t="shared" si="0"/>
        <v>0.80808080808080818</v>
      </c>
    </row>
    <row r="29" spans="1:4" x14ac:dyDescent="0.35">
      <c r="A29" s="6" t="s">
        <v>54</v>
      </c>
      <c r="B29" s="55">
        <v>0.16</v>
      </c>
      <c r="C29" s="12">
        <v>0</v>
      </c>
      <c r="D29" s="84">
        <f t="shared" si="0"/>
        <v>0</v>
      </c>
    </row>
    <row r="30" spans="1:4" x14ac:dyDescent="0.35">
      <c r="A30" s="71" t="s">
        <v>15</v>
      </c>
      <c r="B30" s="103">
        <v>4.42</v>
      </c>
      <c r="C30" s="95">
        <f>SUM(C31:C34)</f>
        <v>1.82</v>
      </c>
      <c r="D30" s="88">
        <f t="shared" si="0"/>
        <v>0.41176470588235298</v>
      </c>
    </row>
    <row r="31" spans="1:4" x14ac:dyDescent="0.35">
      <c r="A31" s="6" t="s">
        <v>41</v>
      </c>
      <c r="B31" s="55">
        <v>1.26</v>
      </c>
      <c r="C31" s="12">
        <v>0</v>
      </c>
      <c r="D31" s="84">
        <f t="shared" si="0"/>
        <v>0</v>
      </c>
    </row>
    <row r="32" spans="1:4" x14ac:dyDescent="0.35">
      <c r="A32" s="6" t="s">
        <v>43</v>
      </c>
      <c r="B32" s="12">
        <v>2.0300000000000002</v>
      </c>
      <c r="C32" s="12">
        <v>1.35</v>
      </c>
      <c r="D32" s="84">
        <f t="shared" si="0"/>
        <v>0.66502463054187189</v>
      </c>
    </row>
    <row r="33" spans="1:5" x14ac:dyDescent="0.35">
      <c r="A33" s="6" t="s">
        <v>44</v>
      </c>
      <c r="B33" s="55">
        <v>0.47</v>
      </c>
      <c r="C33" s="55">
        <v>0.47</v>
      </c>
      <c r="D33" s="84">
        <f t="shared" si="0"/>
        <v>1</v>
      </c>
    </row>
    <row r="34" spans="1:5" x14ac:dyDescent="0.35">
      <c r="A34" s="6" t="s">
        <v>45</v>
      </c>
      <c r="B34" s="55">
        <v>0.65999999999999992</v>
      </c>
      <c r="C34" s="12">
        <v>0</v>
      </c>
      <c r="D34" s="84">
        <f t="shared" si="0"/>
        <v>0</v>
      </c>
    </row>
    <row r="35" spans="1:5" x14ac:dyDescent="0.35">
      <c r="A35" s="71" t="s">
        <v>70</v>
      </c>
      <c r="B35" s="103">
        <v>0.45</v>
      </c>
      <c r="C35" s="103">
        <v>0.38</v>
      </c>
      <c r="D35" s="88">
        <f t="shared" si="0"/>
        <v>0.84444444444444444</v>
      </c>
    </row>
    <row r="36" spans="1:5" x14ac:dyDescent="0.35">
      <c r="A36" s="6" t="s">
        <v>70</v>
      </c>
      <c r="B36" s="55">
        <v>0.45</v>
      </c>
      <c r="C36" s="55">
        <v>0.38</v>
      </c>
      <c r="D36" s="84">
        <f t="shared" si="0"/>
        <v>0.84444444444444444</v>
      </c>
    </row>
    <row r="37" spans="1:5" x14ac:dyDescent="0.35">
      <c r="A37" s="71" t="s">
        <v>14</v>
      </c>
      <c r="B37" s="95">
        <v>2671.2499999999936</v>
      </c>
      <c r="C37" s="95">
        <f>SUM(C38:C41)</f>
        <v>64.720000000000013</v>
      </c>
      <c r="D37" s="88">
        <f t="shared" si="0"/>
        <v>2.422835751052884E-2</v>
      </c>
      <c r="E37" s="190"/>
    </row>
    <row r="38" spans="1:5" x14ac:dyDescent="0.35">
      <c r="A38" s="6" t="s">
        <v>37</v>
      </c>
      <c r="B38" s="12">
        <v>38.629999999999995</v>
      </c>
      <c r="C38" s="12">
        <v>0.81</v>
      </c>
      <c r="D38" s="84">
        <f t="shared" si="0"/>
        <v>2.0968159461558378E-2</v>
      </c>
    </row>
    <row r="39" spans="1:5" x14ac:dyDescent="0.35">
      <c r="A39" s="6" t="s">
        <v>38</v>
      </c>
      <c r="B39" s="12">
        <v>372.43000000000006</v>
      </c>
      <c r="C39" s="12">
        <v>0</v>
      </c>
      <c r="D39" s="84">
        <f t="shared" si="0"/>
        <v>0</v>
      </c>
    </row>
    <row r="40" spans="1:5" x14ac:dyDescent="0.35">
      <c r="A40" s="6" t="s">
        <v>39</v>
      </c>
      <c r="B40" s="12">
        <v>4.12</v>
      </c>
      <c r="C40" s="55">
        <v>0.28999999999999998</v>
      </c>
      <c r="D40" s="84">
        <f t="shared" si="0"/>
        <v>7.0388349514563103E-2</v>
      </c>
    </row>
    <row r="41" spans="1:5" x14ac:dyDescent="0.35">
      <c r="A41" s="6" t="s">
        <v>40</v>
      </c>
      <c r="B41" s="12">
        <v>2256.0699999999933</v>
      </c>
      <c r="C41" s="12">
        <v>63.620000000000012</v>
      </c>
      <c r="D41" s="84">
        <f t="shared" si="0"/>
        <v>2.8199479626075521E-2</v>
      </c>
    </row>
    <row r="42" spans="1:5" x14ac:dyDescent="0.35">
      <c r="A42" s="71" t="s">
        <v>17</v>
      </c>
      <c r="B42" s="103">
        <v>0.27</v>
      </c>
      <c r="C42" s="103">
        <f>SUM(C43:C44)</f>
        <v>0.09</v>
      </c>
      <c r="D42" s="88">
        <f t="shared" si="0"/>
        <v>0.33333333333333331</v>
      </c>
    </row>
    <row r="43" spans="1:5" x14ac:dyDescent="0.35">
      <c r="A43" s="6" t="s">
        <v>55</v>
      </c>
      <c r="B43" s="54">
        <v>0.04</v>
      </c>
      <c r="C43" s="12">
        <v>0</v>
      </c>
      <c r="D43" s="84">
        <f t="shared" si="0"/>
        <v>0</v>
      </c>
    </row>
    <row r="44" spans="1:5" x14ac:dyDescent="0.35">
      <c r="A44" s="6" t="s">
        <v>56</v>
      </c>
      <c r="B44" s="55">
        <v>0.23</v>
      </c>
      <c r="C44" s="55">
        <v>0.09</v>
      </c>
      <c r="D44" s="84">
        <f t="shared" si="0"/>
        <v>0.39130434782608692</v>
      </c>
    </row>
    <row r="45" spans="1:5" x14ac:dyDescent="0.35">
      <c r="A45" s="71" t="s">
        <v>64</v>
      </c>
      <c r="B45" s="95">
        <v>1.9300000000000002</v>
      </c>
      <c r="C45" s="103">
        <f>SUM(C46:C49)</f>
        <v>0.43</v>
      </c>
      <c r="D45" s="88">
        <f t="shared" si="0"/>
        <v>0.22279792746113988</v>
      </c>
    </row>
    <row r="46" spans="1:5" x14ac:dyDescent="0.35">
      <c r="A46" s="6" t="s">
        <v>71</v>
      </c>
      <c r="B46" s="55">
        <v>0.18</v>
      </c>
      <c r="C46" s="12">
        <v>0</v>
      </c>
      <c r="D46" s="84">
        <f t="shared" si="0"/>
        <v>0</v>
      </c>
    </row>
    <row r="47" spans="1:5" x14ac:dyDescent="0.35">
      <c r="A47" s="6" t="s">
        <v>65</v>
      </c>
      <c r="B47" s="55">
        <v>0.61</v>
      </c>
      <c r="C47" s="12">
        <v>0</v>
      </c>
      <c r="D47" s="84">
        <f t="shared" si="0"/>
        <v>0</v>
      </c>
    </row>
    <row r="48" spans="1:5" x14ac:dyDescent="0.35">
      <c r="A48" s="6" t="s">
        <v>66</v>
      </c>
      <c r="B48" s="55">
        <v>0.37</v>
      </c>
      <c r="C48" s="12">
        <v>0</v>
      </c>
      <c r="D48" s="84">
        <f t="shared" si="0"/>
        <v>0</v>
      </c>
    </row>
    <row r="49" spans="1:6" x14ac:dyDescent="0.35">
      <c r="A49" s="6" t="s">
        <v>72</v>
      </c>
      <c r="B49" s="55">
        <v>0.77</v>
      </c>
      <c r="C49" s="55">
        <v>0.43</v>
      </c>
      <c r="D49" s="84">
        <f t="shared" si="0"/>
        <v>0.55844155844155841</v>
      </c>
    </row>
    <row r="50" spans="1:6" x14ac:dyDescent="0.35">
      <c r="A50" s="71" t="s">
        <v>20</v>
      </c>
      <c r="B50" s="103">
        <v>0.88000000000000012</v>
      </c>
      <c r="C50" s="95">
        <v>0</v>
      </c>
      <c r="D50" s="88">
        <f t="shared" si="0"/>
        <v>0</v>
      </c>
    </row>
    <row r="51" spans="1:6" x14ac:dyDescent="0.35">
      <c r="A51" s="6" t="s">
        <v>20</v>
      </c>
      <c r="B51" s="55">
        <v>0.88000000000000012</v>
      </c>
      <c r="C51" s="12">
        <v>0</v>
      </c>
      <c r="D51" s="84">
        <f t="shared" si="0"/>
        <v>0</v>
      </c>
    </row>
    <row r="52" spans="1:6" x14ac:dyDescent="0.35">
      <c r="A52" s="71" t="s">
        <v>23</v>
      </c>
      <c r="B52" s="103">
        <v>6.7700000000000005</v>
      </c>
      <c r="C52" s="95">
        <v>0.9</v>
      </c>
      <c r="D52" s="88">
        <f t="shared" si="0"/>
        <v>0.13293943870014771</v>
      </c>
    </row>
    <row r="53" spans="1:6" x14ac:dyDescent="0.35">
      <c r="A53" s="6" t="s">
        <v>23</v>
      </c>
      <c r="B53" s="55">
        <v>6.7700000000000005</v>
      </c>
      <c r="C53" s="12">
        <v>0.9</v>
      </c>
      <c r="D53" s="84">
        <f t="shared" si="0"/>
        <v>0.13293943870014771</v>
      </c>
    </row>
    <row r="54" spans="1:6" x14ac:dyDescent="0.35">
      <c r="A54" s="71" t="s">
        <v>24</v>
      </c>
      <c r="B54" s="103">
        <v>5.2000000000000011</v>
      </c>
      <c r="C54" s="103">
        <f>SUM(C55:C57)</f>
        <v>0.47</v>
      </c>
      <c r="D54" s="88">
        <f t="shared" si="0"/>
        <v>9.0384615384615355E-2</v>
      </c>
    </row>
    <row r="55" spans="1:6" x14ac:dyDescent="0.35">
      <c r="A55" s="6" t="s">
        <v>59</v>
      </c>
      <c r="B55" s="55">
        <v>0.49</v>
      </c>
      <c r="C55" s="55">
        <v>0.32</v>
      </c>
      <c r="D55" s="84">
        <f t="shared" si="0"/>
        <v>0.65306122448979598</v>
      </c>
    </row>
    <row r="56" spans="1:6" x14ac:dyDescent="0.35">
      <c r="A56" s="6" t="s">
        <v>73</v>
      </c>
      <c r="B56" s="55">
        <v>3.1900000000000004</v>
      </c>
      <c r="C56" s="12">
        <v>0</v>
      </c>
      <c r="D56" s="84">
        <f t="shared" si="0"/>
        <v>0</v>
      </c>
    </row>
    <row r="57" spans="1:6" x14ac:dyDescent="0.35">
      <c r="A57" s="6" t="s">
        <v>74</v>
      </c>
      <c r="B57" s="55">
        <v>1.52</v>
      </c>
      <c r="C57" s="54">
        <v>0.15</v>
      </c>
      <c r="D57" s="84">
        <f>C57/B57</f>
        <v>9.8684210526315791E-2</v>
      </c>
    </row>
    <row r="58" spans="1:6" x14ac:dyDescent="0.35">
      <c r="A58" s="104" t="s">
        <v>25</v>
      </c>
      <c r="B58" s="96">
        <v>3168.2199999999934</v>
      </c>
      <c r="C58" s="96">
        <f>SUM(C11,C14,C18,C20,C24,C30,C35,C37,C42,C45,C50,C52,C54)</f>
        <v>125.18000000000004</v>
      </c>
      <c r="D58" s="94">
        <f>C58/B58</f>
        <v>3.9511145059370971E-2</v>
      </c>
    </row>
    <row r="62" spans="1:6" ht="15" x14ac:dyDescent="0.35">
      <c r="A62" s="284" t="s">
        <v>75</v>
      </c>
    </row>
    <row r="63" spans="1:6" ht="18.5" x14ac:dyDescent="0.35">
      <c r="A63" s="287" t="s">
        <v>213</v>
      </c>
      <c r="B63" s="220"/>
      <c r="C63" s="221"/>
    </row>
    <row r="64" spans="1:6" x14ac:dyDescent="0.35">
      <c r="F64" s="375" t="s">
        <v>225</v>
      </c>
    </row>
    <row r="65" spans="1:11" ht="43.5" x14ac:dyDescent="0.35">
      <c r="A65" s="373" t="s">
        <v>0</v>
      </c>
      <c r="B65" s="70" t="s">
        <v>81</v>
      </c>
      <c r="C65" s="70" t="s">
        <v>82</v>
      </c>
      <c r="D65" s="70" t="s">
        <v>83</v>
      </c>
      <c r="F65" s="342"/>
      <c r="G65" s="482" t="s">
        <v>251</v>
      </c>
      <c r="H65" s="482" t="s">
        <v>252</v>
      </c>
      <c r="I65" s="482" t="s">
        <v>246</v>
      </c>
      <c r="K65" s="486"/>
    </row>
    <row r="66" spans="1:11" x14ac:dyDescent="0.35">
      <c r="A66" s="71" t="s">
        <v>5</v>
      </c>
      <c r="B66" s="79">
        <v>0.43</v>
      </c>
      <c r="C66" s="79"/>
      <c r="D66" s="88">
        <f>C66/B66</f>
        <v>0</v>
      </c>
      <c r="F66" s="507" t="s">
        <v>14</v>
      </c>
      <c r="G66" s="508">
        <f>C84</f>
        <v>247.05</v>
      </c>
      <c r="H66" s="508">
        <f>B84</f>
        <v>6685.1699999999955</v>
      </c>
      <c r="I66" s="501">
        <f>G66/H66</f>
        <v>3.6954931587379253E-2</v>
      </c>
    </row>
    <row r="67" spans="1:11" x14ac:dyDescent="0.35">
      <c r="A67" s="6" t="s">
        <v>8</v>
      </c>
      <c r="B67" s="13">
        <v>0.43</v>
      </c>
      <c r="C67" s="13"/>
      <c r="D67" s="84">
        <f t="shared" ref="D67:D97" si="1">C67/B67</f>
        <v>0</v>
      </c>
      <c r="F67" s="501" t="s">
        <v>308</v>
      </c>
      <c r="G67" s="487">
        <f>D5-G66</f>
        <v>1.4900000000000091</v>
      </c>
      <c r="H67" s="487">
        <f>B97-H66</f>
        <v>57.010000000000218</v>
      </c>
      <c r="I67" s="501">
        <f>G67/H67</f>
        <v>2.6135765655148278E-2</v>
      </c>
    </row>
    <row r="68" spans="1:11" x14ac:dyDescent="0.35">
      <c r="A68" s="6" t="s">
        <v>29</v>
      </c>
      <c r="B68" s="13"/>
      <c r="C68" s="13"/>
      <c r="D68" s="84"/>
    </row>
    <row r="69" spans="1:11" x14ac:dyDescent="0.35">
      <c r="A69" s="71" t="s">
        <v>12</v>
      </c>
      <c r="B69" s="79">
        <v>9.4199999999999982</v>
      </c>
      <c r="C69" s="79">
        <v>0.13</v>
      </c>
      <c r="D69" s="88">
        <f t="shared" si="1"/>
        <v>1.380042462845011E-2</v>
      </c>
    </row>
    <row r="70" spans="1:11" x14ac:dyDescent="0.35">
      <c r="A70" s="6" t="s">
        <v>31</v>
      </c>
      <c r="B70" s="13">
        <v>1.81</v>
      </c>
      <c r="C70" s="13"/>
      <c r="D70" s="84">
        <f t="shared" si="1"/>
        <v>0</v>
      </c>
    </row>
    <row r="71" spans="1:11" x14ac:dyDescent="0.35">
      <c r="A71" s="6" t="s">
        <v>32</v>
      </c>
      <c r="B71" s="13">
        <v>6.6499999999999995</v>
      </c>
      <c r="C71" s="57">
        <v>0.13</v>
      </c>
      <c r="D71" s="84">
        <f t="shared" si="1"/>
        <v>1.9548872180451132E-2</v>
      </c>
    </row>
    <row r="72" spans="1:11" x14ac:dyDescent="0.35">
      <c r="A72" s="6" t="s">
        <v>33</v>
      </c>
      <c r="B72" s="13">
        <v>0.96</v>
      </c>
      <c r="C72" s="13"/>
      <c r="D72" s="84">
        <f t="shared" si="1"/>
        <v>0</v>
      </c>
    </row>
    <row r="73" spans="1:11" x14ac:dyDescent="0.35">
      <c r="A73" s="71" t="s">
        <v>13</v>
      </c>
      <c r="B73" s="79">
        <v>10.91</v>
      </c>
      <c r="C73" s="79"/>
      <c r="D73" s="107">
        <f t="shared" si="1"/>
        <v>0</v>
      </c>
    </row>
    <row r="74" spans="1:11" x14ac:dyDescent="0.35">
      <c r="A74" s="7" t="s">
        <v>34</v>
      </c>
      <c r="B74" s="13"/>
      <c r="C74" s="13"/>
      <c r="D74" s="84"/>
    </row>
    <row r="75" spans="1:11" x14ac:dyDescent="0.35">
      <c r="A75" s="6" t="s">
        <v>61</v>
      </c>
      <c r="B75" s="13">
        <v>10.870000000000001</v>
      </c>
      <c r="C75" s="13"/>
      <c r="D75" s="84">
        <f t="shared" si="1"/>
        <v>0</v>
      </c>
    </row>
    <row r="76" spans="1:11" x14ac:dyDescent="0.35">
      <c r="A76" s="6" t="s">
        <v>36</v>
      </c>
      <c r="B76" s="59">
        <v>0.04</v>
      </c>
      <c r="C76" s="13"/>
      <c r="D76" s="84">
        <f t="shared" si="1"/>
        <v>0</v>
      </c>
    </row>
    <row r="77" spans="1:11" x14ac:dyDescent="0.35">
      <c r="A77" s="71" t="s">
        <v>16</v>
      </c>
      <c r="B77" s="79">
        <v>0.86</v>
      </c>
      <c r="C77" s="79">
        <f>SUM(C78:C80)</f>
        <v>0.77</v>
      </c>
      <c r="D77" s="88">
        <f t="shared" si="1"/>
        <v>0.89534883720930236</v>
      </c>
    </row>
    <row r="78" spans="1:11" x14ac:dyDescent="0.35">
      <c r="A78" s="6" t="s">
        <v>48</v>
      </c>
      <c r="B78" s="13"/>
      <c r="C78" s="13"/>
      <c r="D78" s="84"/>
    </row>
    <row r="79" spans="1:11" x14ac:dyDescent="0.35">
      <c r="A79" s="6" t="s">
        <v>53</v>
      </c>
      <c r="B79" s="13">
        <v>0.77</v>
      </c>
      <c r="C79" s="13">
        <v>0.77</v>
      </c>
      <c r="D79" s="84">
        <f t="shared" si="1"/>
        <v>1</v>
      </c>
    </row>
    <row r="80" spans="1:11" x14ac:dyDescent="0.35">
      <c r="A80" s="6" t="s">
        <v>54</v>
      </c>
      <c r="B80" s="59">
        <v>0.09</v>
      </c>
      <c r="C80" s="13"/>
      <c r="D80" s="84">
        <f t="shared" si="1"/>
        <v>0</v>
      </c>
    </row>
    <row r="81" spans="1:5" x14ac:dyDescent="0.35">
      <c r="A81" s="71" t="s">
        <v>15</v>
      </c>
      <c r="B81" s="79">
        <v>9.27</v>
      </c>
      <c r="C81" s="79">
        <f>SUM(C82:C83)</f>
        <v>0.35</v>
      </c>
      <c r="D81" s="88">
        <f t="shared" si="1"/>
        <v>3.7756202804746494E-2</v>
      </c>
    </row>
    <row r="82" spans="1:5" x14ac:dyDescent="0.35">
      <c r="A82" s="6" t="s">
        <v>41</v>
      </c>
      <c r="B82" s="13">
        <v>8.74</v>
      </c>
      <c r="C82" s="57">
        <v>0.35</v>
      </c>
      <c r="D82" s="84">
        <f t="shared" si="1"/>
        <v>4.0045766590389012E-2</v>
      </c>
    </row>
    <row r="83" spans="1:5" x14ac:dyDescent="0.35">
      <c r="A83" s="6" t="s">
        <v>45</v>
      </c>
      <c r="B83" s="57">
        <v>0.53</v>
      </c>
      <c r="C83" s="13"/>
      <c r="D83" s="84">
        <f t="shared" si="1"/>
        <v>0</v>
      </c>
    </row>
    <row r="84" spans="1:5" x14ac:dyDescent="0.35">
      <c r="A84" s="71" t="s">
        <v>14</v>
      </c>
      <c r="B84" s="79">
        <v>6685.1699999999955</v>
      </c>
      <c r="C84" s="79">
        <f>SUM(C85:C88)</f>
        <v>247.05</v>
      </c>
      <c r="D84" s="88">
        <f t="shared" si="1"/>
        <v>3.6954931587379253E-2</v>
      </c>
      <c r="E84" s="190"/>
    </row>
    <row r="85" spans="1:5" x14ac:dyDescent="0.35">
      <c r="A85" s="6" t="s">
        <v>37</v>
      </c>
      <c r="B85" s="13">
        <v>34.26</v>
      </c>
      <c r="C85" s="13">
        <v>20.419999999999998</v>
      </c>
      <c r="D85" s="84">
        <f t="shared" si="1"/>
        <v>0.59603035610040866</v>
      </c>
    </row>
    <row r="86" spans="1:5" x14ac:dyDescent="0.35">
      <c r="A86" s="6" t="s">
        <v>38</v>
      </c>
      <c r="B86" s="13">
        <v>391.75999999999988</v>
      </c>
      <c r="C86" s="13"/>
      <c r="D86" s="84">
        <f t="shared" si="1"/>
        <v>0</v>
      </c>
    </row>
    <row r="87" spans="1:5" x14ac:dyDescent="0.35">
      <c r="A87" s="6" t="s">
        <v>39</v>
      </c>
      <c r="B87" s="13">
        <v>2.91</v>
      </c>
      <c r="C87" s="59">
        <v>0.03</v>
      </c>
      <c r="D87" s="84">
        <f t="shared" si="1"/>
        <v>1.0309278350515464E-2</v>
      </c>
    </row>
    <row r="88" spans="1:5" x14ac:dyDescent="0.35">
      <c r="A88" s="6" t="s">
        <v>40</v>
      </c>
      <c r="B88" s="13">
        <v>6256.2399999999952</v>
      </c>
      <c r="C88" s="13">
        <v>226.60000000000002</v>
      </c>
      <c r="D88" s="84">
        <f t="shared" si="1"/>
        <v>3.6219838113627383E-2</v>
      </c>
    </row>
    <row r="89" spans="1:5" x14ac:dyDescent="0.35">
      <c r="A89" s="71" t="s">
        <v>17</v>
      </c>
      <c r="B89" s="79">
        <v>24.549999999999997</v>
      </c>
      <c r="C89" s="79">
        <v>0.24</v>
      </c>
      <c r="D89" s="88">
        <f t="shared" si="1"/>
        <v>9.775967413441956E-3</v>
      </c>
    </row>
    <row r="90" spans="1:5" x14ac:dyDescent="0.35">
      <c r="A90" s="6" t="s">
        <v>56</v>
      </c>
      <c r="B90" s="13">
        <v>24.549999999999997</v>
      </c>
      <c r="C90" s="13">
        <v>0.24000000000000002</v>
      </c>
      <c r="D90" s="84">
        <f t="shared" si="1"/>
        <v>9.7759674134419577E-3</v>
      </c>
    </row>
    <row r="91" spans="1:5" x14ac:dyDescent="0.35">
      <c r="A91" s="71" t="s">
        <v>20</v>
      </c>
      <c r="B91" s="79">
        <v>1.24</v>
      </c>
      <c r="C91" s="79"/>
      <c r="D91" s="88">
        <f t="shared" si="1"/>
        <v>0</v>
      </c>
    </row>
    <row r="92" spans="1:5" x14ac:dyDescent="0.35">
      <c r="A92" s="6" t="s">
        <v>20</v>
      </c>
      <c r="B92" s="13">
        <v>1.24</v>
      </c>
      <c r="C92" s="13"/>
      <c r="D92" s="84">
        <f t="shared" si="1"/>
        <v>0</v>
      </c>
    </row>
    <row r="93" spans="1:5" x14ac:dyDescent="0.35">
      <c r="A93" s="71" t="s">
        <v>23</v>
      </c>
      <c r="B93" s="105">
        <v>0.21</v>
      </c>
      <c r="C93" s="79"/>
      <c r="D93" s="88">
        <f t="shared" si="1"/>
        <v>0</v>
      </c>
    </row>
    <row r="94" spans="1:5" x14ac:dyDescent="0.35">
      <c r="A94" s="6" t="s">
        <v>23</v>
      </c>
      <c r="B94" s="59">
        <v>0.21</v>
      </c>
      <c r="C94" s="13"/>
      <c r="D94" s="84">
        <f t="shared" si="1"/>
        <v>0</v>
      </c>
    </row>
    <row r="95" spans="1:5" x14ac:dyDescent="0.35">
      <c r="A95" s="71" t="s">
        <v>76</v>
      </c>
      <c r="B95" s="105">
        <v>0.12</v>
      </c>
      <c r="C95" s="79"/>
      <c r="D95" s="107">
        <f t="shared" si="1"/>
        <v>0</v>
      </c>
    </row>
    <row r="96" spans="1:5" x14ac:dyDescent="0.35">
      <c r="A96" s="6" t="s">
        <v>59</v>
      </c>
      <c r="B96" s="59">
        <v>0.12</v>
      </c>
      <c r="C96" s="13"/>
      <c r="D96" s="84">
        <f t="shared" si="1"/>
        <v>0</v>
      </c>
    </row>
    <row r="97" spans="1:4" x14ac:dyDescent="0.35">
      <c r="A97" s="104" t="s">
        <v>25</v>
      </c>
      <c r="B97" s="106">
        <v>6742.1799999999957</v>
      </c>
      <c r="C97" s="106">
        <f>SUM(C66,C69,C73,C77,C81,C84,C89,C91,C93,C95)</f>
        <v>248.54000000000002</v>
      </c>
      <c r="D97" s="94">
        <f t="shared" si="1"/>
        <v>3.6863447727589621E-2</v>
      </c>
    </row>
    <row r="101" spans="1:4" x14ac:dyDescent="0.35">
      <c r="B101" s="141"/>
    </row>
  </sheetData>
  <conditionalFormatting sqref="G11:H12">
    <cfRule type="cellIs" dxfId="5" priority="3" operator="lessThan">
      <formula>0</formula>
    </cfRule>
  </conditionalFormatting>
  <conditionalFormatting sqref="G66:H66">
    <cfRule type="cellIs" dxfId="4" priority="1" operator="lessThan">
      <formula>0</formula>
    </cfRule>
  </conditionalFormatting>
  <hyperlinks>
    <hyperlink ref="B1" r:id="rId1" xr:uid="{00000000-0004-0000-0A00-000000000000}"/>
    <hyperlink ref="L1" location="ÍNDICE!A1" display="ÍNDICE!A1" xr:uid="{00000000-0004-0000-0A00-000001000000}"/>
    <hyperlink ref="A4" location="'AVE-ECO'!A7" display="AVELLANO - SECANO" xr:uid="{00000000-0004-0000-0A00-000002000000}"/>
    <hyperlink ref="A5" location="'AVE-ECO'!A62" display="AVELLANO - REGADÍO" xr:uid="{00000000-0004-0000-0A00-000003000000}"/>
  </hyperlinks>
  <pageMargins left="0.7" right="0.7" top="0.75" bottom="0.75" header="0.3" footer="0.3"/>
  <ignoredErrors>
    <ignoredError sqref="F4:F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66"/>
  <sheetViews>
    <sheetView topLeftCell="A52" workbookViewId="0"/>
  </sheetViews>
  <sheetFormatPr baseColWidth="10" defaultRowHeight="14.5" x14ac:dyDescent="0.35"/>
  <cols>
    <col min="1" max="1" width="25" bestFit="1" customWidth="1"/>
    <col min="2" max="2" width="18" customWidth="1"/>
    <col min="3" max="3" width="16.453125" customWidth="1"/>
    <col min="4" max="4" width="18.453125" bestFit="1" customWidth="1"/>
    <col min="5" max="5" width="14.6328125" customWidth="1"/>
    <col min="6" max="6" width="15.1796875" customWidth="1"/>
    <col min="7" max="7" width="16.1796875" customWidth="1"/>
    <col min="8" max="8" width="17.54296875" customWidth="1"/>
    <col min="9" max="9" width="18.1796875" customWidth="1"/>
  </cols>
  <sheetData>
    <row r="1" spans="1:13" x14ac:dyDescent="0.35">
      <c r="A1" s="240" t="s">
        <v>10</v>
      </c>
      <c r="B1" s="2" t="s">
        <v>102</v>
      </c>
      <c r="L1" t="s">
        <v>143</v>
      </c>
      <c r="M1" s="2" t="s">
        <v>144</v>
      </c>
    </row>
    <row r="3" spans="1:13" x14ac:dyDescent="0.35">
      <c r="A3" t="s">
        <v>243</v>
      </c>
      <c r="D3" s="491" t="s">
        <v>304</v>
      </c>
      <c r="E3" s="491" t="s">
        <v>302</v>
      </c>
      <c r="F3" s="492" t="s">
        <v>303</v>
      </c>
    </row>
    <row r="4" spans="1:13" x14ac:dyDescent="0.35">
      <c r="A4" s="332" t="s">
        <v>77</v>
      </c>
      <c r="C4" s="495" t="s">
        <v>309</v>
      </c>
      <c r="D4" s="493">
        <f>C34</f>
        <v>1411.53</v>
      </c>
      <c r="E4" s="488">
        <f>D34</f>
        <v>9.0833682974982788E-2</v>
      </c>
      <c r="F4" s="489">
        <f>D4/D6</f>
        <v>0.91197069350941351</v>
      </c>
    </row>
    <row r="5" spans="1:13" x14ac:dyDescent="0.35">
      <c r="A5" s="332" t="s">
        <v>79</v>
      </c>
      <c r="C5" s="495" t="s">
        <v>310</v>
      </c>
      <c r="D5" s="493">
        <f>C63</f>
        <v>136.24999999999997</v>
      </c>
      <c r="E5" s="488">
        <f>D63</f>
        <v>0.17594266528925609</v>
      </c>
      <c r="F5" s="490">
        <f>D5/D6</f>
        <v>8.8029306490586504E-2</v>
      </c>
    </row>
    <row r="6" spans="1:13" x14ac:dyDescent="0.35">
      <c r="C6" s="496" t="s">
        <v>311</v>
      </c>
      <c r="D6" s="497">
        <f>D4+D5</f>
        <v>1547.78</v>
      </c>
      <c r="E6" s="498">
        <f>D6/(B34+B63)</f>
        <v>9.4873643199878357E-2</v>
      </c>
    </row>
    <row r="7" spans="1:13" ht="15" x14ac:dyDescent="0.35">
      <c r="A7" s="283" t="s">
        <v>77</v>
      </c>
    </row>
    <row r="8" spans="1:13" ht="18.5" x14ac:dyDescent="0.35">
      <c r="A8" s="287" t="s">
        <v>213</v>
      </c>
      <c r="B8" s="220"/>
      <c r="C8" s="221"/>
    </row>
    <row r="9" spans="1:13" x14ac:dyDescent="0.35">
      <c r="F9" s="375" t="s">
        <v>225</v>
      </c>
    </row>
    <row r="10" spans="1:13" ht="43.5" x14ac:dyDescent="0.35">
      <c r="A10" s="373" t="s">
        <v>0</v>
      </c>
      <c r="B10" s="70" t="s">
        <v>81</v>
      </c>
      <c r="C10" s="70" t="s">
        <v>82</v>
      </c>
      <c r="D10" s="373" t="s">
        <v>83</v>
      </c>
      <c r="F10" s="342"/>
      <c r="G10" s="373" t="s">
        <v>251</v>
      </c>
      <c r="H10" s="373" t="s">
        <v>252</v>
      </c>
      <c r="I10" s="480" t="s">
        <v>301</v>
      </c>
    </row>
    <row r="11" spans="1:13" x14ac:dyDescent="0.35">
      <c r="A11" s="376" t="s">
        <v>5</v>
      </c>
      <c r="B11" s="377">
        <v>1048.7899999999997</v>
      </c>
      <c r="C11" s="377">
        <f>SUM(C12:C19)</f>
        <v>320.04999999999995</v>
      </c>
      <c r="D11" s="88">
        <f>C11/B11</f>
        <v>0.3051611857473851</v>
      </c>
      <c r="F11" s="374" t="str">
        <f>A30</f>
        <v>ISLAS BALEARES</v>
      </c>
      <c r="G11" s="323">
        <f>C30</f>
        <v>410.35</v>
      </c>
      <c r="H11" s="457">
        <f>B30</f>
        <v>2551.31</v>
      </c>
      <c r="I11" s="509">
        <f>G11/H11</f>
        <v>0.16083894156335374</v>
      </c>
    </row>
    <row r="12" spans="1:13" x14ac:dyDescent="0.35">
      <c r="A12" s="6" t="s">
        <v>78</v>
      </c>
      <c r="B12" s="12">
        <v>6.62</v>
      </c>
      <c r="C12" s="54">
        <v>0.66</v>
      </c>
      <c r="D12" s="84">
        <f>C12/B12</f>
        <v>9.9697885196374625E-2</v>
      </c>
      <c r="F12" s="374" t="str">
        <f>A11</f>
        <v>ANDALUCÍA</v>
      </c>
      <c r="G12" s="323">
        <f>C11</f>
        <v>320.04999999999995</v>
      </c>
      <c r="H12" s="457">
        <f>B11</f>
        <v>1048.7899999999997</v>
      </c>
      <c r="I12" s="509">
        <f t="shared" ref="I12:I15" si="0">G12/H12</f>
        <v>0.3051611857473851</v>
      </c>
      <c r="K12">
        <f>(G11+B59)/D6</f>
        <v>0.27604698342141654</v>
      </c>
    </row>
    <row r="13" spans="1:13" x14ac:dyDescent="0.35">
      <c r="A13" s="6" t="s">
        <v>7</v>
      </c>
      <c r="B13" s="12">
        <v>29.53</v>
      </c>
      <c r="C13" s="12">
        <v>19.080000000000002</v>
      </c>
      <c r="D13" s="84">
        <f t="shared" ref="D13:D34" si="1">C13/B13</f>
        <v>0.64612258719945825</v>
      </c>
      <c r="F13" s="374" t="str">
        <f>A32</f>
        <v>MURCIA</v>
      </c>
      <c r="G13" s="323">
        <f>C32</f>
        <v>256.08</v>
      </c>
      <c r="H13" s="457">
        <f>B32</f>
        <v>712.47</v>
      </c>
      <c r="I13" s="509">
        <f t="shared" si="0"/>
        <v>0.35942566002779058</v>
      </c>
    </row>
    <row r="14" spans="1:13" x14ac:dyDescent="0.35">
      <c r="A14" s="6" t="s">
        <v>8</v>
      </c>
      <c r="B14" s="54">
        <v>0.62</v>
      </c>
      <c r="C14" s="12">
        <v>0</v>
      </c>
      <c r="D14" s="84">
        <f t="shared" si="1"/>
        <v>0</v>
      </c>
      <c r="F14" s="374" t="str">
        <f>A24</f>
        <v>CATALUÑA</v>
      </c>
      <c r="G14" s="323">
        <f>C24</f>
        <v>247.96000000000006</v>
      </c>
      <c r="H14" s="457">
        <f>B24</f>
        <v>3622.090000000007</v>
      </c>
      <c r="I14" s="509">
        <f t="shared" si="0"/>
        <v>6.8457713640467127E-2</v>
      </c>
    </row>
    <row r="15" spans="1:13" x14ac:dyDescent="0.35">
      <c r="A15" s="6" t="s">
        <v>26</v>
      </c>
      <c r="B15" s="12">
        <v>20.370000000000005</v>
      </c>
      <c r="C15" s="12">
        <v>0</v>
      </c>
      <c r="D15" s="84">
        <f t="shared" si="1"/>
        <v>0</v>
      </c>
      <c r="F15" s="374" t="str">
        <f>A20</f>
        <v>C. VALENCIANA</v>
      </c>
      <c r="G15" s="323">
        <f>C20</f>
        <v>176.76000000000002</v>
      </c>
      <c r="H15" s="457">
        <f>B20</f>
        <v>7601.6</v>
      </c>
      <c r="I15" s="509">
        <f t="shared" si="0"/>
        <v>2.3252999368553989E-2</v>
      </c>
    </row>
    <row r="16" spans="1:13" x14ac:dyDescent="0.35">
      <c r="A16" s="6" t="s">
        <v>27</v>
      </c>
      <c r="B16" s="12">
        <v>794.58999999999992</v>
      </c>
      <c r="C16" s="12">
        <v>240.32</v>
      </c>
      <c r="D16" s="84">
        <f t="shared" si="1"/>
        <v>0.30244528624825384</v>
      </c>
    </row>
    <row r="17" spans="1:5" x14ac:dyDescent="0.35">
      <c r="A17" s="6" t="s">
        <v>28</v>
      </c>
      <c r="B17" s="54">
        <v>0.31</v>
      </c>
      <c r="C17" s="12">
        <v>0</v>
      </c>
      <c r="D17" s="84">
        <f t="shared" si="1"/>
        <v>0</v>
      </c>
    </row>
    <row r="18" spans="1:5" x14ac:dyDescent="0.35">
      <c r="A18" s="6" t="s">
        <v>29</v>
      </c>
      <c r="B18" s="12">
        <v>145.66000000000003</v>
      </c>
      <c r="C18" s="12">
        <v>28.590000000000003</v>
      </c>
      <c r="D18" s="84">
        <f t="shared" si="1"/>
        <v>0.19627900590416036</v>
      </c>
    </row>
    <row r="19" spans="1:5" x14ac:dyDescent="0.35">
      <c r="A19" s="6" t="s">
        <v>30</v>
      </c>
      <c r="B19" s="12">
        <v>51.09</v>
      </c>
      <c r="C19" s="12">
        <v>31.400000000000002</v>
      </c>
      <c r="D19" s="84">
        <f t="shared" si="1"/>
        <v>0.61460168330397336</v>
      </c>
    </row>
    <row r="20" spans="1:5" x14ac:dyDescent="0.35">
      <c r="A20" s="71" t="s">
        <v>13</v>
      </c>
      <c r="B20" s="95">
        <v>7601.6</v>
      </c>
      <c r="C20" s="95">
        <f>SUM(C21:C23)</f>
        <v>176.76000000000002</v>
      </c>
      <c r="D20" s="88">
        <f t="shared" si="1"/>
        <v>2.3252999368553989E-2</v>
      </c>
    </row>
    <row r="21" spans="1:5" x14ac:dyDescent="0.35">
      <c r="A21" s="6" t="s">
        <v>34</v>
      </c>
      <c r="B21" s="12">
        <v>249.11</v>
      </c>
      <c r="C21" s="12">
        <v>18.97</v>
      </c>
      <c r="D21" s="84">
        <f t="shared" si="1"/>
        <v>7.6151097908554441E-2</v>
      </c>
    </row>
    <row r="22" spans="1:5" x14ac:dyDescent="0.35">
      <c r="A22" s="6" t="s">
        <v>61</v>
      </c>
      <c r="B22" s="12">
        <v>2825.8500000000004</v>
      </c>
      <c r="C22" s="12">
        <v>38.250000000000007</v>
      </c>
      <c r="D22" s="84">
        <f t="shared" si="1"/>
        <v>1.35357503052179E-2</v>
      </c>
    </row>
    <row r="23" spans="1:5" x14ac:dyDescent="0.35">
      <c r="A23" s="6" t="s">
        <v>36</v>
      </c>
      <c r="B23" s="12">
        <v>4526.6399999999994</v>
      </c>
      <c r="C23" s="12">
        <v>119.54</v>
      </c>
      <c r="D23" s="84">
        <f t="shared" si="1"/>
        <v>2.6408108442465057E-2</v>
      </c>
    </row>
    <row r="24" spans="1:5" x14ac:dyDescent="0.35">
      <c r="A24" s="71" t="s">
        <v>14</v>
      </c>
      <c r="B24" s="95">
        <v>3622.090000000007</v>
      </c>
      <c r="C24" s="95">
        <f>SUM(C25:C27)</f>
        <v>247.96000000000006</v>
      </c>
      <c r="D24" s="88">
        <f t="shared" si="1"/>
        <v>6.8457713640467127E-2</v>
      </c>
    </row>
    <row r="25" spans="1:5" x14ac:dyDescent="0.35">
      <c r="A25" s="6" t="s">
        <v>37</v>
      </c>
      <c r="B25" s="12">
        <v>124.69</v>
      </c>
      <c r="C25" s="12">
        <v>14.93</v>
      </c>
      <c r="D25" s="84">
        <f t="shared" si="1"/>
        <v>0.1197369476301227</v>
      </c>
    </row>
    <row r="26" spans="1:5" x14ac:dyDescent="0.35">
      <c r="A26" s="6" t="s">
        <v>38</v>
      </c>
      <c r="B26" s="12">
        <v>1.73</v>
      </c>
      <c r="C26" s="12">
        <v>0</v>
      </c>
      <c r="D26" s="84">
        <f t="shared" si="1"/>
        <v>0</v>
      </c>
    </row>
    <row r="27" spans="1:5" x14ac:dyDescent="0.35">
      <c r="A27" s="6" t="s">
        <v>40</v>
      </c>
      <c r="B27" s="12">
        <v>3495.6700000000069</v>
      </c>
      <c r="C27" s="12">
        <v>233.03000000000006</v>
      </c>
      <c r="D27" s="84">
        <f t="shared" si="1"/>
        <v>6.6662470999836826E-2</v>
      </c>
    </row>
    <row r="28" spans="1:5" x14ac:dyDescent="0.35">
      <c r="A28" s="71" t="s">
        <v>17</v>
      </c>
      <c r="B28" s="95">
        <v>3.46</v>
      </c>
      <c r="C28" s="103">
        <v>0.33</v>
      </c>
      <c r="D28" s="88">
        <f t="shared" si="1"/>
        <v>9.5375722543352609E-2</v>
      </c>
    </row>
    <row r="29" spans="1:5" x14ac:dyDescent="0.35">
      <c r="A29" s="6" t="s">
        <v>55</v>
      </c>
      <c r="B29" s="12">
        <v>3.46</v>
      </c>
      <c r="C29" s="55">
        <v>0.33</v>
      </c>
      <c r="D29" s="84">
        <f t="shared" si="1"/>
        <v>9.5375722543352609E-2</v>
      </c>
    </row>
    <row r="30" spans="1:5" x14ac:dyDescent="0.35">
      <c r="A30" s="71" t="s">
        <v>18</v>
      </c>
      <c r="B30" s="95">
        <v>2551.31</v>
      </c>
      <c r="C30" s="95">
        <v>410.35</v>
      </c>
      <c r="D30" s="88">
        <f t="shared" si="1"/>
        <v>0.16083894156335374</v>
      </c>
      <c r="E30" s="190"/>
    </row>
    <row r="31" spans="1:5" x14ac:dyDescent="0.35">
      <c r="A31" s="6" t="s">
        <v>18</v>
      </c>
      <c r="B31" s="12">
        <v>2551.31</v>
      </c>
      <c r="C31" s="12">
        <v>410.35</v>
      </c>
      <c r="D31" s="84">
        <f t="shared" si="1"/>
        <v>0.16083894156335374</v>
      </c>
    </row>
    <row r="32" spans="1:5" x14ac:dyDescent="0.35">
      <c r="A32" s="71" t="s">
        <v>22</v>
      </c>
      <c r="B32" s="95">
        <v>712.47</v>
      </c>
      <c r="C32" s="95">
        <v>256.08</v>
      </c>
      <c r="D32" s="88">
        <f t="shared" si="1"/>
        <v>0.35942566002779058</v>
      </c>
    </row>
    <row r="33" spans="1:9" x14ac:dyDescent="0.35">
      <c r="A33" s="6" t="s">
        <v>22</v>
      </c>
      <c r="B33" s="12">
        <v>712.47</v>
      </c>
      <c r="C33" s="12">
        <v>256.08</v>
      </c>
      <c r="D33" s="84">
        <f t="shared" si="1"/>
        <v>0.35942566002779058</v>
      </c>
    </row>
    <row r="34" spans="1:9" x14ac:dyDescent="0.35">
      <c r="A34" s="104" t="s">
        <v>25</v>
      </c>
      <c r="B34" s="96">
        <v>15539.720000000005</v>
      </c>
      <c r="C34" s="96">
        <f>SUM(C11,C20,C24,C28,C30,C32)</f>
        <v>1411.53</v>
      </c>
      <c r="D34" s="94">
        <f t="shared" si="1"/>
        <v>9.0833682974982788E-2</v>
      </c>
    </row>
    <row r="36" spans="1:9" x14ac:dyDescent="0.35">
      <c r="B36" s="141"/>
    </row>
    <row r="38" spans="1:9" ht="15" x14ac:dyDescent="0.35">
      <c r="A38" s="284" t="s">
        <v>79</v>
      </c>
    </row>
    <row r="39" spans="1:9" ht="18.5" x14ac:dyDescent="0.35">
      <c r="A39" s="287" t="s">
        <v>213</v>
      </c>
      <c r="B39" s="220"/>
    </row>
    <row r="40" spans="1:9" x14ac:dyDescent="0.35">
      <c r="F40" s="375" t="s">
        <v>225</v>
      </c>
    </row>
    <row r="41" spans="1:9" ht="43.5" x14ac:dyDescent="0.35">
      <c r="A41" s="373" t="s">
        <v>0</v>
      </c>
      <c r="B41" s="70" t="s">
        <v>81</v>
      </c>
      <c r="C41" s="70" t="s">
        <v>82</v>
      </c>
      <c r="D41" s="373" t="s">
        <v>83</v>
      </c>
      <c r="F41" s="342"/>
      <c r="G41" s="482" t="s">
        <v>251</v>
      </c>
      <c r="H41" s="482" t="s">
        <v>252</v>
      </c>
      <c r="I41" s="482" t="s">
        <v>246</v>
      </c>
    </row>
    <row r="42" spans="1:9" x14ac:dyDescent="0.35">
      <c r="A42" s="376" t="s">
        <v>5</v>
      </c>
      <c r="B42" s="377">
        <v>103.41</v>
      </c>
      <c r="C42" s="377">
        <f>SUM(C43:C48)</f>
        <v>98.759999999999991</v>
      </c>
      <c r="D42" s="88">
        <f>C42/B42</f>
        <v>0.95503336234406722</v>
      </c>
      <c r="E42" s="190">
        <f>C42/B63</f>
        <v>0.12753099173553711</v>
      </c>
      <c r="F42" s="507" t="str">
        <f>A42</f>
        <v>ANDALUCÍA</v>
      </c>
      <c r="G42" s="508">
        <f>C42</f>
        <v>98.759999999999991</v>
      </c>
      <c r="H42" s="508">
        <f>B42</f>
        <v>103.41</v>
      </c>
      <c r="I42" s="509">
        <f>G42/H42</f>
        <v>0.95503336234406722</v>
      </c>
    </row>
    <row r="43" spans="1:9" x14ac:dyDescent="0.35">
      <c r="A43" s="6" t="s">
        <v>6</v>
      </c>
      <c r="B43" s="12">
        <v>1.96</v>
      </c>
      <c r="C43" s="12">
        <v>1.96</v>
      </c>
      <c r="D43" s="84">
        <f>C43/B43</f>
        <v>1</v>
      </c>
      <c r="F43" s="507" t="str">
        <f>A53</f>
        <v>CATALUÑA</v>
      </c>
      <c r="G43" s="508">
        <f>C53</f>
        <v>19.57</v>
      </c>
      <c r="H43" s="508">
        <f>B53</f>
        <v>443.97000000000014</v>
      </c>
      <c r="I43" s="509">
        <f t="shared" ref="I43:I45" si="2">G43/H43</f>
        <v>4.4079554924882296E-2</v>
      </c>
    </row>
    <row r="44" spans="1:9" x14ac:dyDescent="0.35">
      <c r="A44" s="6" t="s">
        <v>7</v>
      </c>
      <c r="B44" s="12">
        <v>3</v>
      </c>
      <c r="C44" s="12"/>
      <c r="D44" s="84">
        <f t="shared" ref="D44:D63" si="3">C44/B44</f>
        <v>0</v>
      </c>
      <c r="F44" s="507" t="str">
        <f>A49</f>
        <v>C. VALENCIANA</v>
      </c>
      <c r="G44" s="508">
        <f>C49</f>
        <v>13.1</v>
      </c>
      <c r="H44" s="508">
        <f>B49</f>
        <v>136.87000000000003</v>
      </c>
      <c r="I44" s="509">
        <f t="shared" si="2"/>
        <v>9.5711258858771076E-2</v>
      </c>
    </row>
    <row r="45" spans="1:9" x14ac:dyDescent="0.35">
      <c r="A45" s="6" t="s">
        <v>8</v>
      </c>
      <c r="B45" s="12"/>
      <c r="C45" s="12"/>
      <c r="D45" s="84"/>
      <c r="F45" s="486" t="s">
        <v>308</v>
      </c>
      <c r="G45" s="487">
        <f>D5-(G42+G43+G44)</f>
        <v>4.8199999999999932</v>
      </c>
      <c r="H45" s="487">
        <f>B63-(H42+H43+H44)</f>
        <v>90.150000000000205</v>
      </c>
      <c r="I45" s="509">
        <f t="shared" si="2"/>
        <v>5.3466444814198363E-2</v>
      </c>
    </row>
    <row r="46" spans="1:9" x14ac:dyDescent="0.35">
      <c r="A46" s="6" t="s">
        <v>26</v>
      </c>
      <c r="B46" s="12">
        <v>1.04</v>
      </c>
      <c r="C46" s="12"/>
      <c r="D46" s="84">
        <f t="shared" si="3"/>
        <v>0</v>
      </c>
    </row>
    <row r="47" spans="1:9" x14ac:dyDescent="0.35">
      <c r="A47" s="6" t="s">
        <v>27</v>
      </c>
      <c r="B47" s="12">
        <v>93.38</v>
      </c>
      <c r="C47" s="12">
        <v>93.38</v>
      </c>
      <c r="D47" s="84">
        <f t="shared" si="3"/>
        <v>1</v>
      </c>
    </row>
    <row r="48" spans="1:9" x14ac:dyDescent="0.35">
      <c r="A48" s="6" t="s">
        <v>29</v>
      </c>
      <c r="B48" s="12">
        <v>4.03</v>
      </c>
      <c r="C48" s="12">
        <v>3.42</v>
      </c>
      <c r="D48" s="84">
        <f t="shared" si="3"/>
        <v>0.84863523573200983</v>
      </c>
    </row>
    <row r="49" spans="1:4" x14ac:dyDescent="0.35">
      <c r="A49" s="71" t="s">
        <v>13</v>
      </c>
      <c r="B49" s="95">
        <v>136.87000000000003</v>
      </c>
      <c r="C49" s="95">
        <f>SUM(C50:C52)</f>
        <v>13.1</v>
      </c>
      <c r="D49" s="88">
        <f t="shared" si="3"/>
        <v>9.5711258858771076E-2</v>
      </c>
    </row>
    <row r="50" spans="1:4" x14ac:dyDescent="0.35">
      <c r="A50" s="6" t="s">
        <v>34</v>
      </c>
      <c r="B50" s="12">
        <v>30.740000000000002</v>
      </c>
      <c r="C50" s="12">
        <v>7.34</v>
      </c>
      <c r="D50" s="84">
        <f t="shared" si="3"/>
        <v>0.23877683799609628</v>
      </c>
    </row>
    <row r="51" spans="1:4" x14ac:dyDescent="0.35">
      <c r="A51" s="6" t="s">
        <v>61</v>
      </c>
      <c r="B51" s="12">
        <v>16.329999999999998</v>
      </c>
      <c r="C51" s="12">
        <v>0.33</v>
      </c>
      <c r="D51" s="84">
        <f t="shared" si="3"/>
        <v>2.0208205756276795E-2</v>
      </c>
    </row>
    <row r="52" spans="1:4" x14ac:dyDescent="0.35">
      <c r="A52" s="6" t="s">
        <v>36</v>
      </c>
      <c r="B52" s="12">
        <v>89.80000000000004</v>
      </c>
      <c r="C52" s="12">
        <v>5.43</v>
      </c>
      <c r="D52" s="84">
        <f t="shared" si="3"/>
        <v>6.0467706013363001E-2</v>
      </c>
    </row>
    <row r="53" spans="1:4" x14ac:dyDescent="0.35">
      <c r="A53" s="71" t="s">
        <v>14</v>
      </c>
      <c r="B53" s="95">
        <v>443.97000000000014</v>
      </c>
      <c r="C53" s="95">
        <f>SUM(C54:C56)</f>
        <v>19.57</v>
      </c>
      <c r="D53" s="88">
        <f t="shared" si="3"/>
        <v>4.4079554924882296E-2</v>
      </c>
    </row>
    <row r="54" spans="1:4" x14ac:dyDescent="0.35">
      <c r="A54" s="6" t="s">
        <v>37</v>
      </c>
      <c r="B54" s="55">
        <v>0.71</v>
      </c>
      <c r="C54" s="12"/>
      <c r="D54" s="84">
        <f t="shared" si="3"/>
        <v>0</v>
      </c>
    </row>
    <row r="55" spans="1:4" x14ac:dyDescent="0.35">
      <c r="A55" s="6" t="s">
        <v>39</v>
      </c>
      <c r="B55" s="55">
        <v>0.77</v>
      </c>
      <c r="C55" s="12"/>
      <c r="D55" s="84">
        <f t="shared" si="3"/>
        <v>0</v>
      </c>
    </row>
    <row r="56" spans="1:4" x14ac:dyDescent="0.35">
      <c r="A56" s="6" t="s">
        <v>40</v>
      </c>
      <c r="B56" s="12">
        <v>442.49000000000012</v>
      </c>
      <c r="C56" s="12">
        <v>19.57</v>
      </c>
      <c r="D56" s="84">
        <f t="shared" si="3"/>
        <v>4.4226988180523841E-2</v>
      </c>
    </row>
    <row r="57" spans="1:4" x14ac:dyDescent="0.35">
      <c r="A57" s="71" t="s">
        <v>17</v>
      </c>
      <c r="B57" s="95">
        <v>0.56999999999999995</v>
      </c>
      <c r="C57" s="95">
        <v>0.56999999999999995</v>
      </c>
      <c r="D57" s="88">
        <f t="shared" si="3"/>
        <v>1</v>
      </c>
    </row>
    <row r="58" spans="1:4" x14ac:dyDescent="0.35">
      <c r="A58" s="6" t="s">
        <v>56</v>
      </c>
      <c r="B58" s="55">
        <v>0.56999999999999995</v>
      </c>
      <c r="C58" s="55">
        <v>0.56999999999999995</v>
      </c>
      <c r="D58" s="84">
        <f t="shared" si="3"/>
        <v>1</v>
      </c>
    </row>
    <row r="59" spans="1:4" x14ac:dyDescent="0.35">
      <c r="A59" s="71" t="s">
        <v>18</v>
      </c>
      <c r="B59" s="95">
        <v>16.91</v>
      </c>
      <c r="C59" s="102">
        <v>0.02</v>
      </c>
      <c r="D59" s="88">
        <f t="shared" si="3"/>
        <v>1.1827321111768185E-3</v>
      </c>
    </row>
    <row r="60" spans="1:4" x14ac:dyDescent="0.35">
      <c r="A60" s="6" t="s">
        <v>18</v>
      </c>
      <c r="B60" s="12">
        <v>16.91</v>
      </c>
      <c r="C60" s="54">
        <v>0.02</v>
      </c>
      <c r="D60" s="84">
        <f t="shared" si="3"/>
        <v>1.1827321111768185E-3</v>
      </c>
    </row>
    <row r="61" spans="1:4" x14ac:dyDescent="0.35">
      <c r="A61" s="71" t="s">
        <v>22</v>
      </c>
      <c r="B61" s="95">
        <v>72.670000000000016</v>
      </c>
      <c r="C61" s="95">
        <v>4.2300000000000004</v>
      </c>
      <c r="D61" s="88">
        <f t="shared" si="3"/>
        <v>5.8208339067015266E-2</v>
      </c>
    </row>
    <row r="62" spans="1:4" x14ac:dyDescent="0.35">
      <c r="A62" s="6" t="s">
        <v>22</v>
      </c>
      <c r="B62" s="12">
        <v>72.670000000000016</v>
      </c>
      <c r="C62" s="12">
        <v>4.2300000000000004</v>
      </c>
      <c r="D62" s="84">
        <f t="shared" si="3"/>
        <v>5.8208339067015266E-2</v>
      </c>
    </row>
    <row r="63" spans="1:4" x14ac:dyDescent="0.35">
      <c r="A63" s="104" t="s">
        <v>25</v>
      </c>
      <c r="B63" s="96">
        <v>774.40000000000032</v>
      </c>
      <c r="C63" s="96">
        <f>SUM(C42,C49,C53,C57,C59,C61)</f>
        <v>136.24999999999997</v>
      </c>
      <c r="D63" s="94">
        <f t="shared" si="3"/>
        <v>0.17594266528925609</v>
      </c>
    </row>
    <row r="66" spans="2:2" x14ac:dyDescent="0.35">
      <c r="B66" s="141"/>
    </row>
  </sheetData>
  <conditionalFormatting sqref="G44:H44">
    <cfRule type="cellIs" dxfId="3" priority="1" operator="lessThan">
      <formula>0</formula>
    </cfRule>
  </conditionalFormatting>
  <conditionalFormatting sqref="G11:H12">
    <cfRule type="cellIs" dxfId="2" priority="4" operator="lessThan">
      <formula>0</formula>
    </cfRule>
  </conditionalFormatting>
  <conditionalFormatting sqref="G13:H15">
    <cfRule type="cellIs" dxfId="1" priority="3" operator="lessThan">
      <formula>0</formula>
    </cfRule>
  </conditionalFormatting>
  <conditionalFormatting sqref="G42:H43">
    <cfRule type="cellIs" dxfId="0" priority="2" operator="lessThan">
      <formula>0</formula>
    </cfRule>
  </conditionalFormatting>
  <hyperlinks>
    <hyperlink ref="B1" r:id="rId1" xr:uid="{00000000-0004-0000-0B00-000000000000}"/>
    <hyperlink ref="M1" location="ÍNDICE!A1" display="ÍNDICE!A1" xr:uid="{00000000-0004-0000-0B00-000001000000}"/>
    <hyperlink ref="A4" location="'ALG-ECO'!A7" display="ALGARROBO - SECANO" xr:uid="{00000000-0004-0000-0B00-000002000000}"/>
    <hyperlink ref="A5" location="'ALG-ECO'!A38" display="ALGARROBO - REGADÍO" xr:uid="{00000000-0004-0000-0B00-000003000000}"/>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autoPageBreaks="0"/>
  </sheetPr>
  <dimension ref="A1:GL495"/>
  <sheetViews>
    <sheetView topLeftCell="A267" zoomScale="55" zoomScaleNormal="55" workbookViewId="0">
      <pane xSplit="1" topLeftCell="Q1" activePane="topRight" state="frozen"/>
      <selection activeCell="A165" sqref="A165"/>
      <selection pane="topRight" activeCell="J487" sqref="J487"/>
    </sheetView>
  </sheetViews>
  <sheetFormatPr baseColWidth="10" defaultRowHeight="14.5" x14ac:dyDescent="0.35"/>
  <cols>
    <col min="1" max="1" width="36.1796875" customWidth="1"/>
    <col min="2" max="2" width="13" customWidth="1"/>
    <col min="3" max="23" width="10.81640625" customWidth="1"/>
    <col min="24" max="24" width="17" bestFit="1" customWidth="1"/>
    <col min="25" max="25" width="23.81640625" customWidth="1"/>
    <col min="26" max="26" width="19.453125" bestFit="1" customWidth="1"/>
    <col min="27" max="27" width="15.81640625" customWidth="1"/>
    <col min="28" max="28" width="7.1796875" customWidth="1"/>
    <col min="29" max="29" width="17.1796875" customWidth="1"/>
    <col min="30" max="30" width="19.1796875" bestFit="1" customWidth="1"/>
    <col min="31" max="31" width="15.453125" bestFit="1" customWidth="1"/>
    <col min="32" max="32" width="19.54296875" bestFit="1" customWidth="1"/>
    <col min="33" max="33" width="14.54296875" customWidth="1"/>
    <col min="34" max="34" width="17.1796875" bestFit="1" customWidth="1"/>
    <col min="35" max="35" width="13.453125" customWidth="1"/>
    <col min="36" max="36" width="22" bestFit="1" customWidth="1"/>
    <col min="37" max="37" width="15.81640625" bestFit="1" customWidth="1"/>
    <col min="39" max="39" width="13.6328125" customWidth="1"/>
    <col min="40" max="40" width="15.81640625" customWidth="1"/>
    <col min="41" max="41" width="14.81640625" customWidth="1"/>
    <col min="42" max="42" width="17.54296875" customWidth="1"/>
    <col min="44" max="44" width="15.1796875" customWidth="1"/>
  </cols>
  <sheetData>
    <row r="1" spans="1:34" x14ac:dyDescent="0.35">
      <c r="A1" s="240" t="s">
        <v>10</v>
      </c>
      <c r="B1" s="2" t="s">
        <v>9</v>
      </c>
      <c r="C1" s="3"/>
      <c r="D1" s="3"/>
      <c r="P1" s="286" t="s">
        <v>143</v>
      </c>
      <c r="Q1" s="2" t="s">
        <v>144</v>
      </c>
    </row>
    <row r="4" spans="1:34" ht="17.5" x14ac:dyDescent="0.35">
      <c r="A4" s="291" t="s">
        <v>103</v>
      </c>
      <c r="B4" t="s">
        <v>243</v>
      </c>
      <c r="C4" s="307"/>
    </row>
    <row r="5" spans="1:34" x14ac:dyDescent="0.35">
      <c r="A5" s="387" t="s">
        <v>124</v>
      </c>
      <c r="B5" s="308" t="s">
        <v>223</v>
      </c>
      <c r="C5" s="309" t="s">
        <v>224</v>
      </c>
      <c r="D5" s="110"/>
      <c r="E5" s="525"/>
      <c r="F5" s="111"/>
      <c r="G5" s="111"/>
    </row>
    <row r="6" spans="1:34" x14ac:dyDescent="0.35">
      <c r="A6" s="387" t="s">
        <v>258</v>
      </c>
      <c r="B6" s="308" t="s">
        <v>223</v>
      </c>
      <c r="C6" s="309" t="s">
        <v>224</v>
      </c>
      <c r="D6" s="110"/>
    </row>
    <row r="7" spans="1:34" x14ac:dyDescent="0.35">
      <c r="A7" s="387" t="s">
        <v>213</v>
      </c>
      <c r="B7" s="308" t="s">
        <v>223</v>
      </c>
      <c r="C7" s="309" t="s">
        <v>224</v>
      </c>
      <c r="D7" s="110"/>
    </row>
    <row r="8" spans="1:34" x14ac:dyDescent="0.35">
      <c r="E8" s="110"/>
    </row>
    <row r="9" spans="1:34" ht="23.5" x14ac:dyDescent="0.35">
      <c r="A9" s="289" t="s">
        <v>11</v>
      </c>
      <c r="B9" s="289"/>
      <c r="C9" s="120"/>
      <c r="D9" s="120"/>
    </row>
    <row r="10" spans="1:34" ht="15.5" x14ac:dyDescent="0.35">
      <c r="A10" s="237" t="s">
        <v>136</v>
      </c>
    </row>
    <row r="11" spans="1:34" ht="18.5" x14ac:dyDescent="0.45">
      <c r="A11" s="108"/>
      <c r="D11" s="109"/>
      <c r="AA11" s="110"/>
      <c r="AB11" s="111"/>
    </row>
    <row r="12" spans="1:34" ht="39" x14ac:dyDescent="0.35">
      <c r="A12" s="213" t="s">
        <v>88</v>
      </c>
      <c r="B12" s="195" t="s">
        <v>89</v>
      </c>
      <c r="C12" s="195">
        <v>2000</v>
      </c>
      <c r="D12" s="195">
        <v>2001</v>
      </c>
      <c r="E12" s="195">
        <v>2002</v>
      </c>
      <c r="F12" s="195">
        <v>2003</v>
      </c>
      <c r="G12" s="195">
        <v>2004</v>
      </c>
      <c r="H12" s="195">
        <v>2005</v>
      </c>
      <c r="I12" s="195">
        <v>2006</v>
      </c>
      <c r="J12" s="195">
        <v>2007</v>
      </c>
      <c r="K12" s="195">
        <v>2008</v>
      </c>
      <c r="L12" s="195">
        <v>2009</v>
      </c>
      <c r="M12" s="195">
        <v>2010</v>
      </c>
      <c r="N12" s="195">
        <v>2011</v>
      </c>
      <c r="O12" s="195">
        <v>2012</v>
      </c>
      <c r="P12" s="195">
        <v>2013</v>
      </c>
      <c r="Q12" s="195">
        <v>2014</v>
      </c>
      <c r="R12" s="195">
        <v>2015</v>
      </c>
      <c r="S12" s="195">
        <v>2016</v>
      </c>
      <c r="T12" s="195">
        <v>2017</v>
      </c>
      <c r="U12" s="195">
        <v>2018</v>
      </c>
      <c r="V12" s="195">
        <v>2019</v>
      </c>
      <c r="W12" s="195">
        <v>2020</v>
      </c>
      <c r="X12" s="195">
        <v>2021</v>
      </c>
      <c r="Y12" s="195" t="s">
        <v>90</v>
      </c>
      <c r="Z12" s="195" t="s">
        <v>91</v>
      </c>
      <c r="AA12" s="187" t="s">
        <v>92</v>
      </c>
      <c r="AB12" s="112"/>
      <c r="AC12" s="187" t="s">
        <v>93</v>
      </c>
      <c r="AD12" s="187" t="s">
        <v>107</v>
      </c>
      <c r="AE12" s="187" t="s">
        <v>94</v>
      </c>
      <c r="AF12" s="187" t="s">
        <v>95</v>
      </c>
      <c r="AG12" s="187" t="s">
        <v>96</v>
      </c>
      <c r="AH12" s="187" t="s">
        <v>97</v>
      </c>
    </row>
    <row r="13" spans="1:34" x14ac:dyDescent="0.35">
      <c r="A13" s="116" t="s">
        <v>5</v>
      </c>
      <c r="B13" s="117">
        <f t="shared" ref="B13:Z13" si="0">B319+B166</f>
        <v>68691.810000000027</v>
      </c>
      <c r="C13" s="117">
        <f t="shared" si="0"/>
        <v>9925.7999999999993</v>
      </c>
      <c r="D13" s="117">
        <f t="shared" si="0"/>
        <v>1031.1799999999998</v>
      </c>
      <c r="E13" s="117">
        <f t="shared" si="0"/>
        <v>1544.94</v>
      </c>
      <c r="F13" s="117">
        <f t="shared" si="0"/>
        <v>1163.23</v>
      </c>
      <c r="G13" s="117">
        <f t="shared" si="0"/>
        <v>2480.77</v>
      </c>
      <c r="H13" s="117">
        <f t="shared" si="0"/>
        <v>2661.0899999999997</v>
      </c>
      <c r="I13" s="117">
        <f t="shared" si="0"/>
        <v>1695.2599999999995</v>
      </c>
      <c r="J13" s="117">
        <f t="shared" si="0"/>
        <v>2650.87</v>
      </c>
      <c r="K13" s="117">
        <f t="shared" si="0"/>
        <v>1287.26</v>
      </c>
      <c r="L13" s="117">
        <f t="shared" si="0"/>
        <v>1909.4200000000003</v>
      </c>
      <c r="M13" s="117">
        <f t="shared" si="0"/>
        <v>1855.31</v>
      </c>
      <c r="N13" s="117">
        <f t="shared" si="0"/>
        <v>675.24</v>
      </c>
      <c r="O13" s="117">
        <f t="shared" si="0"/>
        <v>1368.3200000000002</v>
      </c>
      <c r="P13" s="117">
        <f t="shared" si="0"/>
        <v>1645.37</v>
      </c>
      <c r="Q13" s="117">
        <f t="shared" si="0"/>
        <v>3561.7200000000003</v>
      </c>
      <c r="R13" s="117">
        <f t="shared" si="0"/>
        <v>6369.7699999999995</v>
      </c>
      <c r="S13" s="117">
        <f t="shared" si="0"/>
        <v>7942.2500000000009</v>
      </c>
      <c r="T13" s="117">
        <f t="shared" si="0"/>
        <v>8259.840000000002</v>
      </c>
      <c r="U13" s="117">
        <f t="shared" si="0"/>
        <v>5523.11</v>
      </c>
      <c r="V13" s="117">
        <f t="shared" si="0"/>
        <v>5272.6799999999994</v>
      </c>
      <c r="W13" s="117">
        <f t="shared" si="0"/>
        <v>6064.9299999999985</v>
      </c>
      <c r="X13" s="117">
        <f t="shared" si="0"/>
        <v>4047.92</v>
      </c>
      <c r="Y13" s="117">
        <f t="shared" si="0"/>
        <v>87.529999999999944</v>
      </c>
      <c r="Z13" s="117">
        <f t="shared" si="0"/>
        <v>147715.62000000002</v>
      </c>
      <c r="AA13" s="151">
        <f t="shared" ref="AA13:AA44" si="1">Z13/$Z$66</f>
        <v>0.29499955535067329</v>
      </c>
      <c r="AB13" s="113"/>
      <c r="AC13" s="117">
        <f>SUM(B13:T13)</f>
        <v>126719.45000000001</v>
      </c>
      <c r="AD13" s="117">
        <f>SUM(U13:X13)</f>
        <v>20908.64</v>
      </c>
      <c r="AE13" s="117">
        <f t="shared" ref="AE13:AE66" si="2">Y13</f>
        <v>87.529999999999944</v>
      </c>
      <c r="AF13" s="117">
        <v>326.75139999999999</v>
      </c>
      <c r="AG13" s="117">
        <f>SUM(AC13:AF13)</f>
        <v>148042.37140000003</v>
      </c>
      <c r="AH13" s="185">
        <f t="shared" ref="AH13:AH44" si="3">AD13/AG13</f>
        <v>0.14123416020881163</v>
      </c>
    </row>
    <row r="14" spans="1:34" x14ac:dyDescent="0.35">
      <c r="A14" s="6" t="s">
        <v>6</v>
      </c>
      <c r="B14" s="12">
        <f t="shared" ref="B14:Z14" si="4">B320+B167</f>
        <v>24355.48000000001</v>
      </c>
      <c r="C14" s="12">
        <f t="shared" si="4"/>
        <v>4463.3</v>
      </c>
      <c r="D14" s="12">
        <f t="shared" si="4"/>
        <v>453.45000000000005</v>
      </c>
      <c r="E14" s="12">
        <f t="shared" si="4"/>
        <v>613.43999999999994</v>
      </c>
      <c r="F14" s="12">
        <f t="shared" si="4"/>
        <v>456.50000000000011</v>
      </c>
      <c r="G14" s="12">
        <f t="shared" si="4"/>
        <v>920.68000000000006</v>
      </c>
      <c r="H14" s="12">
        <f t="shared" si="4"/>
        <v>1076.56</v>
      </c>
      <c r="I14" s="12">
        <f t="shared" si="4"/>
        <v>383.86999999999995</v>
      </c>
      <c r="J14" s="12">
        <f t="shared" si="4"/>
        <v>655.49</v>
      </c>
      <c r="K14" s="12">
        <f t="shared" si="4"/>
        <v>312.06</v>
      </c>
      <c r="L14" s="12">
        <f t="shared" si="4"/>
        <v>789.6400000000001</v>
      </c>
      <c r="M14" s="12">
        <f t="shared" si="4"/>
        <v>603.5</v>
      </c>
      <c r="N14" s="12">
        <f t="shared" si="4"/>
        <v>164.43</v>
      </c>
      <c r="O14" s="12">
        <f t="shared" si="4"/>
        <v>330.98</v>
      </c>
      <c r="P14" s="12">
        <f t="shared" si="4"/>
        <v>324.44999999999993</v>
      </c>
      <c r="Q14" s="12">
        <f t="shared" si="4"/>
        <v>761.41</v>
      </c>
      <c r="R14" s="12">
        <f t="shared" si="4"/>
        <v>1189.4099999999999</v>
      </c>
      <c r="S14" s="12">
        <f t="shared" si="4"/>
        <v>1437.3700000000001</v>
      </c>
      <c r="T14" s="12">
        <f t="shared" si="4"/>
        <v>1216.6899999999998</v>
      </c>
      <c r="U14" s="12">
        <f t="shared" si="4"/>
        <v>1136.47</v>
      </c>
      <c r="V14" s="12">
        <f t="shared" si="4"/>
        <v>1228.5800000000004</v>
      </c>
      <c r="W14" s="12">
        <f t="shared" si="4"/>
        <v>761.37999999999988</v>
      </c>
      <c r="X14" s="12">
        <f t="shared" si="4"/>
        <v>427.39</v>
      </c>
      <c r="Y14" s="12">
        <f t="shared" si="4"/>
        <v>35.749999999999972</v>
      </c>
      <c r="Z14" s="12">
        <f t="shared" si="4"/>
        <v>44098.280000000013</v>
      </c>
      <c r="AA14" s="150">
        <f t="shared" si="1"/>
        <v>8.8067687030860306E-2</v>
      </c>
      <c r="AC14" s="89">
        <f t="shared" ref="AC14:AC63" si="5">SUM(B14:T14)</f>
        <v>40508.710000000014</v>
      </c>
      <c r="AD14" s="89">
        <f t="shared" ref="AD14:AD63" si="6">SUM(U14:X14)</f>
        <v>3553.82</v>
      </c>
      <c r="AE14" s="89">
        <f t="shared" si="2"/>
        <v>35.749999999999972</v>
      </c>
      <c r="AF14" s="175">
        <v>71.527299999999997</v>
      </c>
      <c r="AG14" s="175">
        <f>SUM(AC14:AF14)</f>
        <v>44169.807300000015</v>
      </c>
      <c r="AH14" s="193">
        <f t="shared" si="3"/>
        <v>8.0458127785402386E-2</v>
      </c>
    </row>
    <row r="15" spans="1:34" x14ac:dyDescent="0.35">
      <c r="A15" s="6" t="s">
        <v>7</v>
      </c>
      <c r="B15" s="12">
        <f t="shared" ref="B15:Z15" si="7">B321+B168</f>
        <v>62.48</v>
      </c>
      <c r="C15" s="12">
        <f t="shared" si="7"/>
        <v>6.4399999999999995</v>
      </c>
      <c r="D15" s="12">
        <f t="shared" si="7"/>
        <v>0</v>
      </c>
      <c r="E15" s="12">
        <f t="shared" si="7"/>
        <v>1.38</v>
      </c>
      <c r="F15" s="12">
        <f t="shared" si="7"/>
        <v>0</v>
      </c>
      <c r="G15" s="12">
        <f t="shared" si="7"/>
        <v>1.9</v>
      </c>
      <c r="H15" s="12">
        <f t="shared" si="7"/>
        <v>0.03</v>
      </c>
      <c r="I15" s="12">
        <f t="shared" si="7"/>
        <v>0</v>
      </c>
      <c r="J15" s="12">
        <f t="shared" si="7"/>
        <v>27.38</v>
      </c>
      <c r="K15" s="12">
        <f t="shared" si="7"/>
        <v>4.34</v>
      </c>
      <c r="L15" s="12">
        <f t="shared" si="7"/>
        <v>0.54</v>
      </c>
      <c r="M15" s="12">
        <f t="shared" si="7"/>
        <v>8.9400000000000013</v>
      </c>
      <c r="N15" s="12">
        <f t="shared" si="7"/>
        <v>0.3</v>
      </c>
      <c r="O15" s="12">
        <f t="shared" si="7"/>
        <v>0.21</v>
      </c>
      <c r="P15" s="12">
        <f t="shared" si="7"/>
        <v>14.719999999999999</v>
      </c>
      <c r="Q15" s="12">
        <f t="shared" si="7"/>
        <v>22.96</v>
      </c>
      <c r="R15" s="12">
        <f t="shared" si="7"/>
        <v>79.919999999999987</v>
      </c>
      <c r="S15" s="12">
        <f t="shared" si="7"/>
        <v>76.97</v>
      </c>
      <c r="T15" s="12">
        <f t="shared" si="7"/>
        <v>147.76</v>
      </c>
      <c r="U15" s="12">
        <f t="shared" si="7"/>
        <v>51.210000000000008</v>
      </c>
      <c r="V15" s="12">
        <f t="shared" si="7"/>
        <v>81.550000000000011</v>
      </c>
      <c r="W15" s="12">
        <f t="shared" si="7"/>
        <v>235.14999999999998</v>
      </c>
      <c r="X15" s="12">
        <f t="shared" si="7"/>
        <v>337.99</v>
      </c>
      <c r="Y15" s="12">
        <f t="shared" si="7"/>
        <v>0.60000000000000009</v>
      </c>
      <c r="Z15" s="12">
        <f t="shared" si="7"/>
        <v>1162.77</v>
      </c>
      <c r="AA15" s="150">
        <f t="shared" si="1"/>
        <v>2.3221419168474012E-3</v>
      </c>
      <c r="AC15" s="89">
        <f t="shared" si="5"/>
        <v>456.27</v>
      </c>
      <c r="AD15" s="89">
        <f t="shared" si="6"/>
        <v>705.9</v>
      </c>
      <c r="AE15" s="89">
        <f t="shared" si="2"/>
        <v>0.60000000000000009</v>
      </c>
      <c r="AF15" s="175">
        <v>0.1275</v>
      </c>
      <c r="AG15" s="175">
        <f t="shared" ref="AG15:AG33" si="8">SUM(AC15:AF15)</f>
        <v>1162.8975</v>
      </c>
      <c r="AH15" s="193">
        <f t="shared" si="3"/>
        <v>0.60701824537416238</v>
      </c>
    </row>
    <row r="16" spans="1:34" x14ac:dyDescent="0.35">
      <c r="A16" s="6" t="s">
        <v>8</v>
      </c>
      <c r="B16" s="12">
        <f t="shared" ref="B16:Z16" si="9">B322+B169</f>
        <v>297.25</v>
      </c>
      <c r="C16" s="12">
        <f t="shared" si="9"/>
        <v>14.65</v>
      </c>
      <c r="D16" s="12">
        <f t="shared" si="9"/>
        <v>4.57</v>
      </c>
      <c r="E16" s="12">
        <f t="shared" si="9"/>
        <v>1.28</v>
      </c>
      <c r="F16" s="12">
        <f t="shared" si="9"/>
        <v>0</v>
      </c>
      <c r="G16" s="12">
        <f t="shared" si="9"/>
        <v>2.62</v>
      </c>
      <c r="H16" s="12">
        <f t="shared" si="9"/>
        <v>1.05</v>
      </c>
      <c r="I16" s="12">
        <f t="shared" si="9"/>
        <v>0.77</v>
      </c>
      <c r="J16" s="12">
        <f t="shared" si="9"/>
        <v>28.18</v>
      </c>
      <c r="K16" s="12">
        <f t="shared" si="9"/>
        <v>0</v>
      </c>
      <c r="L16" s="12">
        <f t="shared" si="9"/>
        <v>0.1</v>
      </c>
      <c r="M16" s="12">
        <f t="shared" si="9"/>
        <v>15.93</v>
      </c>
      <c r="N16" s="12">
        <f t="shared" si="9"/>
        <v>22.63</v>
      </c>
      <c r="O16" s="12">
        <f t="shared" si="9"/>
        <v>0</v>
      </c>
      <c r="P16" s="12">
        <f t="shared" si="9"/>
        <v>43.7</v>
      </c>
      <c r="Q16" s="12">
        <f t="shared" si="9"/>
        <v>46.099999999999994</v>
      </c>
      <c r="R16" s="12">
        <f t="shared" si="9"/>
        <v>263.40000000000003</v>
      </c>
      <c r="S16" s="12">
        <f t="shared" si="9"/>
        <v>327.59000000000003</v>
      </c>
      <c r="T16" s="12">
        <f t="shared" si="9"/>
        <v>319.52999999999997</v>
      </c>
      <c r="U16" s="12">
        <f t="shared" si="9"/>
        <v>327.44</v>
      </c>
      <c r="V16" s="12">
        <f t="shared" si="9"/>
        <v>1067.0899999999999</v>
      </c>
      <c r="W16" s="12">
        <f t="shared" si="9"/>
        <v>1742.7499999999995</v>
      </c>
      <c r="X16" s="12">
        <f t="shared" si="9"/>
        <v>489.59999999999991</v>
      </c>
      <c r="Y16" s="12">
        <f t="shared" si="9"/>
        <v>1.36</v>
      </c>
      <c r="Z16" s="12">
        <f t="shared" si="9"/>
        <v>5017.59</v>
      </c>
      <c r="AA16" s="150">
        <f t="shared" si="1"/>
        <v>1.0020516577271817E-2</v>
      </c>
      <c r="AC16" s="89">
        <f t="shared" si="5"/>
        <v>1389.3500000000001</v>
      </c>
      <c r="AD16" s="89">
        <f t="shared" si="6"/>
        <v>3626.8799999999997</v>
      </c>
      <c r="AE16" s="89">
        <f t="shared" si="2"/>
        <v>1.36</v>
      </c>
      <c r="AF16" s="175">
        <v>24</v>
      </c>
      <c r="AG16" s="175">
        <f t="shared" si="8"/>
        <v>5041.5899999999992</v>
      </c>
      <c r="AH16" s="193">
        <f t="shared" si="3"/>
        <v>0.71939209654097225</v>
      </c>
    </row>
    <row r="17" spans="1:44" x14ac:dyDescent="0.35">
      <c r="A17" s="6" t="s">
        <v>26</v>
      </c>
      <c r="B17" s="12">
        <f t="shared" ref="B17:Z17" si="10">B323+B170</f>
        <v>36921.360000000022</v>
      </c>
      <c r="C17" s="12">
        <f t="shared" si="10"/>
        <v>4980.1799999999994</v>
      </c>
      <c r="D17" s="12">
        <f t="shared" si="10"/>
        <v>552.92999999999995</v>
      </c>
      <c r="E17" s="12">
        <f t="shared" si="10"/>
        <v>886.60000000000014</v>
      </c>
      <c r="F17" s="12">
        <f t="shared" si="10"/>
        <v>683.46999999999991</v>
      </c>
      <c r="G17" s="12">
        <f t="shared" si="10"/>
        <v>1372.7000000000003</v>
      </c>
      <c r="H17" s="12">
        <f t="shared" si="10"/>
        <v>1523.1999999999998</v>
      </c>
      <c r="I17" s="12">
        <f t="shared" si="10"/>
        <v>1263.5199999999995</v>
      </c>
      <c r="J17" s="12">
        <f t="shared" si="10"/>
        <v>1845.1200000000001</v>
      </c>
      <c r="K17" s="12">
        <f t="shared" si="10"/>
        <v>838.7</v>
      </c>
      <c r="L17" s="12">
        <f t="shared" si="10"/>
        <v>996.21999999999991</v>
      </c>
      <c r="M17" s="12">
        <f t="shared" si="10"/>
        <v>1166.52</v>
      </c>
      <c r="N17" s="12">
        <f t="shared" si="10"/>
        <v>463.74000000000007</v>
      </c>
      <c r="O17" s="12">
        <f t="shared" si="10"/>
        <v>989.95000000000016</v>
      </c>
      <c r="P17" s="12">
        <f t="shared" si="10"/>
        <v>1188.5899999999999</v>
      </c>
      <c r="Q17" s="12">
        <f t="shared" si="10"/>
        <v>2472.3300000000008</v>
      </c>
      <c r="R17" s="12">
        <f t="shared" si="10"/>
        <v>4156.5999999999995</v>
      </c>
      <c r="S17" s="12">
        <f t="shared" si="10"/>
        <v>5080.16</v>
      </c>
      <c r="T17" s="12">
        <f t="shared" si="10"/>
        <v>5606.1600000000017</v>
      </c>
      <c r="U17" s="12">
        <f t="shared" si="10"/>
        <v>3463.3199999999997</v>
      </c>
      <c r="V17" s="12">
        <f t="shared" si="10"/>
        <v>2426.0299999999997</v>
      </c>
      <c r="W17" s="12">
        <f t="shared" si="10"/>
        <v>2266.8399999999992</v>
      </c>
      <c r="X17" s="12">
        <f t="shared" si="10"/>
        <v>1341.67</v>
      </c>
      <c r="Y17" s="12">
        <f t="shared" si="10"/>
        <v>39.309999999999981</v>
      </c>
      <c r="Z17" s="12">
        <f t="shared" si="10"/>
        <v>82525.22000000003</v>
      </c>
      <c r="AA17" s="150">
        <f t="shared" si="1"/>
        <v>0.16480926800575657</v>
      </c>
      <c r="AC17" s="89">
        <f t="shared" si="5"/>
        <v>72988.05</v>
      </c>
      <c r="AD17" s="89">
        <f t="shared" si="6"/>
        <v>9497.8599999999988</v>
      </c>
      <c r="AE17" s="89">
        <f t="shared" si="2"/>
        <v>39.309999999999981</v>
      </c>
      <c r="AF17" s="175">
        <v>61.968400000000003</v>
      </c>
      <c r="AG17" s="175">
        <f t="shared" si="8"/>
        <v>82587.188399999999</v>
      </c>
      <c r="AH17" s="193">
        <f t="shared" si="3"/>
        <v>0.11500403614660405</v>
      </c>
    </row>
    <row r="18" spans="1:44" x14ac:dyDescent="0.35">
      <c r="A18" s="6" t="s">
        <v>27</v>
      </c>
      <c r="B18" s="12">
        <f t="shared" ref="B18:Z18" si="11">B324+B171</f>
        <v>71.19</v>
      </c>
      <c r="C18" s="12">
        <f t="shared" si="11"/>
        <v>11.02</v>
      </c>
      <c r="D18" s="12">
        <f t="shared" si="11"/>
        <v>2.94</v>
      </c>
      <c r="E18" s="12">
        <f t="shared" si="11"/>
        <v>0</v>
      </c>
      <c r="F18" s="12">
        <f t="shared" si="11"/>
        <v>0</v>
      </c>
      <c r="G18" s="12">
        <f t="shared" si="11"/>
        <v>0</v>
      </c>
      <c r="H18" s="12">
        <f t="shared" si="11"/>
        <v>1.38</v>
      </c>
      <c r="I18" s="12">
        <f t="shared" si="11"/>
        <v>0</v>
      </c>
      <c r="J18" s="12">
        <f t="shared" si="11"/>
        <v>20.329999999999998</v>
      </c>
      <c r="K18" s="12">
        <f t="shared" si="11"/>
        <v>3.22</v>
      </c>
      <c r="L18" s="12">
        <f t="shared" si="11"/>
        <v>31.89</v>
      </c>
      <c r="M18" s="12">
        <f t="shared" si="11"/>
        <v>0.19</v>
      </c>
      <c r="N18" s="12">
        <f t="shared" si="11"/>
        <v>0</v>
      </c>
      <c r="O18" s="12">
        <f t="shared" si="11"/>
        <v>5.7700000000000005</v>
      </c>
      <c r="P18" s="12">
        <f t="shared" si="11"/>
        <v>5.84</v>
      </c>
      <c r="Q18" s="12">
        <f t="shared" si="11"/>
        <v>77.970000000000013</v>
      </c>
      <c r="R18" s="12">
        <f t="shared" si="11"/>
        <v>32.049999999999997</v>
      </c>
      <c r="S18" s="12">
        <f t="shared" si="11"/>
        <v>33.520000000000003</v>
      </c>
      <c r="T18" s="12">
        <f t="shared" si="11"/>
        <v>105.75</v>
      </c>
      <c r="U18" s="12">
        <f t="shared" si="11"/>
        <v>25.43</v>
      </c>
      <c r="V18" s="12">
        <f t="shared" si="11"/>
        <v>9.5399999999999991</v>
      </c>
      <c r="W18" s="12">
        <f t="shared" si="11"/>
        <v>60.75</v>
      </c>
      <c r="X18" s="12">
        <f t="shared" si="11"/>
        <v>150.80000000000001</v>
      </c>
      <c r="Y18" s="12">
        <f t="shared" si="11"/>
        <v>0.37</v>
      </c>
      <c r="Z18" s="12">
        <f t="shared" si="11"/>
        <v>649.95000000000005</v>
      </c>
      <c r="AA18" s="150">
        <f t="shared" si="1"/>
        <v>1.298000583825665E-3</v>
      </c>
      <c r="AC18" s="89">
        <f t="shared" si="5"/>
        <v>403.06</v>
      </c>
      <c r="AD18" s="89">
        <f t="shared" si="6"/>
        <v>246.52</v>
      </c>
      <c r="AE18" s="89">
        <f t="shared" si="2"/>
        <v>0.37</v>
      </c>
      <c r="AF18" s="175">
        <v>0</v>
      </c>
      <c r="AG18" s="175">
        <f t="shared" si="8"/>
        <v>649.95000000000005</v>
      </c>
      <c r="AH18" s="193">
        <f t="shared" si="3"/>
        <v>0.37929071467035924</v>
      </c>
    </row>
    <row r="19" spans="1:44" x14ac:dyDescent="0.35">
      <c r="A19" s="6" t="s">
        <v>28</v>
      </c>
      <c r="B19" s="12">
        <f t="shared" ref="B19:Z19" si="12">B325+B172</f>
        <v>1201.94</v>
      </c>
      <c r="C19" s="12">
        <f t="shared" si="12"/>
        <v>124.58999999999999</v>
      </c>
      <c r="D19" s="12">
        <f t="shared" si="12"/>
        <v>6.6300000000000008</v>
      </c>
      <c r="E19" s="12">
        <f t="shared" si="12"/>
        <v>15.95</v>
      </c>
      <c r="F19" s="12">
        <f t="shared" si="12"/>
        <v>11.51</v>
      </c>
      <c r="G19" s="12">
        <f t="shared" si="12"/>
        <v>35.349999999999994</v>
      </c>
      <c r="H19" s="12">
        <f t="shared" si="12"/>
        <v>37.800000000000004</v>
      </c>
      <c r="I19" s="12">
        <f t="shared" si="12"/>
        <v>3.4299999999999997</v>
      </c>
      <c r="J19" s="12">
        <f t="shared" si="12"/>
        <v>18.32</v>
      </c>
      <c r="K19" s="12">
        <f t="shared" si="12"/>
        <v>64.540000000000006</v>
      </c>
      <c r="L19" s="12">
        <f t="shared" si="12"/>
        <v>14.57</v>
      </c>
      <c r="M19" s="12">
        <f t="shared" si="12"/>
        <v>34.370000000000005</v>
      </c>
      <c r="N19" s="12">
        <f t="shared" si="12"/>
        <v>1.25</v>
      </c>
      <c r="O19" s="12">
        <f t="shared" si="12"/>
        <v>15.59</v>
      </c>
      <c r="P19" s="12">
        <f t="shared" si="12"/>
        <v>31.310000000000002</v>
      </c>
      <c r="Q19" s="12">
        <f t="shared" si="12"/>
        <v>33.210000000000008</v>
      </c>
      <c r="R19" s="12">
        <f t="shared" si="12"/>
        <v>228.42999999999998</v>
      </c>
      <c r="S19" s="12">
        <f t="shared" si="12"/>
        <v>340.01</v>
      </c>
      <c r="T19" s="12">
        <f t="shared" si="12"/>
        <v>314.62000000000006</v>
      </c>
      <c r="U19" s="12">
        <f t="shared" si="12"/>
        <v>123.62999999999998</v>
      </c>
      <c r="V19" s="12">
        <f t="shared" si="12"/>
        <v>91.769999999999982</v>
      </c>
      <c r="W19" s="12">
        <f t="shared" si="12"/>
        <v>250.45999999999998</v>
      </c>
      <c r="X19" s="12">
        <f t="shared" si="12"/>
        <v>239.33</v>
      </c>
      <c r="Y19" s="12">
        <f t="shared" si="12"/>
        <v>2.42</v>
      </c>
      <c r="Z19" s="12">
        <f t="shared" si="12"/>
        <v>3241.0299999999997</v>
      </c>
      <c r="AA19" s="150">
        <f t="shared" si="1"/>
        <v>6.4725884024871057E-3</v>
      </c>
      <c r="AC19" s="89">
        <f t="shared" si="5"/>
        <v>2533.42</v>
      </c>
      <c r="AD19" s="89">
        <f t="shared" si="6"/>
        <v>705.18999999999994</v>
      </c>
      <c r="AE19" s="89">
        <f t="shared" si="2"/>
        <v>2.42</v>
      </c>
      <c r="AF19" s="175">
        <v>29.472000000000001</v>
      </c>
      <c r="AG19" s="175">
        <f t="shared" si="8"/>
        <v>3270.5020000000004</v>
      </c>
      <c r="AH19" s="193">
        <f t="shared" si="3"/>
        <v>0.21562133274952894</v>
      </c>
    </row>
    <row r="20" spans="1:44" x14ac:dyDescent="0.35">
      <c r="A20" s="6" t="s">
        <v>29</v>
      </c>
      <c r="B20" s="12">
        <f t="shared" ref="B20:Z20" si="13">B326+B173</f>
        <v>5507.1199999999972</v>
      </c>
      <c r="C20" s="12">
        <f t="shared" si="13"/>
        <v>237.72000000000003</v>
      </c>
      <c r="D20" s="12">
        <f t="shared" si="13"/>
        <v>10.66</v>
      </c>
      <c r="E20" s="12">
        <f t="shared" si="13"/>
        <v>26.29</v>
      </c>
      <c r="F20" s="12">
        <f t="shared" si="13"/>
        <v>11.75</v>
      </c>
      <c r="G20" s="12">
        <f t="shared" si="13"/>
        <v>137.99</v>
      </c>
      <c r="H20" s="12">
        <f t="shared" si="13"/>
        <v>1.58</v>
      </c>
      <c r="I20" s="12">
        <f t="shared" si="13"/>
        <v>7.75</v>
      </c>
      <c r="J20" s="12">
        <f t="shared" si="13"/>
        <v>3</v>
      </c>
      <c r="K20" s="12">
        <f t="shared" si="13"/>
        <v>55.160000000000004</v>
      </c>
      <c r="L20" s="12">
        <f t="shared" si="13"/>
        <v>15.299999999999997</v>
      </c>
      <c r="M20" s="12">
        <f t="shared" si="13"/>
        <v>8.23</v>
      </c>
      <c r="N20" s="12">
        <f t="shared" si="13"/>
        <v>13.48</v>
      </c>
      <c r="O20" s="12">
        <f t="shared" si="13"/>
        <v>23.76</v>
      </c>
      <c r="P20" s="12">
        <f t="shared" si="13"/>
        <v>13.42</v>
      </c>
      <c r="Q20" s="12">
        <f t="shared" si="13"/>
        <v>63.490000000000009</v>
      </c>
      <c r="R20" s="12">
        <f t="shared" si="13"/>
        <v>136.16000000000003</v>
      </c>
      <c r="S20" s="12">
        <f t="shared" si="13"/>
        <v>102.94999999999999</v>
      </c>
      <c r="T20" s="12">
        <f t="shared" si="13"/>
        <v>160.76999999999998</v>
      </c>
      <c r="U20" s="12">
        <f t="shared" si="13"/>
        <v>126.89000000000001</v>
      </c>
      <c r="V20" s="12">
        <f t="shared" si="13"/>
        <v>55.349999999999994</v>
      </c>
      <c r="W20" s="12">
        <f t="shared" si="13"/>
        <v>218.49</v>
      </c>
      <c r="X20" s="12">
        <f t="shared" si="13"/>
        <v>71.98</v>
      </c>
      <c r="Y20" s="12">
        <f t="shared" si="13"/>
        <v>5.6800000000000015</v>
      </c>
      <c r="Z20" s="12">
        <f t="shared" si="13"/>
        <v>7014.9699999999966</v>
      </c>
      <c r="AA20" s="150">
        <f t="shared" si="1"/>
        <v>1.4009439426909024E-2</v>
      </c>
      <c r="AC20" s="89">
        <f t="shared" si="5"/>
        <v>6536.5799999999963</v>
      </c>
      <c r="AD20" s="89">
        <f t="shared" si="6"/>
        <v>472.71000000000004</v>
      </c>
      <c r="AE20" s="89">
        <f t="shared" si="2"/>
        <v>5.6800000000000015</v>
      </c>
      <c r="AF20" s="175">
        <v>138.1892</v>
      </c>
      <c r="AG20" s="175">
        <f t="shared" si="8"/>
        <v>7153.1591999999964</v>
      </c>
      <c r="AH20" s="193">
        <f t="shared" si="3"/>
        <v>6.6084087713300196E-2</v>
      </c>
    </row>
    <row r="21" spans="1:44" x14ac:dyDescent="0.35">
      <c r="A21" s="6" t="s">
        <v>30</v>
      </c>
      <c r="B21" s="12">
        <f t="shared" ref="B21:Z21" si="14">B327+B174</f>
        <v>274.98999999999995</v>
      </c>
      <c r="C21" s="12">
        <f t="shared" si="14"/>
        <v>87.899999999999991</v>
      </c>
      <c r="D21" s="12">
        <f t="shared" si="14"/>
        <v>0</v>
      </c>
      <c r="E21" s="12">
        <f t="shared" si="14"/>
        <v>0</v>
      </c>
      <c r="F21" s="12">
        <f t="shared" si="14"/>
        <v>0</v>
      </c>
      <c r="G21" s="12">
        <f t="shared" si="14"/>
        <v>9.5299999999999994</v>
      </c>
      <c r="H21" s="12">
        <f t="shared" si="14"/>
        <v>19.490000000000002</v>
      </c>
      <c r="I21" s="12">
        <f t="shared" si="14"/>
        <v>35.92</v>
      </c>
      <c r="J21" s="12">
        <f t="shared" si="14"/>
        <v>53.050000000000004</v>
      </c>
      <c r="K21" s="12">
        <f t="shared" si="14"/>
        <v>9.24</v>
      </c>
      <c r="L21" s="12">
        <f t="shared" si="14"/>
        <v>61.16</v>
      </c>
      <c r="M21" s="12">
        <f t="shared" si="14"/>
        <v>17.63</v>
      </c>
      <c r="N21" s="12">
        <f t="shared" si="14"/>
        <v>9.41</v>
      </c>
      <c r="O21" s="12">
        <f t="shared" si="14"/>
        <v>2.06</v>
      </c>
      <c r="P21" s="12">
        <f t="shared" si="14"/>
        <v>23.34</v>
      </c>
      <c r="Q21" s="12">
        <f t="shared" si="14"/>
        <v>84.25</v>
      </c>
      <c r="R21" s="12">
        <f t="shared" si="14"/>
        <v>283.8</v>
      </c>
      <c r="S21" s="12">
        <f t="shared" si="14"/>
        <v>543.68000000000006</v>
      </c>
      <c r="T21" s="12">
        <f t="shared" si="14"/>
        <v>388.56</v>
      </c>
      <c r="U21" s="12">
        <f t="shared" si="14"/>
        <v>268.71999999999997</v>
      </c>
      <c r="V21" s="12">
        <f t="shared" si="14"/>
        <v>312.77</v>
      </c>
      <c r="W21" s="12">
        <f t="shared" si="14"/>
        <v>529.11</v>
      </c>
      <c r="X21" s="12">
        <f t="shared" si="14"/>
        <v>989.15999999999985</v>
      </c>
      <c r="Y21" s="12">
        <f t="shared" si="14"/>
        <v>2.0400000000000005</v>
      </c>
      <c r="Z21" s="12">
        <f t="shared" si="14"/>
        <v>4005.8100000000004</v>
      </c>
      <c r="AA21" s="150">
        <f t="shared" si="1"/>
        <v>7.9999134067154191E-3</v>
      </c>
      <c r="AC21" s="89">
        <f t="shared" si="5"/>
        <v>1904.01</v>
      </c>
      <c r="AD21" s="89">
        <f t="shared" si="6"/>
        <v>2099.7599999999998</v>
      </c>
      <c r="AE21" s="89">
        <f t="shared" si="2"/>
        <v>2.0400000000000005</v>
      </c>
      <c r="AF21" s="175">
        <v>1.4670000000000001</v>
      </c>
      <c r="AG21" s="175">
        <f t="shared" si="8"/>
        <v>4007.2769999999996</v>
      </c>
      <c r="AH21" s="193">
        <f t="shared" si="3"/>
        <v>0.52398673712847899</v>
      </c>
    </row>
    <row r="22" spans="1:44" x14ac:dyDescent="0.35">
      <c r="A22" s="116" t="s">
        <v>12</v>
      </c>
      <c r="B22" s="117">
        <f t="shared" ref="B22:Z22" si="15">B328+B175</f>
        <v>36434.680000000029</v>
      </c>
      <c r="C22" s="117">
        <f t="shared" si="15"/>
        <v>2630.7799999999997</v>
      </c>
      <c r="D22" s="117">
        <f t="shared" si="15"/>
        <v>352.63</v>
      </c>
      <c r="E22" s="117">
        <f t="shared" si="15"/>
        <v>515.39</v>
      </c>
      <c r="F22" s="117">
        <f t="shared" si="15"/>
        <v>428.22999999999996</v>
      </c>
      <c r="G22" s="117">
        <f t="shared" si="15"/>
        <v>509.7399999999999</v>
      </c>
      <c r="H22" s="117">
        <f t="shared" si="15"/>
        <v>945.74</v>
      </c>
      <c r="I22" s="117">
        <f t="shared" si="15"/>
        <v>660.21</v>
      </c>
      <c r="J22" s="117">
        <f t="shared" si="15"/>
        <v>514.93999999999983</v>
      </c>
      <c r="K22" s="117">
        <f t="shared" si="15"/>
        <v>630.94000000000005</v>
      </c>
      <c r="L22" s="117">
        <f t="shared" si="15"/>
        <v>721.03000000000009</v>
      </c>
      <c r="M22" s="117">
        <f t="shared" si="15"/>
        <v>843.72999999999979</v>
      </c>
      <c r="N22" s="117">
        <f t="shared" si="15"/>
        <v>478.39</v>
      </c>
      <c r="O22" s="117">
        <f t="shared" si="15"/>
        <v>664.88</v>
      </c>
      <c r="P22" s="117">
        <f t="shared" si="15"/>
        <v>644.57000000000016</v>
      </c>
      <c r="Q22" s="117">
        <f t="shared" si="15"/>
        <v>1101.1799999999996</v>
      </c>
      <c r="R22" s="117">
        <f t="shared" si="15"/>
        <v>1388.2299999999998</v>
      </c>
      <c r="S22" s="117">
        <f t="shared" si="15"/>
        <v>1562.5399999999993</v>
      </c>
      <c r="T22" s="117">
        <f t="shared" si="15"/>
        <v>1709.91</v>
      </c>
      <c r="U22" s="117">
        <f t="shared" si="15"/>
        <v>1604.12</v>
      </c>
      <c r="V22" s="117">
        <f t="shared" si="15"/>
        <v>1571.88</v>
      </c>
      <c r="W22" s="117">
        <f t="shared" si="15"/>
        <v>1410.0400000000002</v>
      </c>
      <c r="X22" s="117">
        <f t="shared" si="15"/>
        <v>1141.6699999999998</v>
      </c>
      <c r="Y22" s="117">
        <f t="shared" si="15"/>
        <v>61.239999999999988</v>
      </c>
      <c r="Z22" s="117">
        <f t="shared" si="15"/>
        <v>58526.690000000031</v>
      </c>
      <c r="AA22" s="151">
        <f t="shared" si="1"/>
        <v>0.1168823413945438</v>
      </c>
      <c r="AB22" s="136"/>
      <c r="AC22" s="117">
        <f>SUM(B22:T22)</f>
        <v>52737.740000000034</v>
      </c>
      <c r="AD22" s="117">
        <f>SUM(U22:X22)</f>
        <v>5727.71</v>
      </c>
      <c r="AE22" s="117">
        <f t="shared" si="2"/>
        <v>61.239999999999988</v>
      </c>
      <c r="AF22" s="117">
        <v>3.95</v>
      </c>
      <c r="AG22" s="117">
        <f>SUM(AC22:AF22)</f>
        <v>58530.640000000029</v>
      </c>
      <c r="AH22" s="185">
        <f t="shared" si="3"/>
        <v>9.7858318309862954E-2</v>
      </c>
    </row>
    <row r="23" spans="1:44" x14ac:dyDescent="0.35">
      <c r="A23" s="6" t="s">
        <v>31</v>
      </c>
      <c r="B23" s="12">
        <f t="shared" ref="B23:Z23" si="16">B329+B176</f>
        <v>4998.6200000000008</v>
      </c>
      <c r="C23" s="12">
        <f t="shared" si="16"/>
        <v>216.44</v>
      </c>
      <c r="D23" s="12">
        <f t="shared" si="16"/>
        <v>32.590000000000003</v>
      </c>
      <c r="E23" s="12">
        <f t="shared" si="16"/>
        <v>206.85</v>
      </c>
      <c r="F23" s="12">
        <f t="shared" si="16"/>
        <v>108.95999999999998</v>
      </c>
      <c r="G23" s="12">
        <f t="shared" si="16"/>
        <v>79.42</v>
      </c>
      <c r="H23" s="12">
        <f t="shared" si="16"/>
        <v>172.67999999999998</v>
      </c>
      <c r="I23" s="12">
        <f t="shared" si="16"/>
        <v>199.82000000000002</v>
      </c>
      <c r="J23" s="12">
        <f t="shared" si="16"/>
        <v>78.23</v>
      </c>
      <c r="K23" s="12">
        <f t="shared" si="16"/>
        <v>71.23</v>
      </c>
      <c r="L23" s="12">
        <f t="shared" si="16"/>
        <v>89.259999999999991</v>
      </c>
      <c r="M23" s="12">
        <f t="shared" si="16"/>
        <v>106.72</v>
      </c>
      <c r="N23" s="12">
        <f t="shared" si="16"/>
        <v>64.969999999999985</v>
      </c>
      <c r="O23" s="12">
        <f t="shared" si="16"/>
        <v>132.87</v>
      </c>
      <c r="P23" s="12">
        <f t="shared" si="16"/>
        <v>118.43</v>
      </c>
      <c r="Q23" s="12">
        <f t="shared" si="16"/>
        <v>119.9</v>
      </c>
      <c r="R23" s="12">
        <f t="shared" si="16"/>
        <v>227.20000000000002</v>
      </c>
      <c r="S23" s="12">
        <f t="shared" si="16"/>
        <v>309.21000000000004</v>
      </c>
      <c r="T23" s="12">
        <f t="shared" si="16"/>
        <v>347.73000000000008</v>
      </c>
      <c r="U23" s="12">
        <f t="shared" si="16"/>
        <v>353.71000000000004</v>
      </c>
      <c r="V23" s="12">
        <f t="shared" si="16"/>
        <v>315.39999999999998</v>
      </c>
      <c r="W23" s="12">
        <f t="shared" si="16"/>
        <v>301.33</v>
      </c>
      <c r="X23" s="12">
        <f t="shared" si="16"/>
        <v>180.06</v>
      </c>
      <c r="Y23" s="12">
        <f t="shared" si="16"/>
        <v>7.879999999999999</v>
      </c>
      <c r="Z23" s="12">
        <f t="shared" si="16"/>
        <v>8839.51</v>
      </c>
      <c r="AA23" s="150">
        <f t="shared" si="1"/>
        <v>1.7653187384772371E-2</v>
      </c>
      <c r="AC23" s="89">
        <f t="shared" si="5"/>
        <v>7681.130000000001</v>
      </c>
      <c r="AD23" s="89">
        <f t="shared" si="6"/>
        <v>1150.5</v>
      </c>
      <c r="AE23" s="89">
        <f t="shared" si="2"/>
        <v>7.879999999999999</v>
      </c>
      <c r="AF23" s="175">
        <v>0.48</v>
      </c>
      <c r="AG23" s="175">
        <f t="shared" si="8"/>
        <v>8839.99</v>
      </c>
      <c r="AH23" s="193">
        <f t="shared" si="3"/>
        <v>0.13014720604887561</v>
      </c>
    </row>
    <row r="24" spans="1:44" x14ac:dyDescent="0.35">
      <c r="A24" s="6" t="s">
        <v>32</v>
      </c>
      <c r="B24" s="12">
        <f t="shared" ref="B24:Z24" si="17">B330+B177</f>
        <v>13662.600000000013</v>
      </c>
      <c r="C24" s="12">
        <f t="shared" si="17"/>
        <v>869.27999999999963</v>
      </c>
      <c r="D24" s="12">
        <f t="shared" si="17"/>
        <v>83.88</v>
      </c>
      <c r="E24" s="12">
        <f t="shared" si="17"/>
        <v>108.34</v>
      </c>
      <c r="F24" s="12">
        <f t="shared" si="17"/>
        <v>104.05</v>
      </c>
      <c r="G24" s="12">
        <f t="shared" si="17"/>
        <v>111.51000000000002</v>
      </c>
      <c r="H24" s="12">
        <f t="shared" si="17"/>
        <v>252.36000000000007</v>
      </c>
      <c r="I24" s="12">
        <f t="shared" si="17"/>
        <v>95.419999999999987</v>
      </c>
      <c r="J24" s="12">
        <f t="shared" si="17"/>
        <v>89.949999999999989</v>
      </c>
      <c r="K24" s="12">
        <f t="shared" si="17"/>
        <v>153.82</v>
      </c>
      <c r="L24" s="12">
        <f t="shared" si="17"/>
        <v>145.67999999999998</v>
      </c>
      <c r="M24" s="12">
        <f t="shared" si="17"/>
        <v>189.58999999999997</v>
      </c>
      <c r="N24" s="12">
        <f t="shared" si="17"/>
        <v>75.460000000000008</v>
      </c>
      <c r="O24" s="12">
        <f t="shared" si="17"/>
        <v>134.54000000000002</v>
      </c>
      <c r="P24" s="12">
        <f t="shared" si="17"/>
        <v>96.21</v>
      </c>
      <c r="Q24" s="12">
        <f t="shared" si="17"/>
        <v>230.19000000000003</v>
      </c>
      <c r="R24" s="12">
        <f t="shared" si="17"/>
        <v>284.03000000000009</v>
      </c>
      <c r="S24" s="12">
        <f t="shared" si="17"/>
        <v>251.43</v>
      </c>
      <c r="T24" s="12">
        <f t="shared" si="17"/>
        <v>257.89999999999998</v>
      </c>
      <c r="U24" s="12">
        <f t="shared" si="17"/>
        <v>251.75000000000006</v>
      </c>
      <c r="V24" s="12">
        <f t="shared" si="17"/>
        <v>233.54000000000002</v>
      </c>
      <c r="W24" s="12">
        <f t="shared" si="17"/>
        <v>251.28999999999996</v>
      </c>
      <c r="X24" s="12">
        <f t="shared" si="17"/>
        <v>161.32999999999998</v>
      </c>
      <c r="Y24" s="12">
        <f t="shared" si="17"/>
        <v>17.190000000000001</v>
      </c>
      <c r="Z24" s="12">
        <f t="shared" si="17"/>
        <v>18111.340000000015</v>
      </c>
      <c r="AA24" s="150">
        <f t="shared" si="1"/>
        <v>3.6169751356050675E-2</v>
      </c>
      <c r="AC24" s="89">
        <f t="shared" si="5"/>
        <v>17196.240000000013</v>
      </c>
      <c r="AD24" s="89">
        <f t="shared" si="6"/>
        <v>897.91000000000008</v>
      </c>
      <c r="AE24" s="89">
        <f t="shared" si="2"/>
        <v>17.190000000000001</v>
      </c>
      <c r="AF24" s="175">
        <v>1.48</v>
      </c>
      <c r="AG24" s="175">
        <f t="shared" si="8"/>
        <v>18112.820000000011</v>
      </c>
      <c r="AH24" s="193">
        <f t="shared" si="3"/>
        <v>4.9573175242728605E-2</v>
      </c>
    </row>
    <row r="25" spans="1:44" x14ac:dyDescent="0.35">
      <c r="A25" s="6" t="s">
        <v>33</v>
      </c>
      <c r="B25" s="12">
        <f t="shared" ref="B25:Z25" si="18">B331+B178</f>
        <v>17773.460000000014</v>
      </c>
      <c r="C25" s="12">
        <f t="shared" si="18"/>
        <v>1545.0600000000004</v>
      </c>
      <c r="D25" s="12">
        <f t="shared" si="18"/>
        <v>236.16000000000003</v>
      </c>
      <c r="E25" s="12">
        <f t="shared" si="18"/>
        <v>200.20000000000002</v>
      </c>
      <c r="F25" s="12">
        <f t="shared" si="18"/>
        <v>215.22000000000003</v>
      </c>
      <c r="G25" s="12">
        <f t="shared" si="18"/>
        <v>318.80999999999995</v>
      </c>
      <c r="H25" s="12">
        <f t="shared" si="18"/>
        <v>520.70000000000005</v>
      </c>
      <c r="I25" s="12">
        <f t="shared" si="18"/>
        <v>364.96999999999997</v>
      </c>
      <c r="J25" s="12">
        <f t="shared" si="18"/>
        <v>346.75999999999988</v>
      </c>
      <c r="K25" s="12">
        <f t="shared" si="18"/>
        <v>405.8900000000001</v>
      </c>
      <c r="L25" s="12">
        <f t="shared" si="18"/>
        <v>486.09000000000015</v>
      </c>
      <c r="M25" s="12">
        <f t="shared" si="18"/>
        <v>547.41999999999985</v>
      </c>
      <c r="N25" s="12">
        <f t="shared" si="18"/>
        <v>337.96</v>
      </c>
      <c r="O25" s="12">
        <f t="shared" si="18"/>
        <v>397.46999999999997</v>
      </c>
      <c r="P25" s="12">
        <f t="shared" si="18"/>
        <v>429.93000000000006</v>
      </c>
      <c r="Q25" s="12">
        <f t="shared" si="18"/>
        <v>751.08999999999969</v>
      </c>
      <c r="R25" s="12">
        <f t="shared" si="18"/>
        <v>876.99999999999989</v>
      </c>
      <c r="S25" s="12">
        <f t="shared" si="18"/>
        <v>1001.8999999999991</v>
      </c>
      <c r="T25" s="12">
        <f t="shared" si="18"/>
        <v>1104.28</v>
      </c>
      <c r="U25" s="12">
        <f t="shared" si="18"/>
        <v>998.65999999999985</v>
      </c>
      <c r="V25" s="12">
        <f t="shared" si="18"/>
        <v>1022.9400000000002</v>
      </c>
      <c r="W25" s="12">
        <f t="shared" si="18"/>
        <v>857.4200000000003</v>
      </c>
      <c r="X25" s="12">
        <f t="shared" si="18"/>
        <v>800.28</v>
      </c>
      <c r="Y25" s="12">
        <f t="shared" si="18"/>
        <v>36.16999999999998</v>
      </c>
      <c r="Z25" s="12">
        <f t="shared" si="18"/>
        <v>31575.840000000015</v>
      </c>
      <c r="AA25" s="150">
        <f t="shared" si="1"/>
        <v>6.3059402653720745E-2</v>
      </c>
      <c r="AC25" s="89">
        <f t="shared" si="5"/>
        <v>27860.370000000014</v>
      </c>
      <c r="AD25" s="89">
        <f t="shared" si="6"/>
        <v>3679.3</v>
      </c>
      <c r="AE25" s="89">
        <f t="shared" si="2"/>
        <v>36.16999999999998</v>
      </c>
      <c r="AF25" s="175">
        <v>1.99</v>
      </c>
      <c r="AG25" s="175">
        <f t="shared" si="8"/>
        <v>31577.830000000013</v>
      </c>
      <c r="AH25" s="193">
        <f t="shared" si="3"/>
        <v>0.11651528936598869</v>
      </c>
    </row>
    <row r="26" spans="1:44" x14ac:dyDescent="0.35">
      <c r="A26" s="116" t="s">
        <v>13</v>
      </c>
      <c r="B26" s="117">
        <f t="shared" ref="B26:Z26" si="19">B332+B179</f>
        <v>36303.569999999978</v>
      </c>
      <c r="C26" s="117">
        <f t="shared" si="19"/>
        <v>3806.41</v>
      </c>
      <c r="D26" s="117">
        <f t="shared" si="19"/>
        <v>238.89999999999998</v>
      </c>
      <c r="E26" s="117">
        <f t="shared" si="19"/>
        <v>239.46</v>
      </c>
      <c r="F26" s="117">
        <f t="shared" si="19"/>
        <v>172.38</v>
      </c>
      <c r="G26" s="117">
        <f t="shared" si="19"/>
        <v>404.89</v>
      </c>
      <c r="H26" s="117">
        <f t="shared" si="19"/>
        <v>516.56999999999994</v>
      </c>
      <c r="I26" s="117">
        <f t="shared" si="19"/>
        <v>260.32</v>
      </c>
      <c r="J26" s="117">
        <f t="shared" si="19"/>
        <v>241.33</v>
      </c>
      <c r="K26" s="117">
        <f t="shared" si="19"/>
        <v>318.25000000000006</v>
      </c>
      <c r="L26" s="117">
        <f t="shared" si="19"/>
        <v>369.86</v>
      </c>
      <c r="M26" s="117">
        <f t="shared" si="19"/>
        <v>661</v>
      </c>
      <c r="N26" s="117">
        <f t="shared" si="19"/>
        <v>278.27000000000004</v>
      </c>
      <c r="O26" s="117">
        <f t="shared" si="19"/>
        <v>325.54000000000002</v>
      </c>
      <c r="P26" s="117">
        <f t="shared" si="19"/>
        <v>287.16000000000003</v>
      </c>
      <c r="Q26" s="117">
        <f t="shared" si="19"/>
        <v>708.9</v>
      </c>
      <c r="R26" s="117">
        <f t="shared" si="19"/>
        <v>1310.6600000000001</v>
      </c>
      <c r="S26" s="117">
        <f t="shared" si="19"/>
        <v>1415.59</v>
      </c>
      <c r="T26" s="117">
        <f t="shared" si="19"/>
        <v>1198.06</v>
      </c>
      <c r="U26" s="117">
        <f t="shared" si="19"/>
        <v>964.78</v>
      </c>
      <c r="V26" s="117">
        <f t="shared" si="19"/>
        <v>825.41</v>
      </c>
      <c r="W26" s="117">
        <f t="shared" si="19"/>
        <v>730.99</v>
      </c>
      <c r="X26" s="117">
        <f t="shared" si="19"/>
        <v>528.41000000000008</v>
      </c>
      <c r="Y26" s="117">
        <f t="shared" si="19"/>
        <v>121.26999999999998</v>
      </c>
      <c r="Z26" s="117">
        <f t="shared" si="19"/>
        <v>52227.979999999974</v>
      </c>
      <c r="AA26" s="151">
        <f t="shared" si="1"/>
        <v>0.10430332876688225</v>
      </c>
      <c r="AC26" s="117">
        <f>SUM(B26:T26)</f>
        <v>49057.119999999981</v>
      </c>
      <c r="AD26" s="117">
        <f>SUM(U26:X26)</f>
        <v>3049.59</v>
      </c>
      <c r="AE26" s="117">
        <f t="shared" ref="AE26" si="20">Y26</f>
        <v>121.26999999999998</v>
      </c>
      <c r="AF26" s="117">
        <v>2150.5376999999999</v>
      </c>
      <c r="AG26" s="117">
        <f>SUM(AC26:AF26)</f>
        <v>54378.517699999975</v>
      </c>
      <c r="AH26" s="185">
        <f t="shared" si="3"/>
        <v>5.6080785740137994E-2</v>
      </c>
    </row>
    <row r="27" spans="1:44" x14ac:dyDescent="0.35">
      <c r="A27" s="6" t="s">
        <v>34</v>
      </c>
      <c r="B27" s="12">
        <f t="shared" ref="B27:Z27" si="21">B333+B180</f>
        <v>8234.27</v>
      </c>
      <c r="C27" s="12">
        <f t="shared" si="21"/>
        <v>1196.4999999999998</v>
      </c>
      <c r="D27" s="12">
        <f t="shared" si="21"/>
        <v>69</v>
      </c>
      <c r="E27" s="12">
        <f t="shared" si="21"/>
        <v>75.509999999999991</v>
      </c>
      <c r="F27" s="12">
        <f t="shared" si="21"/>
        <v>55.48</v>
      </c>
      <c r="G27" s="12">
        <f t="shared" si="21"/>
        <v>83.13</v>
      </c>
      <c r="H27" s="12">
        <f t="shared" si="21"/>
        <v>105.69</v>
      </c>
      <c r="I27" s="12">
        <f t="shared" si="21"/>
        <v>38.5</v>
      </c>
      <c r="J27" s="12">
        <f t="shared" si="21"/>
        <v>68.080000000000013</v>
      </c>
      <c r="K27" s="12">
        <f t="shared" si="21"/>
        <v>110.68000000000002</v>
      </c>
      <c r="L27" s="12">
        <f t="shared" si="21"/>
        <v>117.75000000000001</v>
      </c>
      <c r="M27" s="12">
        <f t="shared" si="21"/>
        <v>133.24</v>
      </c>
      <c r="N27" s="12">
        <f t="shared" si="21"/>
        <v>16.939999999999998</v>
      </c>
      <c r="O27" s="12">
        <f t="shared" si="21"/>
        <v>49.45</v>
      </c>
      <c r="P27" s="12">
        <f t="shared" si="21"/>
        <v>44.29</v>
      </c>
      <c r="Q27" s="12">
        <f t="shared" si="21"/>
        <v>114.89</v>
      </c>
      <c r="R27" s="12">
        <f t="shared" si="21"/>
        <v>195.83000000000004</v>
      </c>
      <c r="S27" s="12">
        <f t="shared" si="21"/>
        <v>240.74</v>
      </c>
      <c r="T27" s="12">
        <f t="shared" si="21"/>
        <v>190.87000000000003</v>
      </c>
      <c r="U27" s="12">
        <f t="shared" si="21"/>
        <v>177.05</v>
      </c>
      <c r="V27" s="12">
        <f t="shared" si="21"/>
        <v>107.02000000000001</v>
      </c>
      <c r="W27" s="12">
        <f t="shared" si="21"/>
        <v>129.17000000000002</v>
      </c>
      <c r="X27" s="12">
        <f t="shared" si="21"/>
        <v>212.64</v>
      </c>
      <c r="Y27" s="12">
        <f t="shared" si="21"/>
        <v>18.559999999999999</v>
      </c>
      <c r="Z27" s="12">
        <f t="shared" si="21"/>
        <v>11785.280000000002</v>
      </c>
      <c r="AA27" s="150">
        <f t="shared" si="1"/>
        <v>2.3536118656125756E-2</v>
      </c>
      <c r="AC27" s="89">
        <f t="shared" si="5"/>
        <v>11140.840000000002</v>
      </c>
      <c r="AD27" s="89">
        <f t="shared" si="6"/>
        <v>625.88000000000011</v>
      </c>
      <c r="AE27" s="89">
        <f t="shared" si="2"/>
        <v>18.559999999999999</v>
      </c>
      <c r="AF27" s="175">
        <v>145.11359999999999</v>
      </c>
      <c r="AG27" s="175">
        <f t="shared" si="8"/>
        <v>11930.393600000001</v>
      </c>
      <c r="AH27" s="193">
        <f t="shared" si="3"/>
        <v>5.2460968261768E-2</v>
      </c>
    </row>
    <row r="28" spans="1:44" x14ac:dyDescent="0.35">
      <c r="A28" s="6" t="s">
        <v>61</v>
      </c>
      <c r="B28" s="12">
        <f t="shared" ref="B28:Z28" si="22">B334+B181</f>
        <v>13359.259999999973</v>
      </c>
      <c r="C28" s="12">
        <f t="shared" si="22"/>
        <v>571.44999999999993</v>
      </c>
      <c r="D28" s="12">
        <f t="shared" si="22"/>
        <v>80.11999999999999</v>
      </c>
      <c r="E28" s="12">
        <f t="shared" si="22"/>
        <v>69.45</v>
      </c>
      <c r="F28" s="12">
        <f t="shared" si="22"/>
        <v>46.59</v>
      </c>
      <c r="G28" s="12">
        <f t="shared" si="22"/>
        <v>140.12</v>
      </c>
      <c r="H28" s="12">
        <f t="shared" si="22"/>
        <v>123.78999999999999</v>
      </c>
      <c r="I28" s="12">
        <f t="shared" si="22"/>
        <v>32.14</v>
      </c>
      <c r="J28" s="12">
        <f t="shared" si="22"/>
        <v>44.989999999999995</v>
      </c>
      <c r="K28" s="12">
        <f t="shared" si="22"/>
        <v>58.410000000000004</v>
      </c>
      <c r="L28" s="12">
        <f t="shared" si="22"/>
        <v>102.64</v>
      </c>
      <c r="M28" s="12">
        <f t="shared" si="22"/>
        <v>205.97000000000006</v>
      </c>
      <c r="N28" s="12">
        <f t="shared" si="22"/>
        <v>52.14</v>
      </c>
      <c r="O28" s="12">
        <f t="shared" si="22"/>
        <v>126.53000000000002</v>
      </c>
      <c r="P28" s="12">
        <f t="shared" si="22"/>
        <v>115.08999999999997</v>
      </c>
      <c r="Q28" s="12">
        <f t="shared" si="22"/>
        <v>232.42000000000002</v>
      </c>
      <c r="R28" s="12">
        <f t="shared" si="22"/>
        <v>345.42000000000007</v>
      </c>
      <c r="S28" s="12">
        <f t="shared" si="22"/>
        <v>286.64</v>
      </c>
      <c r="T28" s="12">
        <f t="shared" si="22"/>
        <v>205.59999999999997</v>
      </c>
      <c r="U28" s="12">
        <f t="shared" si="22"/>
        <v>226.83999999999997</v>
      </c>
      <c r="V28" s="12">
        <f t="shared" si="22"/>
        <v>210.72</v>
      </c>
      <c r="W28" s="12">
        <f t="shared" si="22"/>
        <v>161.33999999999997</v>
      </c>
      <c r="X28" s="12">
        <f t="shared" si="22"/>
        <v>93.15000000000002</v>
      </c>
      <c r="Y28" s="12">
        <f t="shared" si="22"/>
        <v>45.330000000000005</v>
      </c>
      <c r="Z28" s="12">
        <f t="shared" si="22"/>
        <v>16936.149999999976</v>
      </c>
      <c r="AA28" s="150">
        <f t="shared" si="1"/>
        <v>3.3822805735455042E-2</v>
      </c>
      <c r="AB28" s="134"/>
      <c r="AC28" s="89">
        <f t="shared" si="5"/>
        <v>16198.769999999975</v>
      </c>
      <c r="AD28" s="89">
        <f t="shared" si="6"/>
        <v>692.04999999999984</v>
      </c>
      <c r="AE28" s="89">
        <f t="shared" si="2"/>
        <v>45.330000000000005</v>
      </c>
      <c r="AF28" s="175">
        <v>1298.0576000000001</v>
      </c>
      <c r="AG28" s="175">
        <f t="shared" si="8"/>
        <v>18234.207599999976</v>
      </c>
      <c r="AH28" s="193">
        <f t="shared" si="3"/>
        <v>3.7953390417689484E-2</v>
      </c>
    </row>
    <row r="29" spans="1:44" x14ac:dyDescent="0.35">
      <c r="A29" s="6" t="s">
        <v>36</v>
      </c>
      <c r="B29" s="12">
        <f t="shared" ref="B29:Z29" si="23">B335+B182</f>
        <v>14710.040000000003</v>
      </c>
      <c r="C29" s="12">
        <f t="shared" si="23"/>
        <v>2038.4600000000003</v>
      </c>
      <c r="D29" s="12">
        <f t="shared" si="23"/>
        <v>89.779999999999987</v>
      </c>
      <c r="E29" s="12">
        <f t="shared" si="23"/>
        <v>94.5</v>
      </c>
      <c r="F29" s="12">
        <f t="shared" si="23"/>
        <v>70.309999999999988</v>
      </c>
      <c r="G29" s="12">
        <f t="shared" si="23"/>
        <v>181.64</v>
      </c>
      <c r="H29" s="12">
        <f t="shared" si="23"/>
        <v>287.08999999999997</v>
      </c>
      <c r="I29" s="12">
        <f t="shared" si="23"/>
        <v>189.68</v>
      </c>
      <c r="J29" s="12">
        <f t="shared" si="23"/>
        <v>128.26000000000002</v>
      </c>
      <c r="K29" s="12">
        <f t="shared" si="23"/>
        <v>149.16000000000003</v>
      </c>
      <c r="L29" s="12">
        <f t="shared" si="23"/>
        <v>149.47</v>
      </c>
      <c r="M29" s="12">
        <f t="shared" si="23"/>
        <v>321.79000000000002</v>
      </c>
      <c r="N29" s="12">
        <f t="shared" si="23"/>
        <v>209.19000000000003</v>
      </c>
      <c r="O29" s="12">
        <f t="shared" si="23"/>
        <v>149.55999999999997</v>
      </c>
      <c r="P29" s="12">
        <f t="shared" si="23"/>
        <v>127.78000000000002</v>
      </c>
      <c r="Q29" s="12">
        <f t="shared" si="23"/>
        <v>361.59000000000003</v>
      </c>
      <c r="R29" s="12">
        <f t="shared" si="23"/>
        <v>769.41</v>
      </c>
      <c r="S29" s="12">
        <f t="shared" si="23"/>
        <v>888.20999999999992</v>
      </c>
      <c r="T29" s="12">
        <f t="shared" si="23"/>
        <v>801.59000000000015</v>
      </c>
      <c r="U29" s="12">
        <f t="shared" si="23"/>
        <v>560.89</v>
      </c>
      <c r="V29" s="12">
        <f t="shared" si="23"/>
        <v>507.67</v>
      </c>
      <c r="W29" s="12">
        <f t="shared" si="23"/>
        <v>440.48</v>
      </c>
      <c r="X29" s="12">
        <f t="shared" si="23"/>
        <v>222.62</v>
      </c>
      <c r="Y29" s="12">
        <f t="shared" si="23"/>
        <v>57.379999999999988</v>
      </c>
      <c r="Z29" s="12">
        <f t="shared" si="23"/>
        <v>23506.550000000003</v>
      </c>
      <c r="AA29" s="150">
        <f t="shared" si="1"/>
        <v>4.6944404375301466E-2</v>
      </c>
      <c r="AB29" s="134"/>
      <c r="AC29" s="89">
        <f t="shared" si="5"/>
        <v>21717.510000000002</v>
      </c>
      <c r="AD29" s="89">
        <f t="shared" si="6"/>
        <v>1731.6599999999999</v>
      </c>
      <c r="AE29" s="89">
        <f t="shared" si="2"/>
        <v>57.379999999999988</v>
      </c>
      <c r="AF29" s="175">
        <v>707.36650000000009</v>
      </c>
      <c r="AG29" s="175">
        <f t="shared" si="8"/>
        <v>24213.916500000003</v>
      </c>
      <c r="AH29" s="193">
        <f t="shared" si="3"/>
        <v>7.1515072747525152E-2</v>
      </c>
      <c r="AJ29" s="210" t="s">
        <v>255</v>
      </c>
      <c r="AO29" s="342"/>
      <c r="AP29" s="518" t="s">
        <v>312</v>
      </c>
      <c r="AQ29" s="518" t="s">
        <v>96</v>
      </c>
      <c r="AR29" s="518" t="s">
        <v>257</v>
      </c>
    </row>
    <row r="30" spans="1:44" x14ac:dyDescent="0.35">
      <c r="A30" s="116" t="s">
        <v>14</v>
      </c>
      <c r="B30" s="117">
        <f t="shared" ref="B30:Z30" si="24">B336+B183</f>
        <v>18562.680000000022</v>
      </c>
      <c r="C30" s="117">
        <f t="shared" si="24"/>
        <v>806.93999999999983</v>
      </c>
      <c r="D30" s="117">
        <f t="shared" si="24"/>
        <v>50.56</v>
      </c>
      <c r="E30" s="117">
        <f t="shared" si="24"/>
        <v>73.519999999999982</v>
      </c>
      <c r="F30" s="117">
        <f t="shared" si="24"/>
        <v>43.76</v>
      </c>
      <c r="G30" s="117">
        <f t="shared" si="24"/>
        <v>57.129999999999995</v>
      </c>
      <c r="H30" s="117">
        <f t="shared" si="24"/>
        <v>108.14</v>
      </c>
      <c r="I30" s="117">
        <f t="shared" si="24"/>
        <v>93.26</v>
      </c>
      <c r="J30" s="117">
        <f t="shared" si="24"/>
        <v>55.099999999999994</v>
      </c>
      <c r="K30" s="117">
        <f t="shared" si="24"/>
        <v>71.92</v>
      </c>
      <c r="L30" s="117">
        <f t="shared" si="24"/>
        <v>38.68</v>
      </c>
      <c r="M30" s="117">
        <f t="shared" si="24"/>
        <v>88.48</v>
      </c>
      <c r="N30" s="117">
        <f t="shared" si="24"/>
        <v>54.57</v>
      </c>
      <c r="O30" s="117">
        <f t="shared" si="24"/>
        <v>73.78</v>
      </c>
      <c r="P30" s="117">
        <f t="shared" si="24"/>
        <v>95.31</v>
      </c>
      <c r="Q30" s="117">
        <f t="shared" si="24"/>
        <v>120.64</v>
      </c>
      <c r="R30" s="117">
        <f t="shared" si="24"/>
        <v>259.77000000000004</v>
      </c>
      <c r="S30" s="117">
        <f t="shared" si="24"/>
        <v>251.59999999999997</v>
      </c>
      <c r="T30" s="117">
        <f t="shared" si="24"/>
        <v>278.26</v>
      </c>
      <c r="U30" s="117">
        <f t="shared" si="24"/>
        <v>270.42999999999995</v>
      </c>
      <c r="V30" s="117">
        <f t="shared" si="24"/>
        <v>202.12</v>
      </c>
      <c r="W30" s="117">
        <f t="shared" si="24"/>
        <v>218.32999999999998</v>
      </c>
      <c r="X30" s="117">
        <f t="shared" si="24"/>
        <v>135.67000000000002</v>
      </c>
      <c r="Y30" s="117">
        <f t="shared" si="24"/>
        <v>0.65</v>
      </c>
      <c r="Z30" s="117">
        <f t="shared" si="24"/>
        <v>22011.300000000028</v>
      </c>
      <c r="AA30" s="151">
        <f t="shared" si="1"/>
        <v>4.3958274099179774E-2</v>
      </c>
      <c r="AB30" s="135"/>
      <c r="AC30" s="117">
        <f>SUM(B30:T30)</f>
        <v>21184.100000000013</v>
      </c>
      <c r="AD30" s="117">
        <f>SUM(U30:X30)</f>
        <v>826.55</v>
      </c>
      <c r="AE30" s="117">
        <f t="shared" ref="AE30" si="25">Y30</f>
        <v>0.65</v>
      </c>
      <c r="AF30" s="117">
        <v>0</v>
      </c>
      <c r="AG30" s="117">
        <f>SUM(AC30:AF30)</f>
        <v>22011.300000000014</v>
      </c>
      <c r="AH30" s="185">
        <f t="shared" si="3"/>
        <v>3.7551166900637374E-2</v>
      </c>
      <c r="AK30" s="516" t="s">
        <v>312</v>
      </c>
      <c r="AL30" s="516" t="s">
        <v>96</v>
      </c>
      <c r="AM30" s="516" t="s">
        <v>257</v>
      </c>
      <c r="AO30" s="517" t="s">
        <v>5</v>
      </c>
      <c r="AP30" s="519">
        <v>20908.64</v>
      </c>
      <c r="AQ30" s="519">
        <v>148042.37140000003</v>
      </c>
      <c r="AR30" s="489">
        <f>AP30/AQ30</f>
        <v>0.14123416020881163</v>
      </c>
    </row>
    <row r="31" spans="1:44" x14ac:dyDescent="0.35">
      <c r="A31" s="6" t="s">
        <v>37</v>
      </c>
      <c r="B31" s="12">
        <f t="shared" ref="B31:Z31" si="26">B337+B184</f>
        <v>464.98000000000008</v>
      </c>
      <c r="C31" s="12">
        <f t="shared" si="26"/>
        <v>5.73</v>
      </c>
      <c r="D31" s="12">
        <f t="shared" si="26"/>
        <v>1.1600000000000001</v>
      </c>
      <c r="E31" s="12">
        <f t="shared" si="26"/>
        <v>1.98</v>
      </c>
      <c r="F31" s="12">
        <f t="shared" si="26"/>
        <v>0</v>
      </c>
      <c r="G31" s="12">
        <f t="shared" si="26"/>
        <v>1.02</v>
      </c>
      <c r="H31" s="12">
        <f t="shared" si="26"/>
        <v>3.6699999999999995</v>
      </c>
      <c r="I31" s="12">
        <f t="shared" si="26"/>
        <v>0.57000000000000006</v>
      </c>
      <c r="J31" s="12">
        <f t="shared" si="26"/>
        <v>0</v>
      </c>
      <c r="K31" s="12">
        <f t="shared" si="26"/>
        <v>1.7899999999999998</v>
      </c>
      <c r="L31" s="12">
        <f t="shared" si="26"/>
        <v>1.6700000000000002</v>
      </c>
      <c r="M31" s="12">
        <f t="shared" si="26"/>
        <v>5.0699999999999994</v>
      </c>
      <c r="N31" s="12">
        <f t="shared" si="26"/>
        <v>0.04</v>
      </c>
      <c r="O31" s="12">
        <f t="shared" si="26"/>
        <v>2.71</v>
      </c>
      <c r="P31" s="12">
        <f t="shared" si="26"/>
        <v>0.01</v>
      </c>
      <c r="Q31" s="12">
        <f t="shared" si="26"/>
        <v>4.08</v>
      </c>
      <c r="R31" s="12">
        <f t="shared" si="26"/>
        <v>3.47</v>
      </c>
      <c r="S31" s="12">
        <f t="shared" si="26"/>
        <v>3.5199999999999996</v>
      </c>
      <c r="T31" s="12">
        <f t="shared" si="26"/>
        <v>1.53</v>
      </c>
      <c r="U31" s="12">
        <f t="shared" si="26"/>
        <v>3.4</v>
      </c>
      <c r="V31" s="12">
        <f t="shared" si="26"/>
        <v>3.16</v>
      </c>
      <c r="W31" s="12">
        <f t="shared" si="26"/>
        <v>4.4399999999999995</v>
      </c>
      <c r="X31" s="12">
        <f t="shared" si="26"/>
        <v>0</v>
      </c>
      <c r="Y31" s="12">
        <f t="shared" si="26"/>
        <v>0</v>
      </c>
      <c r="Z31" s="12">
        <f t="shared" si="26"/>
        <v>514.00000000000023</v>
      </c>
      <c r="AA31" s="150">
        <f t="shared" si="1"/>
        <v>1.0264978845855714E-3</v>
      </c>
      <c r="AB31" s="134"/>
      <c r="AC31" s="89">
        <f t="shared" si="5"/>
        <v>503.00000000000011</v>
      </c>
      <c r="AD31" s="89">
        <f t="shared" si="6"/>
        <v>11</v>
      </c>
      <c r="AE31" s="89">
        <f t="shared" si="2"/>
        <v>0</v>
      </c>
      <c r="AF31" s="175"/>
      <c r="AG31" s="175">
        <f t="shared" si="8"/>
        <v>514.00000000000011</v>
      </c>
      <c r="AH31" s="193">
        <f t="shared" si="3"/>
        <v>2.1400778210116728E-2</v>
      </c>
      <c r="AJ31" s="6" t="s">
        <v>41</v>
      </c>
      <c r="AK31" s="512">
        <v>13025.71</v>
      </c>
      <c r="AL31" s="513">
        <v>66010.019999999975</v>
      </c>
      <c r="AM31" s="488">
        <f>AK31/AL31</f>
        <v>0.19732928425108801</v>
      </c>
      <c r="AO31" s="517" t="s">
        <v>15</v>
      </c>
      <c r="AP31" s="519">
        <v>29197.4</v>
      </c>
      <c r="AQ31" s="519">
        <v>128880.31079999999</v>
      </c>
      <c r="AR31" s="489">
        <f t="shared" ref="AR31:AR35" si="27">AP31/AQ31</f>
        <v>0.22654662933975483</v>
      </c>
    </row>
    <row r="32" spans="1:44" x14ac:dyDescent="0.35">
      <c r="A32" s="6" t="s">
        <v>38</v>
      </c>
      <c r="B32" s="12">
        <f t="shared" ref="B32:Z32" si="28">B338+B185</f>
        <v>4.2</v>
      </c>
      <c r="C32" s="12">
        <f t="shared" si="28"/>
        <v>0.21000000000000002</v>
      </c>
      <c r="D32" s="12">
        <f t="shared" si="28"/>
        <v>0</v>
      </c>
      <c r="E32" s="12">
        <f t="shared" si="28"/>
        <v>0</v>
      </c>
      <c r="F32" s="12">
        <f t="shared" si="28"/>
        <v>0</v>
      </c>
      <c r="G32" s="12">
        <f t="shared" si="28"/>
        <v>0</v>
      </c>
      <c r="H32" s="12">
        <f t="shared" si="28"/>
        <v>0</v>
      </c>
      <c r="I32" s="12">
        <f t="shared" si="28"/>
        <v>0</v>
      </c>
      <c r="J32" s="12">
        <f t="shared" si="28"/>
        <v>0</v>
      </c>
      <c r="K32" s="12">
        <f t="shared" si="28"/>
        <v>0</v>
      </c>
      <c r="L32" s="12">
        <f t="shared" si="28"/>
        <v>0.19</v>
      </c>
      <c r="M32" s="12">
        <f t="shared" si="28"/>
        <v>0</v>
      </c>
      <c r="N32" s="12">
        <f t="shared" si="28"/>
        <v>0</v>
      </c>
      <c r="O32" s="12">
        <f t="shared" si="28"/>
        <v>0</v>
      </c>
      <c r="P32" s="12">
        <f t="shared" si="28"/>
        <v>0</v>
      </c>
      <c r="Q32" s="12">
        <f t="shared" si="28"/>
        <v>0.13</v>
      </c>
      <c r="R32" s="12">
        <f t="shared" si="28"/>
        <v>0.15000000000000002</v>
      </c>
      <c r="S32" s="12">
        <f t="shared" si="28"/>
        <v>0.7</v>
      </c>
      <c r="T32" s="12">
        <f t="shared" si="28"/>
        <v>0.96</v>
      </c>
      <c r="U32" s="12">
        <f t="shared" si="28"/>
        <v>1.9700000000000002</v>
      </c>
      <c r="V32" s="12">
        <f t="shared" si="28"/>
        <v>0</v>
      </c>
      <c r="W32" s="12">
        <f t="shared" si="28"/>
        <v>0</v>
      </c>
      <c r="X32" s="12">
        <f t="shared" si="28"/>
        <v>0.36</v>
      </c>
      <c r="Y32" s="12">
        <f t="shared" si="28"/>
        <v>0</v>
      </c>
      <c r="Z32" s="12">
        <f t="shared" si="28"/>
        <v>8.870000000000001</v>
      </c>
      <c r="AA32" s="150">
        <f t="shared" si="1"/>
        <v>1.7714078280688745E-5</v>
      </c>
      <c r="AC32" s="89">
        <f t="shared" si="5"/>
        <v>6.5400000000000009</v>
      </c>
      <c r="AD32" s="89">
        <f t="shared" si="6"/>
        <v>2.33</v>
      </c>
      <c r="AE32" s="89">
        <f t="shared" si="2"/>
        <v>0</v>
      </c>
      <c r="AF32" s="175"/>
      <c r="AG32" s="175">
        <f t="shared" si="8"/>
        <v>8.870000000000001</v>
      </c>
      <c r="AH32" s="193">
        <f t="shared" si="3"/>
        <v>0.26268320180383314</v>
      </c>
      <c r="AJ32" s="6" t="s">
        <v>26</v>
      </c>
      <c r="AK32" s="89">
        <v>9497.8599999999988</v>
      </c>
      <c r="AL32" s="514">
        <v>82587.188399999999</v>
      </c>
      <c r="AM32" s="488">
        <f t="shared" ref="AM32:AM56" si="29">AK32/AL32</f>
        <v>0.11500403614660405</v>
      </c>
      <c r="AO32" s="517" t="s">
        <v>22</v>
      </c>
      <c r="AP32" s="519">
        <v>8021.2899999999991</v>
      </c>
      <c r="AQ32" s="519">
        <v>74140.409999999974</v>
      </c>
      <c r="AR32" s="489">
        <f t="shared" si="27"/>
        <v>0.10819052659676419</v>
      </c>
    </row>
    <row r="33" spans="1:44" x14ac:dyDescent="0.35">
      <c r="A33" s="6" t="s">
        <v>39</v>
      </c>
      <c r="B33" s="12">
        <f t="shared" ref="B33:Z33" si="30">B339+B186</f>
        <v>8887.7300000000068</v>
      </c>
      <c r="C33" s="12">
        <f t="shared" si="30"/>
        <v>477.29</v>
      </c>
      <c r="D33" s="12">
        <f t="shared" si="30"/>
        <v>20.99</v>
      </c>
      <c r="E33" s="12">
        <f t="shared" si="30"/>
        <v>28.63</v>
      </c>
      <c r="F33" s="12">
        <f t="shared" si="30"/>
        <v>18.66</v>
      </c>
      <c r="G33" s="12">
        <f t="shared" si="30"/>
        <v>24.32</v>
      </c>
      <c r="H33" s="12">
        <f t="shared" si="30"/>
        <v>39.33</v>
      </c>
      <c r="I33" s="12">
        <f t="shared" si="30"/>
        <v>44.949999999999996</v>
      </c>
      <c r="J33" s="12">
        <f t="shared" si="30"/>
        <v>30.93</v>
      </c>
      <c r="K33" s="12">
        <f t="shared" si="30"/>
        <v>34.489999999999995</v>
      </c>
      <c r="L33" s="12">
        <f t="shared" si="30"/>
        <v>15.510000000000002</v>
      </c>
      <c r="M33" s="12">
        <f t="shared" si="30"/>
        <v>38.549999999999997</v>
      </c>
      <c r="N33" s="12">
        <f t="shared" si="30"/>
        <v>17.07</v>
      </c>
      <c r="O33" s="12">
        <f t="shared" si="30"/>
        <v>25.63</v>
      </c>
      <c r="P33" s="12">
        <f t="shared" si="30"/>
        <v>48.910000000000004</v>
      </c>
      <c r="Q33" s="12">
        <f t="shared" si="30"/>
        <v>40.229999999999997</v>
      </c>
      <c r="R33" s="12">
        <f t="shared" si="30"/>
        <v>123.39000000000003</v>
      </c>
      <c r="S33" s="12">
        <f t="shared" si="30"/>
        <v>104.08999999999999</v>
      </c>
      <c r="T33" s="12">
        <f t="shared" si="30"/>
        <v>124.33999999999999</v>
      </c>
      <c r="U33" s="12">
        <f t="shared" si="30"/>
        <v>99.320000000000022</v>
      </c>
      <c r="V33" s="12">
        <f t="shared" si="30"/>
        <v>82.360000000000014</v>
      </c>
      <c r="W33" s="12">
        <f t="shared" si="30"/>
        <v>72.980000000000018</v>
      </c>
      <c r="X33" s="12">
        <f t="shared" si="30"/>
        <v>43.61</v>
      </c>
      <c r="Y33" s="12">
        <f t="shared" si="30"/>
        <v>0.35</v>
      </c>
      <c r="Z33" s="12">
        <f t="shared" si="30"/>
        <v>10443.660000000005</v>
      </c>
      <c r="AA33" s="150">
        <f t="shared" si="1"/>
        <v>2.0856799411149703E-2</v>
      </c>
      <c r="AC33" s="89">
        <f t="shared" si="5"/>
        <v>10145.040000000005</v>
      </c>
      <c r="AD33" s="89">
        <f t="shared" si="6"/>
        <v>298.27000000000004</v>
      </c>
      <c r="AE33" s="89">
        <f t="shared" si="2"/>
        <v>0.35</v>
      </c>
      <c r="AF33" s="175"/>
      <c r="AG33" s="175">
        <f t="shared" si="8"/>
        <v>10443.660000000005</v>
      </c>
      <c r="AH33" s="193">
        <f t="shared" si="3"/>
        <v>2.855991098905938E-2</v>
      </c>
      <c r="AJ33" s="6" t="s">
        <v>22</v>
      </c>
      <c r="AK33" s="89">
        <v>8021.2899999999991</v>
      </c>
      <c r="AL33" s="514">
        <v>74140.409999999974</v>
      </c>
      <c r="AM33" s="488">
        <f t="shared" si="29"/>
        <v>0.10819052659676419</v>
      </c>
      <c r="AO33" s="517" t="s">
        <v>12</v>
      </c>
      <c r="AP33" s="519">
        <v>5727.71</v>
      </c>
      <c r="AQ33" s="519">
        <v>58530.640000000029</v>
      </c>
      <c r="AR33" s="489">
        <f t="shared" si="27"/>
        <v>9.7858318309862954E-2</v>
      </c>
    </row>
    <row r="34" spans="1:44" x14ac:dyDescent="0.35">
      <c r="A34" s="6" t="s">
        <v>40</v>
      </c>
      <c r="B34" s="12">
        <f t="shared" ref="B34:Z34" si="31">B340+B187</f>
        <v>9205.7700000000168</v>
      </c>
      <c r="C34" s="12">
        <f t="shared" si="31"/>
        <v>323.70999999999981</v>
      </c>
      <c r="D34" s="12">
        <f t="shared" si="31"/>
        <v>28.41</v>
      </c>
      <c r="E34" s="12">
        <f t="shared" si="31"/>
        <v>42.91</v>
      </c>
      <c r="F34" s="12">
        <f t="shared" si="31"/>
        <v>25.1</v>
      </c>
      <c r="G34" s="12">
        <f t="shared" si="31"/>
        <v>31.79</v>
      </c>
      <c r="H34" s="12">
        <f t="shared" si="31"/>
        <v>65.14</v>
      </c>
      <c r="I34" s="12">
        <f t="shared" si="31"/>
        <v>47.74</v>
      </c>
      <c r="J34" s="12">
        <f t="shared" si="31"/>
        <v>24.169999999999995</v>
      </c>
      <c r="K34" s="12">
        <f t="shared" si="31"/>
        <v>35.64</v>
      </c>
      <c r="L34" s="12">
        <f t="shared" si="31"/>
        <v>21.309999999999995</v>
      </c>
      <c r="M34" s="12">
        <f t="shared" si="31"/>
        <v>44.86</v>
      </c>
      <c r="N34" s="12">
        <f t="shared" si="31"/>
        <v>37.46</v>
      </c>
      <c r="O34" s="12">
        <f t="shared" si="31"/>
        <v>45.44</v>
      </c>
      <c r="P34" s="12">
        <f t="shared" si="31"/>
        <v>46.39</v>
      </c>
      <c r="Q34" s="12">
        <f t="shared" si="31"/>
        <v>76.200000000000017</v>
      </c>
      <c r="R34" s="12">
        <f t="shared" si="31"/>
        <v>132.76000000000002</v>
      </c>
      <c r="S34" s="12">
        <f t="shared" si="31"/>
        <v>143.29</v>
      </c>
      <c r="T34" s="12">
        <f t="shared" si="31"/>
        <v>151.43</v>
      </c>
      <c r="U34" s="12">
        <f t="shared" si="31"/>
        <v>165.73999999999995</v>
      </c>
      <c r="V34" s="12">
        <f t="shared" si="31"/>
        <v>116.59999999999998</v>
      </c>
      <c r="W34" s="12">
        <f t="shared" si="31"/>
        <v>140.91</v>
      </c>
      <c r="X34" s="12">
        <f t="shared" si="31"/>
        <v>91.699999999999989</v>
      </c>
      <c r="Y34" s="12">
        <f t="shared" si="31"/>
        <v>0.30000000000000004</v>
      </c>
      <c r="Z34" s="12">
        <f t="shared" si="31"/>
        <v>11044.770000000015</v>
      </c>
      <c r="AA34" s="150">
        <f t="shared" si="1"/>
        <v>2.2057262725163795E-2</v>
      </c>
      <c r="AC34" s="89">
        <f t="shared" si="5"/>
        <v>10529.520000000017</v>
      </c>
      <c r="AD34" s="89">
        <f t="shared" si="6"/>
        <v>514.94999999999982</v>
      </c>
      <c r="AE34" s="89">
        <f t="shared" si="2"/>
        <v>0.30000000000000004</v>
      </c>
      <c r="AF34" s="175">
        <v>0</v>
      </c>
      <c r="AG34" s="175">
        <f>SUM(AC34:AF34)</f>
        <v>11044.770000000015</v>
      </c>
      <c r="AH34" s="193">
        <f t="shared" si="3"/>
        <v>4.6623877183499439E-2</v>
      </c>
      <c r="AJ34" s="6" t="s">
        <v>43</v>
      </c>
      <c r="AK34" s="89">
        <v>6687.0500000000011</v>
      </c>
      <c r="AL34" s="514">
        <v>27012.9408</v>
      </c>
      <c r="AM34" s="488">
        <f t="shared" si="29"/>
        <v>0.24754987061608638</v>
      </c>
      <c r="AO34" s="517" t="s">
        <v>13</v>
      </c>
      <c r="AP34" s="519">
        <v>3049.59</v>
      </c>
      <c r="AQ34" s="519">
        <v>54378.517699999975</v>
      </c>
      <c r="AR34" s="489">
        <f t="shared" si="27"/>
        <v>5.6080785740137994E-2</v>
      </c>
    </row>
    <row r="35" spans="1:44" x14ac:dyDescent="0.35">
      <c r="A35" s="116" t="s">
        <v>15</v>
      </c>
      <c r="B35" s="117">
        <f t="shared" ref="B35:Z35" si="32">B341+B188</f>
        <v>30958.489999999998</v>
      </c>
      <c r="C35" s="117">
        <f t="shared" si="32"/>
        <v>3060.8799999999992</v>
      </c>
      <c r="D35" s="117">
        <f t="shared" si="32"/>
        <v>692.71</v>
      </c>
      <c r="E35" s="117">
        <f t="shared" si="32"/>
        <v>532.3900000000001</v>
      </c>
      <c r="F35" s="117">
        <f t="shared" si="32"/>
        <v>708.87999999999988</v>
      </c>
      <c r="G35" s="117">
        <f t="shared" si="32"/>
        <v>1172.7199999999998</v>
      </c>
      <c r="H35" s="117">
        <f t="shared" si="32"/>
        <v>1701</v>
      </c>
      <c r="I35" s="117">
        <f t="shared" si="32"/>
        <v>1308.5200000000002</v>
      </c>
      <c r="J35" s="117">
        <f t="shared" si="32"/>
        <v>2774.0500000000006</v>
      </c>
      <c r="K35" s="117">
        <f t="shared" si="32"/>
        <v>1389.0900000000001</v>
      </c>
      <c r="L35" s="117">
        <f t="shared" si="32"/>
        <v>1967.14</v>
      </c>
      <c r="M35" s="117">
        <f t="shared" si="32"/>
        <v>2121.5200000000004</v>
      </c>
      <c r="N35" s="117">
        <f t="shared" si="32"/>
        <v>1280.98</v>
      </c>
      <c r="O35" s="117">
        <f t="shared" si="32"/>
        <v>2160.46</v>
      </c>
      <c r="P35" s="117">
        <f t="shared" si="32"/>
        <v>2414</v>
      </c>
      <c r="Q35" s="117">
        <f t="shared" si="32"/>
        <v>4414.6899999999996</v>
      </c>
      <c r="R35" s="117">
        <f t="shared" si="32"/>
        <v>11831.629999999997</v>
      </c>
      <c r="S35" s="117">
        <f t="shared" si="32"/>
        <v>15833.78</v>
      </c>
      <c r="T35" s="117">
        <f t="shared" si="32"/>
        <v>13133.689999999999</v>
      </c>
      <c r="U35" s="117">
        <f t="shared" si="32"/>
        <v>7826.4999999999982</v>
      </c>
      <c r="V35" s="117">
        <f t="shared" si="32"/>
        <v>8015.8700000000008</v>
      </c>
      <c r="W35" s="117">
        <f t="shared" si="32"/>
        <v>7274.04</v>
      </c>
      <c r="X35" s="117">
        <f t="shared" si="32"/>
        <v>6080.99</v>
      </c>
      <c r="Y35" s="117">
        <f t="shared" si="32"/>
        <v>85.519999999999982</v>
      </c>
      <c r="Z35" s="117">
        <f t="shared" si="32"/>
        <v>128739.53999999998</v>
      </c>
      <c r="AA35" s="151">
        <f t="shared" si="1"/>
        <v>0.25710285111385106</v>
      </c>
      <c r="AC35" s="117">
        <f>SUM(B35:T35)</f>
        <v>99456.62</v>
      </c>
      <c r="AD35" s="117">
        <f>SUM(U35:X35)</f>
        <v>29197.4</v>
      </c>
      <c r="AE35" s="117">
        <f t="shared" ref="AE35" si="33">Y35</f>
        <v>85.519999999999982</v>
      </c>
      <c r="AF35" s="117">
        <v>140.77080000000001</v>
      </c>
      <c r="AG35" s="117">
        <f>SUM(AC35:AF35)</f>
        <v>128880.31079999999</v>
      </c>
      <c r="AH35" s="185">
        <f t="shared" si="3"/>
        <v>0.22654662933975483</v>
      </c>
      <c r="AJ35" s="6" t="s">
        <v>42</v>
      </c>
      <c r="AK35" s="89">
        <v>4775.1299999999992</v>
      </c>
      <c r="AL35" s="515">
        <v>15263.380000000001</v>
      </c>
      <c r="AM35" s="488">
        <f t="shared" si="29"/>
        <v>0.31284879233826313</v>
      </c>
      <c r="AO35" s="517" t="s">
        <v>17</v>
      </c>
      <c r="AP35" s="519">
        <v>2095.56</v>
      </c>
      <c r="AQ35" s="519">
        <v>5864.2199999999993</v>
      </c>
      <c r="AR35" s="489">
        <f t="shared" si="27"/>
        <v>0.35734675711347802</v>
      </c>
    </row>
    <row r="36" spans="1:44" x14ac:dyDescent="0.35">
      <c r="A36" s="6" t="s">
        <v>41</v>
      </c>
      <c r="B36" s="12">
        <f t="shared" ref="B36:Z36" si="34">B342+B189</f>
        <v>18594.489999999994</v>
      </c>
      <c r="C36" s="12">
        <f t="shared" si="34"/>
        <v>1548.4699999999993</v>
      </c>
      <c r="D36" s="12">
        <f t="shared" si="34"/>
        <v>444.33000000000004</v>
      </c>
      <c r="E36" s="12">
        <f t="shared" si="34"/>
        <v>344.09000000000003</v>
      </c>
      <c r="F36" s="12">
        <f t="shared" si="34"/>
        <v>432.51999999999992</v>
      </c>
      <c r="G36" s="12">
        <f t="shared" si="34"/>
        <v>602.54999999999984</v>
      </c>
      <c r="H36" s="12">
        <f t="shared" si="34"/>
        <v>900.89999999999975</v>
      </c>
      <c r="I36" s="12">
        <f t="shared" si="34"/>
        <v>773.01000000000022</v>
      </c>
      <c r="J36" s="12">
        <f t="shared" si="34"/>
        <v>1461.66</v>
      </c>
      <c r="K36" s="12">
        <f t="shared" si="34"/>
        <v>755.85</v>
      </c>
      <c r="L36" s="12">
        <f t="shared" si="34"/>
        <v>1021.8599999999999</v>
      </c>
      <c r="M36" s="12">
        <f t="shared" si="34"/>
        <v>1139.6100000000001</v>
      </c>
      <c r="N36" s="12">
        <f t="shared" si="34"/>
        <v>566.36000000000024</v>
      </c>
      <c r="O36" s="12">
        <f t="shared" si="34"/>
        <v>1118.1199999999999</v>
      </c>
      <c r="P36" s="12">
        <f t="shared" si="34"/>
        <v>1300.4699999999998</v>
      </c>
      <c r="Q36" s="12">
        <f t="shared" si="34"/>
        <v>2276.3000000000002</v>
      </c>
      <c r="R36" s="12">
        <f t="shared" si="34"/>
        <v>6124.2999999999975</v>
      </c>
      <c r="S36" s="12">
        <f t="shared" si="34"/>
        <v>7297.15</v>
      </c>
      <c r="T36" s="12">
        <f t="shared" si="34"/>
        <v>6175.0499999999984</v>
      </c>
      <c r="U36" s="12">
        <f t="shared" si="34"/>
        <v>3451.4099999999989</v>
      </c>
      <c r="V36" s="12">
        <f t="shared" si="34"/>
        <v>3924.2700000000004</v>
      </c>
      <c r="W36" s="12">
        <f t="shared" si="34"/>
        <v>2687.5399999999995</v>
      </c>
      <c r="X36" s="12">
        <f t="shared" si="34"/>
        <v>2962.4900000000007</v>
      </c>
      <c r="Y36" s="12">
        <f t="shared" si="34"/>
        <v>32.679999999999993</v>
      </c>
      <c r="Z36" s="12">
        <f t="shared" si="34"/>
        <v>65935.479999999981</v>
      </c>
      <c r="AA36" s="150">
        <f t="shared" si="1"/>
        <v>0.13167826992049453</v>
      </c>
      <c r="AC36" s="89">
        <f t="shared" si="5"/>
        <v>52877.089999999989</v>
      </c>
      <c r="AD36" s="89">
        <f t="shared" si="6"/>
        <v>13025.71</v>
      </c>
      <c r="AE36" s="89">
        <f t="shared" si="2"/>
        <v>32.679999999999993</v>
      </c>
      <c r="AF36" s="175">
        <v>74.540000000000006</v>
      </c>
      <c r="AG36" s="175">
        <f t="shared" ref="AG36:AG63" si="35">SUM(AC36:AF36)</f>
        <v>66010.019999999975</v>
      </c>
      <c r="AH36" s="193">
        <f t="shared" si="3"/>
        <v>0.19732928425108801</v>
      </c>
      <c r="AJ36" s="6" t="s">
        <v>45</v>
      </c>
      <c r="AK36" s="89">
        <v>4486.34</v>
      </c>
      <c r="AL36" s="514">
        <v>20127.730000000003</v>
      </c>
      <c r="AM36" s="488">
        <f t="shared" si="29"/>
        <v>0.22289349072150708</v>
      </c>
      <c r="AO36" s="517" t="s">
        <v>16</v>
      </c>
      <c r="AP36" s="519">
        <v>1037.74</v>
      </c>
      <c r="AQ36" s="519">
        <v>2626.43</v>
      </c>
      <c r="AR36" s="489">
        <f>AP36/AQ36</f>
        <v>0.39511428060142478</v>
      </c>
    </row>
    <row r="37" spans="1:44" x14ac:dyDescent="0.35">
      <c r="A37" s="6" t="s">
        <v>42</v>
      </c>
      <c r="B37" s="12">
        <f t="shared" ref="B37:Z37" si="36">B343+B190</f>
        <v>1539.1200000000003</v>
      </c>
      <c r="C37" s="12">
        <f t="shared" si="36"/>
        <v>310.31</v>
      </c>
      <c r="D37" s="12">
        <f t="shared" si="36"/>
        <v>26.73</v>
      </c>
      <c r="E37" s="12">
        <f t="shared" si="36"/>
        <v>28.43</v>
      </c>
      <c r="F37" s="12">
        <f t="shared" si="36"/>
        <v>51.519999999999996</v>
      </c>
      <c r="G37" s="12">
        <f t="shared" si="36"/>
        <v>85.82</v>
      </c>
      <c r="H37" s="12">
        <f t="shared" si="36"/>
        <v>154.35</v>
      </c>
      <c r="I37" s="12">
        <f t="shared" si="36"/>
        <v>176.18999999999997</v>
      </c>
      <c r="J37" s="12">
        <f t="shared" si="36"/>
        <v>696.57000000000016</v>
      </c>
      <c r="K37" s="12">
        <f t="shared" si="36"/>
        <v>123.19</v>
      </c>
      <c r="L37" s="12">
        <f t="shared" si="36"/>
        <v>107.91</v>
      </c>
      <c r="M37" s="12">
        <f t="shared" si="36"/>
        <v>172.86</v>
      </c>
      <c r="N37" s="12">
        <f t="shared" si="36"/>
        <v>112.44000000000001</v>
      </c>
      <c r="O37" s="12">
        <f t="shared" si="36"/>
        <v>170.32000000000002</v>
      </c>
      <c r="P37" s="12">
        <f t="shared" si="36"/>
        <v>170.06000000000003</v>
      </c>
      <c r="Q37" s="12">
        <f t="shared" si="36"/>
        <v>367.54999999999995</v>
      </c>
      <c r="R37" s="12">
        <f t="shared" si="36"/>
        <v>1417.78</v>
      </c>
      <c r="S37" s="12">
        <f t="shared" si="36"/>
        <v>2778.25</v>
      </c>
      <c r="T37" s="12">
        <f t="shared" si="36"/>
        <v>1984.8700000000008</v>
      </c>
      <c r="U37" s="12">
        <f t="shared" si="36"/>
        <v>1468.5899999999997</v>
      </c>
      <c r="V37" s="12">
        <f t="shared" si="36"/>
        <v>1036.1300000000001</v>
      </c>
      <c r="W37" s="12">
        <f t="shared" si="36"/>
        <v>1439.6999999999996</v>
      </c>
      <c r="X37" s="12">
        <f t="shared" si="36"/>
        <v>830.71</v>
      </c>
      <c r="Y37" s="12">
        <f t="shared" si="36"/>
        <v>8.8099999999999987</v>
      </c>
      <c r="Z37" s="12">
        <f t="shared" si="36"/>
        <v>15258.210000000003</v>
      </c>
      <c r="AA37" s="150">
        <f t="shared" si="1"/>
        <v>3.0471829353234253E-2</v>
      </c>
      <c r="AC37" s="89">
        <f t="shared" si="5"/>
        <v>10474.270000000002</v>
      </c>
      <c r="AD37" s="89">
        <f t="shared" si="6"/>
        <v>4775.1299999999992</v>
      </c>
      <c r="AE37" s="89">
        <f t="shared" si="2"/>
        <v>8.8099999999999987</v>
      </c>
      <c r="AF37" s="175">
        <v>5.17</v>
      </c>
      <c r="AG37" s="175">
        <f t="shared" si="35"/>
        <v>15263.380000000001</v>
      </c>
      <c r="AH37" s="193">
        <f t="shared" si="3"/>
        <v>0.31284879233826313</v>
      </c>
      <c r="AJ37" s="6" t="s">
        <v>33</v>
      </c>
      <c r="AK37" s="89">
        <v>3679.3</v>
      </c>
      <c r="AL37" s="514">
        <v>31577.830000000013</v>
      </c>
      <c r="AM37" s="488">
        <f t="shared" si="29"/>
        <v>0.11651528936598869</v>
      </c>
      <c r="AP37" s="141"/>
      <c r="AQ37" s="520"/>
      <c r="AR37" s="521"/>
    </row>
    <row r="38" spans="1:44" x14ac:dyDescent="0.35">
      <c r="A38" s="6" t="s">
        <v>43</v>
      </c>
      <c r="B38" s="12">
        <f t="shared" ref="B38:Z38" si="37">B344+B191</f>
        <v>8095.4800000000005</v>
      </c>
      <c r="C38" s="12">
        <f t="shared" si="37"/>
        <v>616.36</v>
      </c>
      <c r="D38" s="12">
        <f t="shared" si="37"/>
        <v>86.98</v>
      </c>
      <c r="E38" s="12">
        <f t="shared" si="37"/>
        <v>44.160000000000004</v>
      </c>
      <c r="F38" s="12">
        <f t="shared" si="37"/>
        <v>74.510000000000005</v>
      </c>
      <c r="G38" s="12">
        <f t="shared" si="37"/>
        <v>110.40000000000003</v>
      </c>
      <c r="H38" s="12">
        <f t="shared" si="37"/>
        <v>238.33000000000004</v>
      </c>
      <c r="I38" s="12">
        <f t="shared" si="37"/>
        <v>89.740000000000009</v>
      </c>
      <c r="J38" s="12">
        <f t="shared" si="37"/>
        <v>206.85000000000002</v>
      </c>
      <c r="K38" s="12">
        <f t="shared" si="37"/>
        <v>209.32000000000005</v>
      </c>
      <c r="L38" s="12">
        <f t="shared" si="37"/>
        <v>386.87000000000006</v>
      </c>
      <c r="M38" s="12">
        <f t="shared" si="37"/>
        <v>405.96</v>
      </c>
      <c r="N38" s="12">
        <f t="shared" si="37"/>
        <v>279.04999999999995</v>
      </c>
      <c r="O38" s="12">
        <f t="shared" si="37"/>
        <v>304.91000000000003</v>
      </c>
      <c r="P38" s="12">
        <f t="shared" si="37"/>
        <v>431.5800000000001</v>
      </c>
      <c r="Q38" s="12">
        <f t="shared" si="37"/>
        <v>702.78999999999974</v>
      </c>
      <c r="R38" s="12">
        <f t="shared" si="37"/>
        <v>1797.2199999999998</v>
      </c>
      <c r="S38" s="12">
        <f t="shared" si="37"/>
        <v>3104.0300000000007</v>
      </c>
      <c r="T38" s="12">
        <f t="shared" si="37"/>
        <v>3074.1200000000003</v>
      </c>
      <c r="U38" s="12">
        <f t="shared" si="37"/>
        <v>1768.9900000000002</v>
      </c>
      <c r="V38" s="12">
        <f t="shared" si="37"/>
        <v>1789.8800000000006</v>
      </c>
      <c r="W38" s="12">
        <f t="shared" si="37"/>
        <v>1712.8400000000001</v>
      </c>
      <c r="X38" s="12">
        <f t="shared" si="37"/>
        <v>1415.3399999999997</v>
      </c>
      <c r="Y38" s="12">
        <f t="shared" si="37"/>
        <v>31.039999999999996</v>
      </c>
      <c r="Z38" s="12">
        <f t="shared" si="37"/>
        <v>26976.750000000004</v>
      </c>
      <c r="AA38" s="150">
        <f t="shared" si="1"/>
        <v>5.3874663050571599E-2</v>
      </c>
      <c r="AC38" s="89">
        <f t="shared" si="5"/>
        <v>20258.659999999996</v>
      </c>
      <c r="AD38" s="89">
        <f t="shared" si="6"/>
        <v>6687.0500000000011</v>
      </c>
      <c r="AE38" s="89">
        <f t="shared" si="2"/>
        <v>31.039999999999996</v>
      </c>
      <c r="AF38" s="175">
        <v>36.190800000000003</v>
      </c>
      <c r="AG38" s="175">
        <f t="shared" si="35"/>
        <v>27012.9408</v>
      </c>
      <c r="AH38" s="193">
        <f t="shared" si="3"/>
        <v>0.24754987061608638</v>
      </c>
      <c r="AJ38" s="6" t="s">
        <v>8</v>
      </c>
      <c r="AK38" s="89">
        <v>3626.8799999999997</v>
      </c>
      <c r="AL38" s="514">
        <v>5041.5899999999992</v>
      </c>
      <c r="AM38" s="488">
        <f t="shared" si="29"/>
        <v>0.71939209654097225</v>
      </c>
    </row>
    <row r="39" spans="1:44" x14ac:dyDescent="0.35">
      <c r="A39" s="6" t="s">
        <v>44</v>
      </c>
      <c r="B39" s="12">
        <f t="shared" ref="B39:Z39" si="38">B345+B192</f>
        <v>84.94</v>
      </c>
      <c r="C39" s="12">
        <f t="shared" si="38"/>
        <v>10.02</v>
      </c>
      <c r="D39" s="12">
        <f t="shared" si="38"/>
        <v>4.51</v>
      </c>
      <c r="E39" s="12">
        <f t="shared" si="38"/>
        <v>0.67999999999999994</v>
      </c>
      <c r="F39" s="12">
        <f t="shared" si="38"/>
        <v>0.21</v>
      </c>
      <c r="G39" s="12">
        <f t="shared" si="38"/>
        <v>4.22</v>
      </c>
      <c r="H39" s="12">
        <f t="shared" si="38"/>
        <v>8.4400000000000013</v>
      </c>
      <c r="I39" s="12">
        <f t="shared" si="38"/>
        <v>2.23</v>
      </c>
      <c r="J39" s="12">
        <f t="shared" si="38"/>
        <v>0.62</v>
      </c>
      <c r="K39" s="12">
        <f t="shared" si="38"/>
        <v>9.7100000000000009</v>
      </c>
      <c r="L39" s="12">
        <f t="shared" si="38"/>
        <v>7.08</v>
      </c>
      <c r="M39" s="12">
        <f t="shared" si="38"/>
        <v>6.14</v>
      </c>
      <c r="N39" s="12">
        <f t="shared" si="38"/>
        <v>5.7700000000000005</v>
      </c>
      <c r="O39" s="12">
        <f t="shared" si="38"/>
        <v>3.2500000000000004</v>
      </c>
      <c r="P39" s="12">
        <f t="shared" si="38"/>
        <v>4.5599999999999996</v>
      </c>
      <c r="Q39" s="12">
        <f t="shared" si="38"/>
        <v>8.56</v>
      </c>
      <c r="R39" s="12">
        <f t="shared" si="38"/>
        <v>12.31</v>
      </c>
      <c r="S39" s="12">
        <f t="shared" si="38"/>
        <v>18.920000000000002</v>
      </c>
      <c r="T39" s="12">
        <f t="shared" si="38"/>
        <v>46.540000000000006</v>
      </c>
      <c r="U39" s="12">
        <f t="shared" si="38"/>
        <v>34.280000000000008</v>
      </c>
      <c r="V39" s="12">
        <f t="shared" si="38"/>
        <v>99.33</v>
      </c>
      <c r="W39" s="12">
        <f t="shared" si="38"/>
        <v>65.069999999999993</v>
      </c>
      <c r="X39" s="12">
        <f t="shared" si="38"/>
        <v>24.490000000000002</v>
      </c>
      <c r="Y39" s="12">
        <f t="shared" si="38"/>
        <v>1.08</v>
      </c>
      <c r="Z39" s="12">
        <f t="shared" si="38"/>
        <v>462.96000000000004</v>
      </c>
      <c r="AA39" s="150">
        <f t="shared" si="1"/>
        <v>9.2456704406174302E-4</v>
      </c>
      <c r="AC39" s="89">
        <f t="shared" si="5"/>
        <v>238.71000000000004</v>
      </c>
      <c r="AD39" s="89">
        <f t="shared" si="6"/>
        <v>223.17000000000002</v>
      </c>
      <c r="AE39" s="89">
        <f t="shared" si="2"/>
        <v>1.08</v>
      </c>
      <c r="AF39" s="175">
        <v>3.28</v>
      </c>
      <c r="AG39" s="175">
        <f t="shared" si="35"/>
        <v>466.24</v>
      </c>
      <c r="AH39" s="193">
        <f t="shared" si="3"/>
        <v>0.47865905971173645</v>
      </c>
      <c r="AJ39" s="6" t="s">
        <v>6</v>
      </c>
      <c r="AK39" s="89">
        <v>3553.82</v>
      </c>
      <c r="AL39" s="515">
        <v>44169.807300000015</v>
      </c>
      <c r="AM39" s="488">
        <f t="shared" si="29"/>
        <v>8.0458127785402386E-2</v>
      </c>
    </row>
    <row r="40" spans="1:44" x14ac:dyDescent="0.35">
      <c r="A40" s="6" t="s">
        <v>45</v>
      </c>
      <c r="B40" s="12">
        <f t="shared" ref="B40:Z40" si="39">B346+B193</f>
        <v>2644.4600000000009</v>
      </c>
      <c r="C40" s="12">
        <f t="shared" si="39"/>
        <v>575.72</v>
      </c>
      <c r="D40" s="12">
        <f t="shared" si="39"/>
        <v>130.15999999999997</v>
      </c>
      <c r="E40" s="12">
        <f t="shared" si="39"/>
        <v>115.02999999999997</v>
      </c>
      <c r="F40" s="12">
        <f t="shared" si="39"/>
        <v>150.11999999999995</v>
      </c>
      <c r="G40" s="12">
        <f t="shared" si="39"/>
        <v>369.7299999999999</v>
      </c>
      <c r="H40" s="12">
        <f t="shared" si="39"/>
        <v>398.98</v>
      </c>
      <c r="I40" s="12">
        <f t="shared" si="39"/>
        <v>267.34999999999997</v>
      </c>
      <c r="J40" s="12">
        <f t="shared" si="39"/>
        <v>408.35000000000008</v>
      </c>
      <c r="K40" s="12">
        <f t="shared" si="39"/>
        <v>291.02</v>
      </c>
      <c r="L40" s="12">
        <f t="shared" si="39"/>
        <v>443.4199999999999</v>
      </c>
      <c r="M40" s="12">
        <f t="shared" si="39"/>
        <v>396.95</v>
      </c>
      <c r="N40" s="12">
        <f t="shared" si="39"/>
        <v>317.36000000000007</v>
      </c>
      <c r="O40" s="12">
        <f t="shared" si="39"/>
        <v>563.86000000000013</v>
      </c>
      <c r="P40" s="12">
        <f t="shared" si="39"/>
        <v>507.3300000000001</v>
      </c>
      <c r="Q40" s="12">
        <f t="shared" si="39"/>
        <v>1059.49</v>
      </c>
      <c r="R40" s="12">
        <f t="shared" si="39"/>
        <v>2480.02</v>
      </c>
      <c r="S40" s="12">
        <f t="shared" si="39"/>
        <v>2635.4299999999989</v>
      </c>
      <c r="T40" s="12">
        <f t="shared" si="39"/>
        <v>1853.11</v>
      </c>
      <c r="U40" s="12">
        <f t="shared" si="39"/>
        <v>1103.2299999999998</v>
      </c>
      <c r="V40" s="12">
        <f t="shared" si="39"/>
        <v>1166.26</v>
      </c>
      <c r="W40" s="12">
        <f t="shared" si="39"/>
        <v>1368.89</v>
      </c>
      <c r="X40" s="12">
        <f t="shared" si="39"/>
        <v>847.96</v>
      </c>
      <c r="Y40" s="12">
        <f t="shared" si="39"/>
        <v>11.91</v>
      </c>
      <c r="Z40" s="12">
        <f t="shared" si="39"/>
        <v>20106.14</v>
      </c>
      <c r="AA40" s="150">
        <f t="shared" si="1"/>
        <v>4.0153521745488967E-2</v>
      </c>
      <c r="AC40" s="89">
        <f t="shared" si="5"/>
        <v>15607.890000000001</v>
      </c>
      <c r="AD40" s="89">
        <f t="shared" si="6"/>
        <v>4486.34</v>
      </c>
      <c r="AE40" s="89">
        <f t="shared" si="2"/>
        <v>11.91</v>
      </c>
      <c r="AF40" s="175">
        <v>21.59</v>
      </c>
      <c r="AG40" s="175">
        <f t="shared" si="35"/>
        <v>20127.730000000003</v>
      </c>
      <c r="AH40" s="193">
        <f t="shared" si="3"/>
        <v>0.22289349072150708</v>
      </c>
      <c r="AJ40" s="6" t="s">
        <v>30</v>
      </c>
      <c r="AK40" s="89">
        <v>2099.7599999999998</v>
      </c>
      <c r="AL40" s="514">
        <v>4007.2769999999996</v>
      </c>
      <c r="AM40" s="488">
        <f t="shared" si="29"/>
        <v>0.52398673712847899</v>
      </c>
    </row>
    <row r="41" spans="1:44" x14ac:dyDescent="0.35">
      <c r="A41" s="116" t="s">
        <v>16</v>
      </c>
      <c r="B41" s="117">
        <f t="shared" ref="B41:Z41" si="40">B347+B194</f>
        <v>743.43</v>
      </c>
      <c r="C41" s="117">
        <f t="shared" si="40"/>
        <v>112.77</v>
      </c>
      <c r="D41" s="117">
        <f t="shared" si="40"/>
        <v>4.9000000000000004</v>
      </c>
      <c r="E41" s="117">
        <f t="shared" si="40"/>
        <v>2.4099999999999997</v>
      </c>
      <c r="F41" s="117">
        <f t="shared" si="40"/>
        <v>25.14</v>
      </c>
      <c r="G41" s="117">
        <f t="shared" si="40"/>
        <v>10.15</v>
      </c>
      <c r="H41" s="117">
        <f t="shared" si="40"/>
        <v>24.24</v>
      </c>
      <c r="I41" s="117">
        <f t="shared" si="40"/>
        <v>5.3900000000000006</v>
      </c>
      <c r="J41" s="117">
        <f t="shared" si="40"/>
        <v>9.9600000000000009</v>
      </c>
      <c r="K41" s="117">
        <f t="shared" si="40"/>
        <v>4.1100000000000003</v>
      </c>
      <c r="L41" s="117">
        <f t="shared" si="40"/>
        <v>11.59</v>
      </c>
      <c r="M41" s="117">
        <f t="shared" si="40"/>
        <v>23.52</v>
      </c>
      <c r="N41" s="117">
        <f t="shared" si="40"/>
        <v>15.98</v>
      </c>
      <c r="O41" s="117">
        <f t="shared" si="40"/>
        <v>14.219999999999997</v>
      </c>
      <c r="P41" s="117">
        <f t="shared" si="40"/>
        <v>31.560000000000002</v>
      </c>
      <c r="Q41" s="117">
        <f t="shared" si="40"/>
        <v>32.770000000000003</v>
      </c>
      <c r="R41" s="117">
        <f t="shared" si="40"/>
        <v>143.6</v>
      </c>
      <c r="S41" s="117">
        <f t="shared" si="40"/>
        <v>127.39</v>
      </c>
      <c r="T41" s="117">
        <f t="shared" si="40"/>
        <v>238.95000000000002</v>
      </c>
      <c r="U41" s="117">
        <f t="shared" si="40"/>
        <v>309.13</v>
      </c>
      <c r="V41" s="117">
        <f t="shared" si="40"/>
        <v>265.64999999999998</v>
      </c>
      <c r="W41" s="117">
        <f t="shared" si="40"/>
        <v>261.78999999999996</v>
      </c>
      <c r="X41" s="117">
        <f t="shared" si="40"/>
        <v>201.17000000000002</v>
      </c>
      <c r="Y41" s="117">
        <f t="shared" si="40"/>
        <v>6.61</v>
      </c>
      <c r="Z41" s="117">
        <f t="shared" si="40"/>
        <v>2626.43</v>
      </c>
      <c r="AA41" s="151">
        <f t="shared" si="1"/>
        <v>5.2451845116966546E-3</v>
      </c>
      <c r="AC41" s="117">
        <f>SUM(B41:T41)</f>
        <v>1582.08</v>
      </c>
      <c r="AD41" s="117">
        <f>SUM(U41:X41)</f>
        <v>1037.74</v>
      </c>
      <c r="AE41" s="117">
        <f t="shared" ref="AE41" si="41">Y41</f>
        <v>6.61</v>
      </c>
      <c r="AF41" s="117"/>
      <c r="AG41" s="117">
        <f>SUM(AC41:AF41)</f>
        <v>2626.43</v>
      </c>
      <c r="AH41" s="185">
        <f t="shared" si="3"/>
        <v>0.39511428060142478</v>
      </c>
      <c r="AJ41" s="5" t="s">
        <v>55</v>
      </c>
      <c r="AK41" s="89">
        <v>1989.6000000000004</v>
      </c>
      <c r="AL41" s="515">
        <v>5281.2</v>
      </c>
      <c r="AM41" s="526">
        <f t="shared" si="29"/>
        <v>0.37673256078164064</v>
      </c>
    </row>
    <row r="42" spans="1:44" x14ac:dyDescent="0.35">
      <c r="A42" s="6" t="s">
        <v>46</v>
      </c>
      <c r="B42" s="12">
        <f t="shared" ref="B42:Z42" si="42">B348+B195</f>
        <v>7.6899999999999995</v>
      </c>
      <c r="C42" s="12">
        <f t="shared" si="42"/>
        <v>0</v>
      </c>
      <c r="D42" s="12">
        <f t="shared" si="42"/>
        <v>0</v>
      </c>
      <c r="E42" s="12">
        <f t="shared" si="42"/>
        <v>0</v>
      </c>
      <c r="F42" s="12">
        <f t="shared" si="42"/>
        <v>0</v>
      </c>
      <c r="G42" s="12">
        <f t="shared" si="42"/>
        <v>0</v>
      </c>
      <c r="H42" s="12">
        <f t="shared" si="42"/>
        <v>0</v>
      </c>
      <c r="I42" s="12">
        <f t="shared" si="42"/>
        <v>0</v>
      </c>
      <c r="J42" s="12">
        <f t="shared" si="42"/>
        <v>0</v>
      </c>
      <c r="K42" s="12">
        <f t="shared" si="42"/>
        <v>0.08</v>
      </c>
      <c r="L42" s="12">
        <f t="shared" si="42"/>
        <v>0</v>
      </c>
      <c r="M42" s="12">
        <f t="shared" si="42"/>
        <v>0</v>
      </c>
      <c r="N42" s="12">
        <f t="shared" si="42"/>
        <v>0</v>
      </c>
      <c r="O42" s="12">
        <f t="shared" si="42"/>
        <v>0</v>
      </c>
      <c r="P42" s="12">
        <f t="shared" si="42"/>
        <v>0</v>
      </c>
      <c r="Q42" s="12">
        <f t="shared" si="42"/>
        <v>0.91</v>
      </c>
      <c r="R42" s="12">
        <f t="shared" si="42"/>
        <v>2.5099999999999998</v>
      </c>
      <c r="S42" s="12">
        <f t="shared" si="42"/>
        <v>6.85</v>
      </c>
      <c r="T42" s="12">
        <f t="shared" si="42"/>
        <v>1.8199999999999998</v>
      </c>
      <c r="U42" s="12">
        <f t="shared" si="42"/>
        <v>4.1800000000000006</v>
      </c>
      <c r="V42" s="12">
        <f t="shared" si="42"/>
        <v>18.380000000000003</v>
      </c>
      <c r="W42" s="12">
        <f t="shared" si="42"/>
        <v>8.5300000000000011</v>
      </c>
      <c r="X42" s="12">
        <f t="shared" si="42"/>
        <v>1.82</v>
      </c>
      <c r="Y42" s="12">
        <f t="shared" si="42"/>
        <v>0</v>
      </c>
      <c r="Z42" s="12">
        <f t="shared" si="42"/>
        <v>52.77</v>
      </c>
      <c r="AA42" s="150">
        <f t="shared" si="1"/>
        <v>1.0538578476572096E-4</v>
      </c>
      <c r="AC42" s="89">
        <f t="shared" si="5"/>
        <v>19.86</v>
      </c>
      <c r="AD42" s="89">
        <f t="shared" si="6"/>
        <v>32.910000000000004</v>
      </c>
      <c r="AE42" s="89">
        <f t="shared" si="2"/>
        <v>0</v>
      </c>
      <c r="AF42" s="175"/>
      <c r="AG42" s="175">
        <f t="shared" si="35"/>
        <v>52.77</v>
      </c>
      <c r="AH42" s="193">
        <f t="shared" si="3"/>
        <v>0.62364980102330869</v>
      </c>
      <c r="AJ42" s="5" t="s">
        <v>36</v>
      </c>
      <c r="AK42" s="89">
        <v>1731.6599999999999</v>
      </c>
      <c r="AL42" s="514">
        <v>24213.916500000003</v>
      </c>
      <c r="AM42" s="526">
        <f t="shared" si="29"/>
        <v>7.1515072747525152E-2</v>
      </c>
    </row>
    <row r="43" spans="1:44" x14ac:dyDescent="0.35">
      <c r="A43" s="6" t="s">
        <v>47</v>
      </c>
      <c r="B43" s="12">
        <f t="shared" ref="B43:Z43" si="43">B349+B196</f>
        <v>33.75</v>
      </c>
      <c r="C43" s="12">
        <f t="shared" si="43"/>
        <v>3.0699999999999994</v>
      </c>
      <c r="D43" s="12">
        <f t="shared" si="43"/>
        <v>0.47000000000000003</v>
      </c>
      <c r="E43" s="12">
        <f t="shared" si="43"/>
        <v>1.8199999999999998</v>
      </c>
      <c r="F43" s="12">
        <f t="shared" si="43"/>
        <v>0.26</v>
      </c>
      <c r="G43" s="12">
        <f t="shared" si="43"/>
        <v>0.81999999999999984</v>
      </c>
      <c r="H43" s="12">
        <f t="shared" si="43"/>
        <v>0.75</v>
      </c>
      <c r="I43" s="12">
        <f t="shared" si="43"/>
        <v>0.37</v>
      </c>
      <c r="J43" s="12">
        <f t="shared" si="43"/>
        <v>0</v>
      </c>
      <c r="K43" s="12">
        <f t="shared" si="43"/>
        <v>0.24</v>
      </c>
      <c r="L43" s="12">
        <f t="shared" si="43"/>
        <v>0.92999999999999994</v>
      </c>
      <c r="M43" s="12">
        <f t="shared" si="43"/>
        <v>3.38</v>
      </c>
      <c r="N43" s="12">
        <f t="shared" si="43"/>
        <v>0.67999999999999994</v>
      </c>
      <c r="O43" s="12">
        <f t="shared" si="43"/>
        <v>2.33</v>
      </c>
      <c r="P43" s="12">
        <f t="shared" si="43"/>
        <v>0.15000000000000002</v>
      </c>
      <c r="Q43" s="12">
        <f t="shared" si="43"/>
        <v>0.21000000000000002</v>
      </c>
      <c r="R43" s="12">
        <f t="shared" si="43"/>
        <v>1.31</v>
      </c>
      <c r="S43" s="12">
        <f t="shared" si="43"/>
        <v>5.2200000000000006</v>
      </c>
      <c r="T43" s="12">
        <f t="shared" si="43"/>
        <v>45.490000000000009</v>
      </c>
      <c r="U43" s="12">
        <f t="shared" si="43"/>
        <v>21.479999999999997</v>
      </c>
      <c r="V43" s="12">
        <f t="shared" si="43"/>
        <v>10.239999999999998</v>
      </c>
      <c r="W43" s="12">
        <f t="shared" si="43"/>
        <v>0.89000000000000012</v>
      </c>
      <c r="X43" s="12">
        <f t="shared" si="43"/>
        <v>2.2699999999999996</v>
      </c>
      <c r="Y43" s="12">
        <f t="shared" si="43"/>
        <v>0.46</v>
      </c>
      <c r="Z43" s="12">
        <f t="shared" si="43"/>
        <v>136.59</v>
      </c>
      <c r="AA43" s="150">
        <f t="shared" si="1"/>
        <v>2.7278082890183489E-4</v>
      </c>
      <c r="AC43" s="89">
        <f t="shared" si="5"/>
        <v>101.25</v>
      </c>
      <c r="AD43" s="89">
        <f t="shared" si="6"/>
        <v>34.879999999999995</v>
      </c>
      <c r="AE43" s="89">
        <f t="shared" si="2"/>
        <v>0.46</v>
      </c>
      <c r="AF43" s="175"/>
      <c r="AG43" s="175">
        <f t="shared" si="35"/>
        <v>136.59</v>
      </c>
      <c r="AH43" s="193">
        <f t="shared" si="3"/>
        <v>0.25536276447763373</v>
      </c>
      <c r="AJ43" s="5" t="s">
        <v>31</v>
      </c>
      <c r="AK43" s="89">
        <v>1150.5</v>
      </c>
      <c r="AL43" s="514">
        <v>8839.99</v>
      </c>
      <c r="AM43" s="526">
        <f t="shared" si="29"/>
        <v>0.13014720604887561</v>
      </c>
    </row>
    <row r="44" spans="1:44" x14ac:dyDescent="0.35">
      <c r="A44" s="6" t="s">
        <v>48</v>
      </c>
      <c r="B44" s="12">
        <f t="shared" ref="B44:Z44" si="44">B350+B197</f>
        <v>1.21</v>
      </c>
      <c r="C44" s="12">
        <f t="shared" si="44"/>
        <v>0.2</v>
      </c>
      <c r="D44" s="12">
        <f t="shared" si="44"/>
        <v>0</v>
      </c>
      <c r="E44" s="12">
        <f t="shared" si="44"/>
        <v>0</v>
      </c>
      <c r="F44" s="12">
        <f t="shared" si="44"/>
        <v>0</v>
      </c>
      <c r="G44" s="12">
        <f t="shared" si="44"/>
        <v>0</v>
      </c>
      <c r="H44" s="12">
        <f t="shared" si="44"/>
        <v>0</v>
      </c>
      <c r="I44" s="12">
        <f t="shared" si="44"/>
        <v>0</v>
      </c>
      <c r="J44" s="12">
        <f t="shared" si="44"/>
        <v>0</v>
      </c>
      <c r="K44" s="12">
        <f t="shared" si="44"/>
        <v>0.11</v>
      </c>
      <c r="L44" s="12">
        <f t="shared" si="44"/>
        <v>0.6</v>
      </c>
      <c r="M44" s="12">
        <f t="shared" si="44"/>
        <v>0.7</v>
      </c>
      <c r="N44" s="12">
        <f t="shared" si="44"/>
        <v>1.88</v>
      </c>
      <c r="O44" s="12">
        <f t="shared" si="44"/>
        <v>7.0000000000000007E-2</v>
      </c>
      <c r="P44" s="12">
        <f t="shared" si="44"/>
        <v>2.2200000000000002</v>
      </c>
      <c r="Q44" s="12">
        <f t="shared" si="44"/>
        <v>2.0699999999999998</v>
      </c>
      <c r="R44" s="12">
        <f t="shared" si="44"/>
        <v>23.35</v>
      </c>
      <c r="S44" s="12">
        <f t="shared" si="44"/>
        <v>0</v>
      </c>
      <c r="T44" s="12">
        <f t="shared" si="44"/>
        <v>1.93</v>
      </c>
      <c r="U44" s="12">
        <f t="shared" si="44"/>
        <v>43.65</v>
      </c>
      <c r="V44" s="12">
        <f t="shared" si="44"/>
        <v>4.2600000000000007</v>
      </c>
      <c r="W44" s="12">
        <f t="shared" si="44"/>
        <v>8.120000000000001</v>
      </c>
      <c r="X44" s="12">
        <f t="shared" si="44"/>
        <v>2.19</v>
      </c>
      <c r="Y44" s="12">
        <f t="shared" si="44"/>
        <v>0</v>
      </c>
      <c r="Z44" s="12">
        <f t="shared" si="44"/>
        <v>92.560000000000016</v>
      </c>
      <c r="AA44" s="150">
        <f t="shared" si="1"/>
        <v>1.8484950232926158E-4</v>
      </c>
      <c r="AC44" s="89">
        <f t="shared" si="5"/>
        <v>34.340000000000003</v>
      </c>
      <c r="AD44" s="89">
        <f t="shared" si="6"/>
        <v>58.22</v>
      </c>
      <c r="AE44" s="89">
        <f t="shared" si="2"/>
        <v>0</v>
      </c>
      <c r="AF44" s="175"/>
      <c r="AG44" s="175">
        <f t="shared" si="35"/>
        <v>92.56</v>
      </c>
      <c r="AH44" s="193">
        <f t="shared" si="3"/>
        <v>0.62899740708729468</v>
      </c>
      <c r="AJ44" s="5" t="s">
        <v>32</v>
      </c>
      <c r="AK44" s="89">
        <v>897.91000000000008</v>
      </c>
      <c r="AL44" s="514">
        <v>18112.820000000011</v>
      </c>
      <c r="AM44" s="526">
        <f t="shared" si="29"/>
        <v>4.9573175242728605E-2</v>
      </c>
    </row>
    <row r="45" spans="1:44" x14ac:dyDescent="0.35">
      <c r="A45" s="6" t="s">
        <v>49</v>
      </c>
      <c r="B45" s="12">
        <f t="shared" ref="B45:Z45" si="45">B351+B198</f>
        <v>1.55</v>
      </c>
      <c r="C45" s="12">
        <f t="shared" si="45"/>
        <v>0.32</v>
      </c>
      <c r="D45" s="12">
        <f t="shared" si="45"/>
        <v>0</v>
      </c>
      <c r="E45" s="12">
        <f t="shared" si="45"/>
        <v>0</v>
      </c>
      <c r="F45" s="12">
        <f t="shared" si="45"/>
        <v>0.16</v>
      </c>
      <c r="G45" s="12">
        <f t="shared" si="45"/>
        <v>0</v>
      </c>
      <c r="H45" s="12">
        <f t="shared" si="45"/>
        <v>1.02</v>
      </c>
      <c r="I45" s="12">
        <f t="shared" si="45"/>
        <v>0</v>
      </c>
      <c r="J45" s="12">
        <f t="shared" si="45"/>
        <v>0</v>
      </c>
      <c r="K45" s="12">
        <f t="shared" si="45"/>
        <v>0</v>
      </c>
      <c r="L45" s="12">
        <f t="shared" si="45"/>
        <v>0.87</v>
      </c>
      <c r="M45" s="12">
        <f t="shared" si="45"/>
        <v>0</v>
      </c>
      <c r="N45" s="12">
        <f t="shared" si="45"/>
        <v>0</v>
      </c>
      <c r="O45" s="12">
        <f t="shared" si="45"/>
        <v>7.0000000000000007E-2</v>
      </c>
      <c r="P45" s="12">
        <f t="shared" si="45"/>
        <v>0</v>
      </c>
      <c r="Q45" s="12">
        <f t="shared" si="45"/>
        <v>3.89</v>
      </c>
      <c r="R45" s="12">
        <f t="shared" si="45"/>
        <v>0</v>
      </c>
      <c r="S45" s="12">
        <f t="shared" si="45"/>
        <v>3.05</v>
      </c>
      <c r="T45" s="12">
        <f t="shared" si="45"/>
        <v>0.85</v>
      </c>
      <c r="U45" s="12">
        <f t="shared" si="45"/>
        <v>6.16</v>
      </c>
      <c r="V45" s="12">
        <f t="shared" si="45"/>
        <v>4.59</v>
      </c>
      <c r="W45" s="12">
        <f t="shared" si="45"/>
        <v>8.24</v>
      </c>
      <c r="X45" s="12">
        <f t="shared" si="45"/>
        <v>2.5100000000000002</v>
      </c>
      <c r="Y45" s="12">
        <f t="shared" si="45"/>
        <v>0.41</v>
      </c>
      <c r="Z45" s="12">
        <f t="shared" si="45"/>
        <v>33.69</v>
      </c>
      <c r="AA45" s="150">
        <f t="shared" ref="AA45:AA63" si="46">Z45/$Z$66</f>
        <v>6.7281544225073693E-5</v>
      </c>
      <c r="AC45" s="89">
        <f t="shared" si="5"/>
        <v>11.78</v>
      </c>
      <c r="AD45" s="89">
        <f t="shared" si="6"/>
        <v>21.500000000000004</v>
      </c>
      <c r="AE45" s="89">
        <f t="shared" si="2"/>
        <v>0.41</v>
      </c>
      <c r="AF45" s="175"/>
      <c r="AG45" s="175">
        <f t="shared" si="35"/>
        <v>33.69</v>
      </c>
      <c r="AH45" s="193">
        <f t="shared" ref="AH45:AH66" si="47">AD45/AG45</f>
        <v>0.63817156426239252</v>
      </c>
      <c r="AJ45" s="5" t="s">
        <v>7</v>
      </c>
      <c r="AK45" s="89">
        <v>705.9</v>
      </c>
      <c r="AL45" s="514">
        <v>1162.8975</v>
      </c>
      <c r="AM45" s="526">
        <f t="shared" si="29"/>
        <v>0.60701824537416238</v>
      </c>
    </row>
    <row r="46" spans="1:44" x14ac:dyDescent="0.35">
      <c r="A46" s="6" t="s">
        <v>50</v>
      </c>
      <c r="B46" s="12">
        <f t="shared" ref="B46:Z46" si="48">B352+B199</f>
        <v>406.2299999999999</v>
      </c>
      <c r="C46" s="12">
        <f t="shared" si="48"/>
        <v>26.990000000000002</v>
      </c>
      <c r="D46" s="12">
        <f t="shared" si="48"/>
        <v>3.39</v>
      </c>
      <c r="E46" s="12">
        <f t="shared" si="48"/>
        <v>0</v>
      </c>
      <c r="F46" s="12">
        <f t="shared" si="48"/>
        <v>6.83</v>
      </c>
      <c r="G46" s="12">
        <f t="shared" si="48"/>
        <v>0</v>
      </c>
      <c r="H46" s="12">
        <f t="shared" si="48"/>
        <v>0</v>
      </c>
      <c r="I46" s="12">
        <f t="shared" si="48"/>
        <v>0.53</v>
      </c>
      <c r="J46" s="12">
        <f t="shared" si="48"/>
        <v>1.97</v>
      </c>
      <c r="K46" s="12">
        <f t="shared" si="48"/>
        <v>0</v>
      </c>
      <c r="L46" s="12">
        <f t="shared" si="48"/>
        <v>3.74</v>
      </c>
      <c r="M46" s="12">
        <f t="shared" si="48"/>
        <v>2.1</v>
      </c>
      <c r="N46" s="12">
        <f t="shared" si="48"/>
        <v>0.91</v>
      </c>
      <c r="O46" s="12">
        <f t="shared" si="48"/>
        <v>0</v>
      </c>
      <c r="P46" s="12">
        <f t="shared" si="48"/>
        <v>12.02</v>
      </c>
      <c r="Q46" s="12">
        <f t="shared" si="48"/>
        <v>4.6100000000000003</v>
      </c>
      <c r="R46" s="12">
        <f t="shared" si="48"/>
        <v>11.41</v>
      </c>
      <c r="S46" s="12">
        <f t="shared" si="48"/>
        <v>9.18</v>
      </c>
      <c r="T46" s="12">
        <f t="shared" si="48"/>
        <v>25.25</v>
      </c>
      <c r="U46" s="12">
        <f t="shared" si="48"/>
        <v>46.03</v>
      </c>
      <c r="V46" s="12">
        <f t="shared" si="48"/>
        <v>29.269999999999996</v>
      </c>
      <c r="W46" s="12">
        <f t="shared" si="48"/>
        <v>16.220000000000002</v>
      </c>
      <c r="X46" s="12">
        <f t="shared" si="48"/>
        <v>1.4300000000000002</v>
      </c>
      <c r="Y46" s="12">
        <f t="shared" si="48"/>
        <v>2.79</v>
      </c>
      <c r="Z46" s="12">
        <f t="shared" si="48"/>
        <v>610.9</v>
      </c>
      <c r="AA46" s="150">
        <f t="shared" si="46"/>
        <v>1.220014703683512E-3</v>
      </c>
      <c r="AC46" s="89">
        <f t="shared" si="5"/>
        <v>515.16</v>
      </c>
      <c r="AD46" s="89">
        <f t="shared" si="6"/>
        <v>92.95</v>
      </c>
      <c r="AE46" s="89">
        <f t="shared" si="2"/>
        <v>2.79</v>
      </c>
      <c r="AF46" s="175"/>
      <c r="AG46" s="175">
        <f t="shared" si="35"/>
        <v>610.9</v>
      </c>
      <c r="AH46" s="193">
        <f t="shared" si="47"/>
        <v>0.15215256179407433</v>
      </c>
      <c r="AJ46" s="5" t="s">
        <v>28</v>
      </c>
      <c r="AK46" s="89">
        <v>705.18999999999994</v>
      </c>
      <c r="AL46" s="514">
        <v>3270.5020000000004</v>
      </c>
      <c r="AM46" s="526">
        <f t="shared" si="29"/>
        <v>0.21562133274952894</v>
      </c>
    </row>
    <row r="47" spans="1:44" x14ac:dyDescent="0.35">
      <c r="A47" s="6" t="s">
        <v>51</v>
      </c>
      <c r="B47" s="12">
        <f t="shared" ref="B47:Z47" si="49">B353+B200</f>
        <v>0.54</v>
      </c>
      <c r="C47" s="12">
        <f t="shared" si="49"/>
        <v>0.1</v>
      </c>
      <c r="D47" s="12">
        <f t="shared" si="49"/>
        <v>0</v>
      </c>
      <c r="E47" s="12">
        <f t="shared" si="49"/>
        <v>0</v>
      </c>
      <c r="F47" s="12">
        <f t="shared" si="49"/>
        <v>0</v>
      </c>
      <c r="G47" s="12">
        <f t="shared" si="49"/>
        <v>0</v>
      </c>
      <c r="H47" s="12">
        <f t="shared" si="49"/>
        <v>0</v>
      </c>
      <c r="I47" s="12">
        <f t="shared" si="49"/>
        <v>0</v>
      </c>
      <c r="J47" s="12">
        <f t="shared" si="49"/>
        <v>0.14000000000000001</v>
      </c>
      <c r="K47" s="12">
        <f t="shared" si="49"/>
        <v>0</v>
      </c>
      <c r="L47" s="12">
        <f t="shared" si="49"/>
        <v>0</v>
      </c>
      <c r="M47" s="12">
        <f t="shared" si="49"/>
        <v>0</v>
      </c>
      <c r="N47" s="12">
        <f t="shared" si="49"/>
        <v>0.14000000000000001</v>
      </c>
      <c r="O47" s="12">
        <f t="shared" si="49"/>
        <v>0.11</v>
      </c>
      <c r="P47" s="12">
        <f t="shared" si="49"/>
        <v>0</v>
      </c>
      <c r="Q47" s="12">
        <f t="shared" si="49"/>
        <v>0</v>
      </c>
      <c r="R47" s="12">
        <f t="shared" si="49"/>
        <v>0</v>
      </c>
      <c r="S47" s="12">
        <f t="shared" si="49"/>
        <v>0</v>
      </c>
      <c r="T47" s="12">
        <f t="shared" si="49"/>
        <v>0.1</v>
      </c>
      <c r="U47" s="12">
        <f t="shared" si="49"/>
        <v>1.6</v>
      </c>
      <c r="V47" s="12">
        <f t="shared" si="49"/>
        <v>0.09</v>
      </c>
      <c r="W47" s="12">
        <f t="shared" si="49"/>
        <v>3.5300000000000002</v>
      </c>
      <c r="X47" s="12">
        <f t="shared" si="49"/>
        <v>1.53</v>
      </c>
      <c r="Y47" s="12">
        <f t="shared" si="49"/>
        <v>0</v>
      </c>
      <c r="Z47" s="12">
        <f t="shared" si="49"/>
        <v>7.8800000000000008</v>
      </c>
      <c r="AA47" s="150">
        <f t="shared" si="46"/>
        <v>1.5736971460183462E-5</v>
      </c>
      <c r="AC47" s="89">
        <f t="shared" si="5"/>
        <v>1.1300000000000001</v>
      </c>
      <c r="AD47" s="89">
        <f t="shared" si="6"/>
        <v>6.7500000000000009</v>
      </c>
      <c r="AE47" s="89">
        <f t="shared" si="2"/>
        <v>0</v>
      </c>
      <c r="AF47" s="175"/>
      <c r="AG47" s="175">
        <f t="shared" si="35"/>
        <v>7.8800000000000008</v>
      </c>
      <c r="AH47" s="193">
        <f t="shared" si="47"/>
        <v>0.85659898477157359</v>
      </c>
      <c r="AJ47" s="5" t="s">
        <v>61</v>
      </c>
      <c r="AK47" s="89">
        <v>692.04999999999984</v>
      </c>
      <c r="AL47" s="514">
        <v>18234.207599999976</v>
      </c>
      <c r="AM47" s="526">
        <f t="shared" si="29"/>
        <v>3.7953390417689484E-2</v>
      </c>
    </row>
    <row r="48" spans="1:44" x14ac:dyDescent="0.35">
      <c r="A48" s="6" t="s">
        <v>52</v>
      </c>
      <c r="B48" s="12">
        <f t="shared" ref="B48:Z48" si="50">B354+B201</f>
        <v>256.45</v>
      </c>
      <c r="C48" s="12">
        <f t="shared" si="50"/>
        <v>72.179999999999993</v>
      </c>
      <c r="D48" s="12">
        <f t="shared" si="50"/>
        <v>1.04</v>
      </c>
      <c r="E48" s="12">
        <f t="shared" si="50"/>
        <v>0.18</v>
      </c>
      <c r="F48" s="12">
        <f t="shared" si="50"/>
        <v>13.35</v>
      </c>
      <c r="G48" s="12">
        <f t="shared" si="50"/>
        <v>9.33</v>
      </c>
      <c r="H48" s="12">
        <f t="shared" si="50"/>
        <v>18.84</v>
      </c>
      <c r="I48" s="12">
        <f t="shared" si="50"/>
        <v>4.12</v>
      </c>
      <c r="J48" s="12">
        <f t="shared" si="50"/>
        <v>0</v>
      </c>
      <c r="K48" s="12">
        <f t="shared" si="50"/>
        <v>2.2800000000000002</v>
      </c>
      <c r="L48" s="12">
        <f t="shared" si="50"/>
        <v>1.74</v>
      </c>
      <c r="M48" s="12">
        <f t="shared" si="50"/>
        <v>0</v>
      </c>
      <c r="N48" s="12">
        <f t="shared" si="50"/>
        <v>0</v>
      </c>
      <c r="O48" s="12">
        <f t="shared" si="50"/>
        <v>5.379999999999999</v>
      </c>
      <c r="P48" s="12">
        <f t="shared" si="50"/>
        <v>0</v>
      </c>
      <c r="Q48" s="12">
        <f t="shared" si="50"/>
        <v>0.3</v>
      </c>
      <c r="R48" s="12">
        <f t="shared" si="50"/>
        <v>1.74</v>
      </c>
      <c r="S48" s="12">
        <f t="shared" si="50"/>
        <v>0</v>
      </c>
      <c r="T48" s="12">
        <f t="shared" si="50"/>
        <v>1.6999999999999997</v>
      </c>
      <c r="U48" s="12">
        <f t="shared" si="50"/>
        <v>10.569999999999999</v>
      </c>
      <c r="V48" s="12">
        <f t="shared" si="50"/>
        <v>1.56</v>
      </c>
      <c r="W48" s="12">
        <f t="shared" si="50"/>
        <v>0</v>
      </c>
      <c r="X48" s="12">
        <f t="shared" si="50"/>
        <v>4.38</v>
      </c>
      <c r="Y48" s="12">
        <f t="shared" si="50"/>
        <v>2.5300000000000002</v>
      </c>
      <c r="Z48" s="12">
        <f t="shared" si="50"/>
        <v>407.66999999999996</v>
      </c>
      <c r="AA48" s="150">
        <f t="shared" si="46"/>
        <v>8.1414862375291759E-4</v>
      </c>
      <c r="AC48" s="89">
        <f t="shared" si="5"/>
        <v>388.63</v>
      </c>
      <c r="AD48" s="89">
        <f t="shared" si="6"/>
        <v>16.509999999999998</v>
      </c>
      <c r="AE48" s="89">
        <f t="shared" si="2"/>
        <v>2.5300000000000002</v>
      </c>
      <c r="AF48" s="175"/>
      <c r="AG48" s="175">
        <f t="shared" si="35"/>
        <v>407.66999999999996</v>
      </c>
      <c r="AH48" s="193">
        <f t="shared" si="47"/>
        <v>4.0498442367601244E-2</v>
      </c>
      <c r="AJ48" s="5" t="s">
        <v>20</v>
      </c>
      <c r="AK48" s="89">
        <v>652.49</v>
      </c>
      <c r="AL48" s="514">
        <v>5345.1399999999976</v>
      </c>
      <c r="AM48" s="526">
        <f t="shared" si="29"/>
        <v>0.12207163890936445</v>
      </c>
    </row>
    <row r="49" spans="1:39" x14ac:dyDescent="0.35">
      <c r="A49" s="6" t="s">
        <v>53</v>
      </c>
      <c r="B49" s="12">
        <f t="shared" ref="B49:Z49" si="51">B355+B202</f>
        <v>12.73</v>
      </c>
      <c r="C49" s="12">
        <f t="shared" si="51"/>
        <v>9.370000000000001</v>
      </c>
      <c r="D49" s="12">
        <f t="shared" si="51"/>
        <v>0</v>
      </c>
      <c r="E49" s="12">
        <f t="shared" si="51"/>
        <v>0.41000000000000003</v>
      </c>
      <c r="F49" s="12">
        <f t="shared" si="51"/>
        <v>0.08</v>
      </c>
      <c r="G49" s="12">
        <f t="shared" si="51"/>
        <v>0</v>
      </c>
      <c r="H49" s="12">
        <f t="shared" si="51"/>
        <v>0</v>
      </c>
      <c r="I49" s="12">
        <f t="shared" si="51"/>
        <v>0</v>
      </c>
      <c r="J49" s="12">
        <f t="shared" si="51"/>
        <v>4.9000000000000004</v>
      </c>
      <c r="K49" s="12">
        <f t="shared" si="51"/>
        <v>1.27</v>
      </c>
      <c r="L49" s="12">
        <f t="shared" si="51"/>
        <v>0.86</v>
      </c>
      <c r="M49" s="12">
        <f t="shared" si="51"/>
        <v>4.2300000000000004</v>
      </c>
      <c r="N49" s="12">
        <f t="shared" si="51"/>
        <v>12.370000000000001</v>
      </c>
      <c r="O49" s="12">
        <f t="shared" si="51"/>
        <v>1.42</v>
      </c>
      <c r="P49" s="12">
        <f t="shared" si="51"/>
        <v>15.49</v>
      </c>
      <c r="Q49" s="12">
        <f t="shared" si="51"/>
        <v>9.8699999999999992</v>
      </c>
      <c r="R49" s="12">
        <f t="shared" si="51"/>
        <v>42.42</v>
      </c>
      <c r="S49" s="12">
        <f t="shared" si="51"/>
        <v>12.42</v>
      </c>
      <c r="T49" s="12">
        <f t="shared" si="51"/>
        <v>45.199999999999996</v>
      </c>
      <c r="U49" s="12">
        <f t="shared" si="51"/>
        <v>97.38</v>
      </c>
      <c r="V49" s="12">
        <f t="shared" si="51"/>
        <v>118.87</v>
      </c>
      <c r="W49" s="12">
        <f t="shared" si="51"/>
        <v>168.14999999999998</v>
      </c>
      <c r="X49" s="12">
        <f t="shared" si="51"/>
        <v>155.60000000000002</v>
      </c>
      <c r="Y49" s="12">
        <f t="shared" si="51"/>
        <v>0</v>
      </c>
      <c r="Z49" s="12">
        <f t="shared" si="51"/>
        <v>713.04000000000008</v>
      </c>
      <c r="AA49" s="150">
        <f t="shared" si="46"/>
        <v>1.4239962093869562E-3</v>
      </c>
      <c r="AC49" s="89">
        <f t="shared" si="5"/>
        <v>173.04</v>
      </c>
      <c r="AD49" s="89">
        <f t="shared" si="6"/>
        <v>540</v>
      </c>
      <c r="AE49" s="89">
        <f t="shared" si="2"/>
        <v>0</v>
      </c>
      <c r="AF49" s="175"/>
      <c r="AG49" s="175">
        <f t="shared" si="35"/>
        <v>713.04</v>
      </c>
      <c r="AH49" s="193">
        <f t="shared" si="47"/>
        <v>0.75732076741837773</v>
      </c>
      <c r="AJ49" s="5" t="s">
        <v>34</v>
      </c>
      <c r="AK49" s="89">
        <v>625.88000000000011</v>
      </c>
      <c r="AL49" s="515">
        <v>11930.393600000001</v>
      </c>
      <c r="AM49" s="526">
        <f t="shared" si="29"/>
        <v>5.2460968261768E-2</v>
      </c>
    </row>
    <row r="50" spans="1:39" x14ac:dyDescent="0.35">
      <c r="A50" s="6" t="s">
        <v>54</v>
      </c>
      <c r="B50" s="12">
        <f t="shared" ref="B50:Z50" si="52">B356+B203</f>
        <v>23.28</v>
      </c>
      <c r="C50" s="12">
        <f t="shared" si="52"/>
        <v>0.54</v>
      </c>
      <c r="D50" s="12">
        <f t="shared" si="52"/>
        <v>0</v>
      </c>
      <c r="E50" s="12">
        <f t="shared" si="52"/>
        <v>0</v>
      </c>
      <c r="F50" s="12">
        <f t="shared" si="52"/>
        <v>4.4600000000000009</v>
      </c>
      <c r="G50" s="12">
        <f t="shared" si="52"/>
        <v>0</v>
      </c>
      <c r="H50" s="12">
        <f t="shared" si="52"/>
        <v>3.63</v>
      </c>
      <c r="I50" s="12">
        <f t="shared" si="52"/>
        <v>0.37</v>
      </c>
      <c r="J50" s="12">
        <f t="shared" si="52"/>
        <v>2.95</v>
      </c>
      <c r="K50" s="12">
        <f t="shared" si="52"/>
        <v>0.13</v>
      </c>
      <c r="L50" s="12">
        <f t="shared" si="52"/>
        <v>2.85</v>
      </c>
      <c r="M50" s="12">
        <f t="shared" si="52"/>
        <v>13.11</v>
      </c>
      <c r="N50" s="12">
        <f t="shared" si="52"/>
        <v>0</v>
      </c>
      <c r="O50" s="12">
        <f t="shared" si="52"/>
        <v>4.839999999999999</v>
      </c>
      <c r="P50" s="12">
        <f t="shared" si="52"/>
        <v>1.6800000000000002</v>
      </c>
      <c r="Q50" s="12">
        <f t="shared" si="52"/>
        <v>10.91</v>
      </c>
      <c r="R50" s="12">
        <f t="shared" si="52"/>
        <v>60.859999999999992</v>
      </c>
      <c r="S50" s="12">
        <f t="shared" si="52"/>
        <v>90.67</v>
      </c>
      <c r="T50" s="12">
        <f t="shared" si="52"/>
        <v>116.61</v>
      </c>
      <c r="U50" s="12">
        <f t="shared" si="52"/>
        <v>78.080000000000013</v>
      </c>
      <c r="V50" s="12">
        <f t="shared" si="52"/>
        <v>78.39</v>
      </c>
      <c r="W50" s="12">
        <f t="shared" si="52"/>
        <v>48.11</v>
      </c>
      <c r="X50" s="12">
        <f t="shared" si="52"/>
        <v>29.439999999999998</v>
      </c>
      <c r="Y50" s="12">
        <f t="shared" si="52"/>
        <v>0.42</v>
      </c>
      <c r="Z50" s="12">
        <f t="shared" si="52"/>
        <v>571.33000000000004</v>
      </c>
      <c r="AA50" s="150">
        <f t="shared" si="46"/>
        <v>1.140990343191195E-3</v>
      </c>
      <c r="AC50" s="89">
        <f t="shared" si="5"/>
        <v>336.89</v>
      </c>
      <c r="AD50" s="89">
        <f t="shared" si="6"/>
        <v>234.02000000000004</v>
      </c>
      <c r="AE50" s="89">
        <f t="shared" si="2"/>
        <v>0.42</v>
      </c>
      <c r="AF50" s="175"/>
      <c r="AG50" s="175">
        <f t="shared" si="35"/>
        <v>571.33000000000004</v>
      </c>
      <c r="AH50" s="193">
        <f t="shared" si="47"/>
        <v>0.40960565697582835</v>
      </c>
      <c r="AJ50" s="5" t="s">
        <v>53</v>
      </c>
      <c r="AK50" s="89">
        <v>540</v>
      </c>
      <c r="AL50" s="514">
        <v>713.04</v>
      </c>
      <c r="AM50" s="526">
        <f t="shared" si="29"/>
        <v>0.75732076741837773</v>
      </c>
    </row>
    <row r="51" spans="1:39" x14ac:dyDescent="0.35">
      <c r="A51" s="116" t="s">
        <v>18</v>
      </c>
      <c r="B51" s="117">
        <f t="shared" ref="B51:Z51" si="53">B357+B204</f>
        <v>1326.07</v>
      </c>
      <c r="C51" s="117">
        <f t="shared" si="53"/>
        <v>119.87000000000003</v>
      </c>
      <c r="D51" s="117">
        <f t="shared" si="53"/>
        <v>9.58</v>
      </c>
      <c r="E51" s="117">
        <f t="shared" si="53"/>
        <v>15.369999999999997</v>
      </c>
      <c r="F51" s="117">
        <f t="shared" si="53"/>
        <v>26.020000000000003</v>
      </c>
      <c r="G51" s="117">
        <f t="shared" si="53"/>
        <v>28.189999999999994</v>
      </c>
      <c r="H51" s="117">
        <f t="shared" si="53"/>
        <v>6.7600000000000007</v>
      </c>
      <c r="I51" s="117">
        <f t="shared" si="53"/>
        <v>2.1399999999999997</v>
      </c>
      <c r="J51" s="117">
        <f t="shared" si="53"/>
        <v>3.42</v>
      </c>
      <c r="K51" s="117">
        <f t="shared" si="53"/>
        <v>2.39</v>
      </c>
      <c r="L51" s="117">
        <f t="shared" si="53"/>
        <v>14.14</v>
      </c>
      <c r="M51" s="117">
        <f t="shared" si="53"/>
        <v>10.66</v>
      </c>
      <c r="N51" s="117">
        <f t="shared" si="53"/>
        <v>3.8400000000000003</v>
      </c>
      <c r="O51" s="117">
        <f t="shared" si="53"/>
        <v>8.36</v>
      </c>
      <c r="P51" s="117">
        <f t="shared" si="53"/>
        <v>1.04</v>
      </c>
      <c r="Q51" s="117">
        <f t="shared" si="53"/>
        <v>6.96</v>
      </c>
      <c r="R51" s="117">
        <f t="shared" si="53"/>
        <v>12.9</v>
      </c>
      <c r="S51" s="117">
        <f t="shared" si="53"/>
        <v>55.660000000000004</v>
      </c>
      <c r="T51" s="117">
        <f t="shared" si="53"/>
        <v>42.839999999999996</v>
      </c>
      <c r="U51" s="117">
        <f t="shared" si="53"/>
        <v>51.53</v>
      </c>
      <c r="V51" s="117">
        <f t="shared" si="53"/>
        <v>46.45</v>
      </c>
      <c r="W51" s="117">
        <f t="shared" si="53"/>
        <v>41.210000000000008</v>
      </c>
      <c r="X51" s="117">
        <f t="shared" si="53"/>
        <v>13.12</v>
      </c>
      <c r="Y51" s="117">
        <f t="shared" si="53"/>
        <v>5.64</v>
      </c>
      <c r="Z51" s="117">
        <f t="shared" si="53"/>
        <v>1854.1599999999996</v>
      </c>
      <c r="AA51" s="151">
        <f t="shared" si="46"/>
        <v>3.7029013962707811E-3</v>
      </c>
      <c r="AC51" s="117">
        <f>SUM(B51:T51)</f>
        <v>1696.2100000000003</v>
      </c>
      <c r="AD51" s="117">
        <f>SUM(U51:X51)</f>
        <v>152.31</v>
      </c>
      <c r="AE51" s="117">
        <f t="shared" ref="AE51" si="54">Y51</f>
        <v>5.64</v>
      </c>
      <c r="AF51" s="117">
        <v>8062.2899000000298</v>
      </c>
      <c r="AG51" s="117">
        <f>SUM(AC51:AF51)</f>
        <v>9916.4499000000305</v>
      </c>
      <c r="AH51" s="185">
        <f t="shared" si="47"/>
        <v>1.5359327333464321E-2</v>
      </c>
      <c r="AJ51" s="5" t="s">
        <v>40</v>
      </c>
      <c r="AK51" s="89">
        <v>514.94999999999982</v>
      </c>
      <c r="AL51" s="514">
        <v>11044.770000000015</v>
      </c>
      <c r="AM51" s="526">
        <f t="shared" si="29"/>
        <v>4.6623877183499439E-2</v>
      </c>
    </row>
    <row r="52" spans="1:39" x14ac:dyDescent="0.35">
      <c r="A52" s="6" t="s">
        <v>18</v>
      </c>
      <c r="B52" s="12">
        <f t="shared" ref="B52:Z52" si="55">B358+B205</f>
        <v>1326.07</v>
      </c>
      <c r="C52" s="12">
        <f t="shared" si="55"/>
        <v>119.87000000000003</v>
      </c>
      <c r="D52" s="12">
        <f t="shared" si="55"/>
        <v>9.58</v>
      </c>
      <c r="E52" s="12">
        <f t="shared" si="55"/>
        <v>15.369999999999997</v>
      </c>
      <c r="F52" s="12">
        <f t="shared" si="55"/>
        <v>26.020000000000003</v>
      </c>
      <c r="G52" s="12">
        <f t="shared" si="55"/>
        <v>28.189999999999994</v>
      </c>
      <c r="H52" s="12">
        <f t="shared" si="55"/>
        <v>6.7600000000000007</v>
      </c>
      <c r="I52" s="12">
        <f t="shared" si="55"/>
        <v>2.1399999999999997</v>
      </c>
      <c r="J52" s="12">
        <f t="shared" si="55"/>
        <v>3.42</v>
      </c>
      <c r="K52" s="12">
        <f t="shared" si="55"/>
        <v>2.39</v>
      </c>
      <c r="L52" s="12">
        <f t="shared" si="55"/>
        <v>14.14</v>
      </c>
      <c r="M52" s="12">
        <f t="shared" si="55"/>
        <v>10.66</v>
      </c>
      <c r="N52" s="12">
        <f t="shared" si="55"/>
        <v>3.8400000000000003</v>
      </c>
      <c r="O52" s="12">
        <f t="shared" si="55"/>
        <v>8.36</v>
      </c>
      <c r="P52" s="12">
        <f t="shared" si="55"/>
        <v>1.04</v>
      </c>
      <c r="Q52" s="12">
        <f t="shared" si="55"/>
        <v>6.96</v>
      </c>
      <c r="R52" s="12">
        <f t="shared" si="55"/>
        <v>12.9</v>
      </c>
      <c r="S52" s="12">
        <f t="shared" si="55"/>
        <v>55.660000000000004</v>
      </c>
      <c r="T52" s="12">
        <f t="shared" si="55"/>
        <v>42.839999999999996</v>
      </c>
      <c r="U52" s="12">
        <f t="shared" si="55"/>
        <v>51.53</v>
      </c>
      <c r="V52" s="12">
        <f t="shared" si="55"/>
        <v>46.45</v>
      </c>
      <c r="W52" s="12">
        <f t="shared" si="55"/>
        <v>41.210000000000008</v>
      </c>
      <c r="X52" s="12">
        <f t="shared" si="55"/>
        <v>13.12</v>
      </c>
      <c r="Y52" s="12">
        <f t="shared" si="55"/>
        <v>5.64</v>
      </c>
      <c r="Z52" s="12">
        <f t="shared" si="55"/>
        <v>1854.1599999999996</v>
      </c>
      <c r="AA52" s="150">
        <f t="shared" si="46"/>
        <v>3.7029013962707811E-3</v>
      </c>
      <c r="AC52" s="89">
        <f t="shared" si="5"/>
        <v>1696.2100000000003</v>
      </c>
      <c r="AD52" s="89">
        <f t="shared" si="6"/>
        <v>152.31</v>
      </c>
      <c r="AE52" s="89">
        <f t="shared" si="2"/>
        <v>5.64</v>
      </c>
      <c r="AF52" s="175">
        <v>8062.2899000000298</v>
      </c>
      <c r="AG52" s="175">
        <f t="shared" si="35"/>
        <v>9916.4499000000305</v>
      </c>
      <c r="AH52" s="193">
        <f t="shared" si="47"/>
        <v>1.5359327333464321E-2</v>
      </c>
      <c r="AJ52" s="5" t="s">
        <v>29</v>
      </c>
      <c r="AK52" s="89">
        <v>472.71000000000004</v>
      </c>
      <c r="AL52" s="514">
        <v>7153.1591999999964</v>
      </c>
      <c r="AM52" s="526">
        <f t="shared" si="29"/>
        <v>6.6084087713300196E-2</v>
      </c>
    </row>
    <row r="53" spans="1:39" x14ac:dyDescent="0.35">
      <c r="A53" s="116" t="s">
        <v>17</v>
      </c>
      <c r="B53" s="117">
        <f t="shared" ref="B53:Z53" si="56">B359+B206</f>
        <v>1238.5799999999997</v>
      </c>
      <c r="C53" s="117">
        <f t="shared" si="56"/>
        <v>171.29000000000002</v>
      </c>
      <c r="D53" s="117">
        <f t="shared" si="56"/>
        <v>21.029999999999998</v>
      </c>
      <c r="E53" s="117">
        <f t="shared" si="56"/>
        <v>11.510000000000002</v>
      </c>
      <c r="F53" s="117">
        <f t="shared" si="56"/>
        <v>12.710000000000003</v>
      </c>
      <c r="G53" s="117">
        <f t="shared" si="56"/>
        <v>12.579999999999998</v>
      </c>
      <c r="H53" s="117">
        <f t="shared" si="56"/>
        <v>47.11</v>
      </c>
      <c r="I53" s="117">
        <f t="shared" si="56"/>
        <v>19.369999999999997</v>
      </c>
      <c r="J53" s="117">
        <f t="shared" si="56"/>
        <v>196.64</v>
      </c>
      <c r="K53" s="117">
        <f t="shared" si="56"/>
        <v>29.42</v>
      </c>
      <c r="L53" s="117">
        <f t="shared" si="56"/>
        <v>74.889999999999986</v>
      </c>
      <c r="M53" s="117">
        <f t="shared" si="56"/>
        <v>139.56</v>
      </c>
      <c r="N53" s="117">
        <f t="shared" si="56"/>
        <v>63.1</v>
      </c>
      <c r="O53" s="117">
        <f t="shared" si="56"/>
        <v>53.16</v>
      </c>
      <c r="P53" s="117">
        <f t="shared" si="56"/>
        <v>54.56</v>
      </c>
      <c r="Q53" s="117">
        <f t="shared" si="56"/>
        <v>104</v>
      </c>
      <c r="R53" s="117">
        <f t="shared" si="56"/>
        <v>448.17</v>
      </c>
      <c r="S53" s="117">
        <f t="shared" si="56"/>
        <v>675.28</v>
      </c>
      <c r="T53" s="117">
        <f t="shared" si="56"/>
        <v>359.06000000000012</v>
      </c>
      <c r="U53" s="117">
        <f t="shared" si="56"/>
        <v>669.24000000000012</v>
      </c>
      <c r="V53" s="117">
        <f t="shared" si="56"/>
        <v>420.46</v>
      </c>
      <c r="W53" s="117">
        <f t="shared" si="56"/>
        <v>600.0100000000001</v>
      </c>
      <c r="X53" s="117">
        <f t="shared" si="56"/>
        <v>405.85</v>
      </c>
      <c r="Y53" s="117">
        <f t="shared" si="56"/>
        <v>5.1000000000000005</v>
      </c>
      <c r="Z53" s="117">
        <f t="shared" si="56"/>
        <v>5832.68</v>
      </c>
      <c r="AA53" s="151">
        <f t="shared" si="46"/>
        <v>1.1648314555378536E-2</v>
      </c>
      <c r="AC53" s="117">
        <f>SUM(B53:T53)</f>
        <v>3732.0199999999991</v>
      </c>
      <c r="AD53" s="117">
        <f>SUM(U53:X53)</f>
        <v>2095.56</v>
      </c>
      <c r="AE53" s="117">
        <f t="shared" ref="AE53" si="57">Y53</f>
        <v>5.1000000000000005</v>
      </c>
      <c r="AF53" s="117">
        <v>31.54</v>
      </c>
      <c r="AG53" s="117">
        <f>SUM(AC53:AF53)</f>
        <v>5864.2199999999993</v>
      </c>
      <c r="AH53" s="185">
        <f t="shared" si="47"/>
        <v>0.35734675711347802</v>
      </c>
      <c r="AJ53" s="5" t="s">
        <v>39</v>
      </c>
      <c r="AK53" s="89">
        <v>298.27000000000004</v>
      </c>
      <c r="AL53" s="514">
        <v>10443.660000000005</v>
      </c>
      <c r="AM53" s="526">
        <f t="shared" si="29"/>
        <v>2.855991098905938E-2</v>
      </c>
    </row>
    <row r="54" spans="1:39" x14ac:dyDescent="0.35">
      <c r="A54" s="6" t="s">
        <v>55</v>
      </c>
      <c r="B54" s="12">
        <f t="shared" ref="B54:Z54" si="58">B360+B207</f>
        <v>1069.3699999999997</v>
      </c>
      <c r="C54" s="12">
        <f t="shared" si="58"/>
        <v>159.30000000000001</v>
      </c>
      <c r="D54" s="12">
        <f t="shared" si="58"/>
        <v>21.029999999999998</v>
      </c>
      <c r="E54" s="12">
        <f t="shared" si="58"/>
        <v>11.330000000000002</v>
      </c>
      <c r="F54" s="12">
        <f t="shared" si="58"/>
        <v>12.710000000000003</v>
      </c>
      <c r="G54" s="12">
        <f t="shared" si="58"/>
        <v>12.489999999999998</v>
      </c>
      <c r="H54" s="12">
        <f t="shared" si="58"/>
        <v>34.519999999999996</v>
      </c>
      <c r="I54" s="12">
        <f t="shared" si="58"/>
        <v>16.21</v>
      </c>
      <c r="J54" s="12">
        <f t="shared" si="58"/>
        <v>196.64</v>
      </c>
      <c r="K54" s="12">
        <f t="shared" si="58"/>
        <v>23.380000000000003</v>
      </c>
      <c r="L54" s="12">
        <f t="shared" si="58"/>
        <v>74.36999999999999</v>
      </c>
      <c r="M54" s="12">
        <f t="shared" si="58"/>
        <v>138.94999999999999</v>
      </c>
      <c r="N54" s="12">
        <f t="shared" si="58"/>
        <v>59.5</v>
      </c>
      <c r="O54" s="12">
        <f t="shared" si="58"/>
        <v>51.639999999999993</v>
      </c>
      <c r="P54" s="12">
        <f t="shared" si="58"/>
        <v>54.56</v>
      </c>
      <c r="Q54" s="12">
        <f t="shared" si="58"/>
        <v>100.25</v>
      </c>
      <c r="R54" s="12">
        <f t="shared" si="58"/>
        <v>428.02000000000004</v>
      </c>
      <c r="S54" s="12">
        <f t="shared" si="58"/>
        <v>493.88000000000005</v>
      </c>
      <c r="T54" s="12">
        <f t="shared" si="58"/>
        <v>312.82000000000011</v>
      </c>
      <c r="U54" s="12">
        <f t="shared" si="58"/>
        <v>640.25000000000011</v>
      </c>
      <c r="V54" s="12">
        <f t="shared" si="58"/>
        <v>359.91</v>
      </c>
      <c r="W54" s="12">
        <f t="shared" si="58"/>
        <v>585.81000000000006</v>
      </c>
      <c r="X54" s="12">
        <f t="shared" si="58"/>
        <v>403.63000000000005</v>
      </c>
      <c r="Y54" s="12">
        <f t="shared" si="58"/>
        <v>3.9999999999999996</v>
      </c>
      <c r="Z54" s="12">
        <f t="shared" si="58"/>
        <v>5264.5700000000006</v>
      </c>
      <c r="AA54" s="150">
        <f t="shared" si="46"/>
        <v>1.0513754802047975E-2</v>
      </c>
      <c r="AC54" s="89">
        <f t="shared" si="5"/>
        <v>3270.97</v>
      </c>
      <c r="AD54" s="89">
        <f t="shared" si="6"/>
        <v>1989.6000000000004</v>
      </c>
      <c r="AE54" s="89">
        <f t="shared" si="2"/>
        <v>3.9999999999999996</v>
      </c>
      <c r="AF54" s="175">
        <v>16.63</v>
      </c>
      <c r="AG54" s="175">
        <f t="shared" si="35"/>
        <v>5281.2</v>
      </c>
      <c r="AH54" s="193">
        <f t="shared" si="47"/>
        <v>0.37673256078164064</v>
      </c>
      <c r="AJ54" s="5" t="s">
        <v>27</v>
      </c>
      <c r="AK54" s="89">
        <v>246.52</v>
      </c>
      <c r="AL54" s="514">
        <v>649.95000000000005</v>
      </c>
      <c r="AM54" s="526">
        <f t="shared" si="29"/>
        <v>0.37929071467035924</v>
      </c>
    </row>
    <row r="55" spans="1:39" x14ac:dyDescent="0.35">
      <c r="A55" s="6" t="s">
        <v>56</v>
      </c>
      <c r="B55" s="12">
        <f t="shared" ref="B55:Z55" si="59">B361+B208</f>
        <v>169.21000000000004</v>
      </c>
      <c r="C55" s="12">
        <f t="shared" si="59"/>
        <v>11.99</v>
      </c>
      <c r="D55" s="12">
        <f t="shared" si="59"/>
        <v>0</v>
      </c>
      <c r="E55" s="12">
        <f t="shared" si="59"/>
        <v>0.18</v>
      </c>
      <c r="F55" s="12">
        <f t="shared" si="59"/>
        <v>0</v>
      </c>
      <c r="G55" s="12">
        <f t="shared" si="59"/>
        <v>0.09</v>
      </c>
      <c r="H55" s="12">
        <f t="shared" si="59"/>
        <v>12.59</v>
      </c>
      <c r="I55" s="12">
        <f t="shared" si="59"/>
        <v>3.16</v>
      </c>
      <c r="J55" s="12">
        <f t="shared" si="59"/>
        <v>0</v>
      </c>
      <c r="K55" s="12">
        <f t="shared" si="59"/>
        <v>6.04</v>
      </c>
      <c r="L55" s="12">
        <f t="shared" si="59"/>
        <v>0.52</v>
      </c>
      <c r="M55" s="12">
        <f t="shared" si="59"/>
        <v>0.61</v>
      </c>
      <c r="N55" s="12">
        <f t="shared" si="59"/>
        <v>3.6</v>
      </c>
      <c r="O55" s="12">
        <f t="shared" si="59"/>
        <v>1.52</v>
      </c>
      <c r="P55" s="12">
        <f t="shared" si="59"/>
        <v>0</v>
      </c>
      <c r="Q55" s="12">
        <f t="shared" si="59"/>
        <v>3.75</v>
      </c>
      <c r="R55" s="12">
        <f t="shared" si="59"/>
        <v>20.149999999999999</v>
      </c>
      <c r="S55" s="12">
        <f t="shared" si="59"/>
        <v>181.4</v>
      </c>
      <c r="T55" s="12">
        <f t="shared" si="59"/>
        <v>46.239999999999995</v>
      </c>
      <c r="U55" s="12">
        <f t="shared" si="59"/>
        <v>28.990000000000002</v>
      </c>
      <c r="V55" s="12">
        <f t="shared" si="59"/>
        <v>60.550000000000004</v>
      </c>
      <c r="W55" s="12">
        <f t="shared" si="59"/>
        <v>14.2</v>
      </c>
      <c r="X55" s="12">
        <f t="shared" si="59"/>
        <v>2.2199999999999998</v>
      </c>
      <c r="Y55" s="12">
        <f t="shared" si="59"/>
        <v>1.1000000000000001</v>
      </c>
      <c r="Z55" s="12">
        <f t="shared" si="59"/>
        <v>568.11</v>
      </c>
      <c r="AA55" s="150">
        <f t="shared" si="46"/>
        <v>1.1345597533305616E-3</v>
      </c>
      <c r="AC55" s="89">
        <f t="shared" si="5"/>
        <v>461.05000000000007</v>
      </c>
      <c r="AD55" s="89">
        <f t="shared" si="6"/>
        <v>105.96000000000001</v>
      </c>
      <c r="AE55" s="89">
        <f t="shared" si="2"/>
        <v>1.1000000000000001</v>
      </c>
      <c r="AF55" s="175">
        <v>14.91</v>
      </c>
      <c r="AG55" s="175">
        <f t="shared" si="35"/>
        <v>583.0200000000001</v>
      </c>
      <c r="AH55" s="193">
        <f t="shared" si="47"/>
        <v>0.18174333642070598</v>
      </c>
      <c r="AJ55" s="5" t="s">
        <v>54</v>
      </c>
      <c r="AK55" s="89">
        <v>234.02000000000004</v>
      </c>
      <c r="AL55" s="514">
        <v>571.33000000000004</v>
      </c>
      <c r="AM55" s="526">
        <f t="shared" si="29"/>
        <v>0.40960565697582835</v>
      </c>
    </row>
    <row r="56" spans="1:39" x14ac:dyDescent="0.35">
      <c r="A56" s="116" t="s">
        <v>20</v>
      </c>
      <c r="B56" s="117">
        <f t="shared" ref="B56:Z56" si="60">B362+B209</f>
        <v>3330.5199999999986</v>
      </c>
      <c r="C56" s="117">
        <f t="shared" si="60"/>
        <v>183.67999999999998</v>
      </c>
      <c r="D56" s="117">
        <f t="shared" si="60"/>
        <v>12.24</v>
      </c>
      <c r="E56" s="117">
        <f t="shared" si="60"/>
        <v>15.29</v>
      </c>
      <c r="F56" s="117">
        <f t="shared" si="60"/>
        <v>12.179999999999998</v>
      </c>
      <c r="G56" s="117">
        <f t="shared" si="60"/>
        <v>61.800000000000011</v>
      </c>
      <c r="H56" s="117">
        <f t="shared" si="60"/>
        <v>40.79</v>
      </c>
      <c r="I56" s="117">
        <f t="shared" si="60"/>
        <v>31.679999999999996</v>
      </c>
      <c r="J56" s="117">
        <f t="shared" si="60"/>
        <v>43.420000000000009</v>
      </c>
      <c r="K56" s="117">
        <f t="shared" si="60"/>
        <v>40.370000000000005</v>
      </c>
      <c r="L56" s="117">
        <f t="shared" si="60"/>
        <v>73.22999999999999</v>
      </c>
      <c r="M56" s="117">
        <f t="shared" si="60"/>
        <v>68.22</v>
      </c>
      <c r="N56" s="117">
        <f t="shared" si="60"/>
        <v>61.55</v>
      </c>
      <c r="O56" s="117">
        <f t="shared" si="60"/>
        <v>47.730000000000011</v>
      </c>
      <c r="P56" s="117">
        <f t="shared" si="60"/>
        <v>50.64</v>
      </c>
      <c r="Q56" s="117">
        <f t="shared" si="60"/>
        <v>104.53</v>
      </c>
      <c r="R56" s="117">
        <f t="shared" si="60"/>
        <v>160.27000000000001</v>
      </c>
      <c r="S56" s="117">
        <f t="shared" si="60"/>
        <v>141.01999999999998</v>
      </c>
      <c r="T56" s="117">
        <f t="shared" si="60"/>
        <v>199.51000000000002</v>
      </c>
      <c r="U56" s="117">
        <f t="shared" si="60"/>
        <v>167.39000000000001</v>
      </c>
      <c r="V56" s="117">
        <f t="shared" si="60"/>
        <v>156.41999999999999</v>
      </c>
      <c r="W56" s="117">
        <f t="shared" si="60"/>
        <v>173.64</v>
      </c>
      <c r="X56" s="117">
        <f t="shared" si="60"/>
        <v>155.04000000000002</v>
      </c>
      <c r="Y56" s="117">
        <f t="shared" si="60"/>
        <v>13.98</v>
      </c>
      <c r="Z56" s="117">
        <f t="shared" si="60"/>
        <v>5345.1399999999985</v>
      </c>
      <c r="AA56" s="151">
        <f t="shared" si="46"/>
        <v>1.0674659343995557E-2</v>
      </c>
      <c r="AC56" s="117">
        <f>SUM(B56:T56)</f>
        <v>4678.6699999999983</v>
      </c>
      <c r="AD56" s="117">
        <f>SUM(U56:X56)</f>
        <v>652.49</v>
      </c>
      <c r="AE56" s="117">
        <f t="shared" ref="AE56" si="61">Y56</f>
        <v>13.98</v>
      </c>
      <c r="AF56" s="117">
        <v>0</v>
      </c>
      <c r="AG56" s="117">
        <f>SUM(AC56:AF56)</f>
        <v>5345.1399999999976</v>
      </c>
      <c r="AH56" s="185">
        <f t="shared" si="47"/>
        <v>0.12207163890936445</v>
      </c>
      <c r="AJ56" s="5" t="s">
        <v>44</v>
      </c>
      <c r="AK56" s="89">
        <v>223.17000000000002</v>
      </c>
      <c r="AL56" s="514">
        <v>466.24</v>
      </c>
      <c r="AM56" s="526">
        <f t="shared" si="29"/>
        <v>0.47865905971173645</v>
      </c>
    </row>
    <row r="57" spans="1:39" x14ac:dyDescent="0.35">
      <c r="A57" s="6" t="s">
        <v>20</v>
      </c>
      <c r="B57" s="12">
        <f t="shared" ref="B57:Z57" si="62">B363+B210</f>
        <v>3330.5199999999986</v>
      </c>
      <c r="C57" s="12">
        <f t="shared" si="62"/>
        <v>183.67999999999998</v>
      </c>
      <c r="D57" s="12">
        <f t="shared" si="62"/>
        <v>12.24</v>
      </c>
      <c r="E57" s="12">
        <f t="shared" si="62"/>
        <v>15.29</v>
      </c>
      <c r="F57" s="12">
        <f t="shared" si="62"/>
        <v>12.179999999999998</v>
      </c>
      <c r="G57" s="12">
        <f t="shared" si="62"/>
        <v>61.800000000000011</v>
      </c>
      <c r="H57" s="12">
        <f t="shared" si="62"/>
        <v>40.79</v>
      </c>
      <c r="I57" s="12">
        <f t="shared" si="62"/>
        <v>31.679999999999996</v>
      </c>
      <c r="J57" s="12">
        <f t="shared" si="62"/>
        <v>43.420000000000009</v>
      </c>
      <c r="K57" s="12">
        <f t="shared" si="62"/>
        <v>40.370000000000005</v>
      </c>
      <c r="L57" s="12">
        <f t="shared" si="62"/>
        <v>73.22999999999999</v>
      </c>
      <c r="M57" s="12">
        <f t="shared" si="62"/>
        <v>68.22</v>
      </c>
      <c r="N57" s="12">
        <f t="shared" si="62"/>
        <v>61.55</v>
      </c>
      <c r="O57" s="12">
        <f t="shared" si="62"/>
        <v>47.730000000000011</v>
      </c>
      <c r="P57" s="12">
        <f t="shared" si="62"/>
        <v>50.64</v>
      </c>
      <c r="Q57" s="12">
        <f t="shared" si="62"/>
        <v>104.53</v>
      </c>
      <c r="R57" s="12">
        <f t="shared" si="62"/>
        <v>160.27000000000001</v>
      </c>
      <c r="S57" s="12">
        <f t="shared" si="62"/>
        <v>141.01999999999998</v>
      </c>
      <c r="T57" s="12">
        <f t="shared" si="62"/>
        <v>199.51000000000002</v>
      </c>
      <c r="U57" s="12">
        <f t="shared" si="62"/>
        <v>167.39000000000001</v>
      </c>
      <c r="V57" s="12">
        <f t="shared" si="62"/>
        <v>156.41999999999999</v>
      </c>
      <c r="W57" s="12">
        <f t="shared" si="62"/>
        <v>173.64</v>
      </c>
      <c r="X57" s="12">
        <f t="shared" si="62"/>
        <v>155.04000000000002</v>
      </c>
      <c r="Y57" s="12">
        <f t="shared" si="62"/>
        <v>13.98</v>
      </c>
      <c r="Z57" s="12">
        <f t="shared" si="62"/>
        <v>5345.1399999999985</v>
      </c>
      <c r="AA57" s="150">
        <f t="shared" si="46"/>
        <v>1.0674659343995557E-2</v>
      </c>
      <c r="AC57" s="89">
        <f t="shared" si="5"/>
        <v>4678.6699999999983</v>
      </c>
      <c r="AD57" s="89">
        <f t="shared" si="6"/>
        <v>652.49</v>
      </c>
      <c r="AE57" s="89">
        <f t="shared" si="2"/>
        <v>13.98</v>
      </c>
      <c r="AF57" s="175">
        <v>0</v>
      </c>
      <c r="AG57" s="175">
        <f t="shared" si="35"/>
        <v>5345.1399999999976</v>
      </c>
      <c r="AH57" s="193">
        <f t="shared" si="47"/>
        <v>0.12207163890936445</v>
      </c>
      <c r="AI57" s="382"/>
    </row>
    <row r="58" spans="1:39" x14ac:dyDescent="0.35">
      <c r="A58" s="116" t="s">
        <v>21</v>
      </c>
      <c r="B58" s="117">
        <f t="shared" ref="B58:Z58" si="63">B364+B211</f>
        <v>46.78</v>
      </c>
      <c r="C58" s="117">
        <f t="shared" si="63"/>
        <v>33.700000000000003</v>
      </c>
      <c r="D58" s="117">
        <f t="shared" si="63"/>
        <v>0.19</v>
      </c>
      <c r="E58" s="117">
        <f t="shared" si="63"/>
        <v>0</v>
      </c>
      <c r="F58" s="117">
        <f t="shared" si="63"/>
        <v>0</v>
      </c>
      <c r="G58" s="117">
        <f t="shared" si="63"/>
        <v>0.75</v>
      </c>
      <c r="H58" s="117">
        <f t="shared" si="63"/>
        <v>1.02</v>
      </c>
      <c r="I58" s="117">
        <f t="shared" si="63"/>
        <v>0</v>
      </c>
      <c r="J58" s="117">
        <f t="shared" si="63"/>
        <v>0</v>
      </c>
      <c r="K58" s="117">
        <f t="shared" si="63"/>
        <v>1.18</v>
      </c>
      <c r="L58" s="117">
        <f t="shared" si="63"/>
        <v>0</v>
      </c>
      <c r="M58" s="117">
        <f t="shared" si="63"/>
        <v>10.83</v>
      </c>
      <c r="N58" s="117">
        <f t="shared" si="63"/>
        <v>2.04</v>
      </c>
      <c r="O58" s="117">
        <f t="shared" si="63"/>
        <v>0.18</v>
      </c>
      <c r="P58" s="117">
        <f t="shared" si="63"/>
        <v>0</v>
      </c>
      <c r="Q58" s="117">
        <f t="shared" si="63"/>
        <v>10.029999999999999</v>
      </c>
      <c r="R58" s="117">
        <f t="shared" si="63"/>
        <v>10.43</v>
      </c>
      <c r="S58" s="117">
        <f t="shared" si="63"/>
        <v>45.57</v>
      </c>
      <c r="T58" s="117">
        <f t="shared" si="63"/>
        <v>18.189999999999998</v>
      </c>
      <c r="U58" s="117">
        <f t="shared" si="63"/>
        <v>27.419999999999998</v>
      </c>
      <c r="V58" s="117">
        <f t="shared" si="63"/>
        <v>116.91</v>
      </c>
      <c r="W58" s="117">
        <f t="shared" si="63"/>
        <v>16.970000000000002</v>
      </c>
      <c r="X58" s="117">
        <f t="shared" si="63"/>
        <v>30.009999999999998</v>
      </c>
      <c r="Y58" s="117">
        <f t="shared" si="63"/>
        <v>0.13999999999999999</v>
      </c>
      <c r="Z58" s="117">
        <f t="shared" si="63"/>
        <v>372.34</v>
      </c>
      <c r="AA58" s="151">
        <f t="shared" si="46"/>
        <v>7.4359187226963309E-4</v>
      </c>
      <c r="AC58" s="117">
        <f>SUM(B58:T58)</f>
        <v>180.89000000000001</v>
      </c>
      <c r="AD58" s="117">
        <f>SUM(U58:X58)</f>
        <v>191.30999999999997</v>
      </c>
      <c r="AE58" s="117">
        <f t="shared" ref="AE58" si="64">Y58</f>
        <v>0.13999999999999999</v>
      </c>
      <c r="AF58" s="117">
        <v>6.22</v>
      </c>
      <c r="AG58" s="117">
        <f>SUM(AC58:AF58)</f>
        <v>378.56</v>
      </c>
      <c r="AH58" s="185">
        <f t="shared" si="47"/>
        <v>0.50536242603550285</v>
      </c>
    </row>
    <row r="59" spans="1:39" x14ac:dyDescent="0.35">
      <c r="A59" s="6" t="s">
        <v>21</v>
      </c>
      <c r="B59" s="12">
        <f t="shared" ref="B59:Z59" si="65">B365+B212</f>
        <v>46.78</v>
      </c>
      <c r="C59" s="12">
        <f t="shared" si="65"/>
        <v>33.700000000000003</v>
      </c>
      <c r="D59" s="12">
        <f t="shared" si="65"/>
        <v>0.19</v>
      </c>
      <c r="E59" s="12">
        <f t="shared" si="65"/>
        <v>0</v>
      </c>
      <c r="F59" s="12">
        <f t="shared" si="65"/>
        <v>0</v>
      </c>
      <c r="G59" s="12">
        <f t="shared" si="65"/>
        <v>0.75</v>
      </c>
      <c r="H59" s="12">
        <f t="shared" si="65"/>
        <v>1.02</v>
      </c>
      <c r="I59" s="12">
        <f t="shared" si="65"/>
        <v>0</v>
      </c>
      <c r="J59" s="12">
        <f t="shared" si="65"/>
        <v>0</v>
      </c>
      <c r="K59" s="12">
        <f t="shared" si="65"/>
        <v>1.18</v>
      </c>
      <c r="L59" s="12">
        <f t="shared" si="65"/>
        <v>0</v>
      </c>
      <c r="M59" s="12">
        <f t="shared" si="65"/>
        <v>10.83</v>
      </c>
      <c r="N59" s="12">
        <f t="shared" si="65"/>
        <v>2.04</v>
      </c>
      <c r="O59" s="12">
        <f t="shared" si="65"/>
        <v>0.18</v>
      </c>
      <c r="P59" s="12">
        <f t="shared" si="65"/>
        <v>0</v>
      </c>
      <c r="Q59" s="12">
        <f t="shared" si="65"/>
        <v>10.029999999999999</v>
      </c>
      <c r="R59" s="12">
        <f t="shared" si="65"/>
        <v>10.43</v>
      </c>
      <c r="S59" s="12">
        <f t="shared" si="65"/>
        <v>45.57</v>
      </c>
      <c r="T59" s="12">
        <f t="shared" si="65"/>
        <v>18.189999999999998</v>
      </c>
      <c r="U59" s="12">
        <f t="shared" si="65"/>
        <v>27.419999999999998</v>
      </c>
      <c r="V59" s="12">
        <f t="shared" si="65"/>
        <v>116.91</v>
      </c>
      <c r="W59" s="12">
        <f t="shared" si="65"/>
        <v>16.970000000000002</v>
      </c>
      <c r="X59" s="12">
        <f t="shared" si="65"/>
        <v>30.009999999999998</v>
      </c>
      <c r="Y59" s="12">
        <f t="shared" si="65"/>
        <v>0.13999999999999999</v>
      </c>
      <c r="Z59" s="12">
        <f t="shared" si="65"/>
        <v>372.34</v>
      </c>
      <c r="AA59" s="150">
        <f t="shared" si="46"/>
        <v>7.4359187226963309E-4</v>
      </c>
      <c r="AC59" s="89">
        <f t="shared" si="5"/>
        <v>180.89000000000001</v>
      </c>
      <c r="AD59" s="89">
        <f t="shared" si="6"/>
        <v>191.30999999999997</v>
      </c>
      <c r="AE59" s="89">
        <f t="shared" si="2"/>
        <v>0.13999999999999999</v>
      </c>
      <c r="AF59" s="175">
        <v>6.22</v>
      </c>
      <c r="AG59" s="175">
        <f t="shared" si="35"/>
        <v>378.56</v>
      </c>
      <c r="AH59" s="193">
        <f t="shared" si="47"/>
        <v>0.50536242603550285</v>
      </c>
    </row>
    <row r="60" spans="1:39" x14ac:dyDescent="0.35">
      <c r="A60" s="116" t="s">
        <v>22</v>
      </c>
      <c r="B60" s="117">
        <f t="shared" ref="B60:Z60" si="66">B366+B213</f>
        <v>37349.039999999979</v>
      </c>
      <c r="C60" s="117">
        <f t="shared" si="66"/>
        <v>5616.26</v>
      </c>
      <c r="D60" s="117">
        <f t="shared" si="66"/>
        <v>756.43</v>
      </c>
      <c r="E60" s="117">
        <f t="shared" si="66"/>
        <v>692.12</v>
      </c>
      <c r="F60" s="117">
        <f t="shared" si="66"/>
        <v>600.87000000000012</v>
      </c>
      <c r="G60" s="117">
        <f t="shared" si="66"/>
        <v>1193.1500000000001</v>
      </c>
      <c r="H60" s="117">
        <f t="shared" si="66"/>
        <v>1501.4499999999998</v>
      </c>
      <c r="I60" s="117">
        <f t="shared" si="66"/>
        <v>529.12999999999988</v>
      </c>
      <c r="J60" s="117">
        <f t="shared" si="66"/>
        <v>960.43</v>
      </c>
      <c r="K60" s="117">
        <f t="shared" si="66"/>
        <v>657.68999999999994</v>
      </c>
      <c r="L60" s="117">
        <f t="shared" si="66"/>
        <v>868.67</v>
      </c>
      <c r="M60" s="117">
        <f t="shared" si="66"/>
        <v>1378.0400000000006</v>
      </c>
      <c r="N60" s="117">
        <f t="shared" si="66"/>
        <v>521.70000000000005</v>
      </c>
      <c r="O60" s="117">
        <f t="shared" si="66"/>
        <v>718.86000000000013</v>
      </c>
      <c r="P60" s="117">
        <f t="shared" si="66"/>
        <v>913.33999999999992</v>
      </c>
      <c r="Q60" s="117">
        <f t="shared" si="66"/>
        <v>1731.9399999999996</v>
      </c>
      <c r="R60" s="117">
        <f t="shared" si="66"/>
        <v>3126.4499999999994</v>
      </c>
      <c r="S60" s="117">
        <f t="shared" si="66"/>
        <v>3327.1600000000003</v>
      </c>
      <c r="T60" s="117">
        <f t="shared" si="66"/>
        <v>3590.6699999999992</v>
      </c>
      <c r="U60" s="117">
        <f t="shared" si="66"/>
        <v>2325.3199999999988</v>
      </c>
      <c r="V60" s="117">
        <f t="shared" si="66"/>
        <v>2580.2800000000007</v>
      </c>
      <c r="W60" s="117">
        <f t="shared" si="66"/>
        <v>2079.3099999999995</v>
      </c>
      <c r="X60" s="117">
        <f t="shared" si="66"/>
        <v>1036.3800000000001</v>
      </c>
      <c r="Y60" s="117">
        <f t="shared" si="66"/>
        <v>83.479999999999961</v>
      </c>
      <c r="Z60" s="117">
        <f t="shared" si="66"/>
        <v>74138.169999999984</v>
      </c>
      <c r="AA60" s="151">
        <f t="shared" si="46"/>
        <v>0.14805967835028291</v>
      </c>
      <c r="AC60" s="117">
        <f>SUM(B60:T60)</f>
        <v>66033.39999999998</v>
      </c>
      <c r="AD60" s="117">
        <f>SUM(U60:X60)</f>
        <v>8021.2899999999991</v>
      </c>
      <c r="AE60" s="117">
        <f t="shared" ref="AE60" si="67">Y60</f>
        <v>83.479999999999961</v>
      </c>
      <c r="AF60" s="117">
        <v>2.2400000000000002</v>
      </c>
      <c r="AG60" s="117">
        <f>SUM(AC60:AF60)</f>
        <v>74140.409999999974</v>
      </c>
      <c r="AH60" s="185">
        <f t="shared" si="47"/>
        <v>0.10819052659676419</v>
      </c>
    </row>
    <row r="61" spans="1:39" x14ac:dyDescent="0.35">
      <c r="A61" s="6" t="s">
        <v>22</v>
      </c>
      <c r="B61" s="12">
        <f t="shared" ref="B61:Z61" si="68">B367+B214</f>
        <v>37349.039999999979</v>
      </c>
      <c r="C61" s="12">
        <f t="shared" si="68"/>
        <v>5616.26</v>
      </c>
      <c r="D61" s="12">
        <f t="shared" si="68"/>
        <v>756.43</v>
      </c>
      <c r="E61" s="12">
        <f t="shared" si="68"/>
        <v>692.12</v>
      </c>
      <c r="F61" s="12">
        <f t="shared" si="68"/>
        <v>600.87000000000012</v>
      </c>
      <c r="G61" s="12">
        <f t="shared" si="68"/>
        <v>1193.1500000000001</v>
      </c>
      <c r="H61" s="12">
        <f t="shared" si="68"/>
        <v>1501.4499999999998</v>
      </c>
      <c r="I61" s="12">
        <f t="shared" si="68"/>
        <v>529.12999999999988</v>
      </c>
      <c r="J61" s="12">
        <f t="shared" si="68"/>
        <v>960.43</v>
      </c>
      <c r="K61" s="12">
        <f t="shared" si="68"/>
        <v>657.68999999999994</v>
      </c>
      <c r="L61" s="12">
        <f t="shared" si="68"/>
        <v>868.67</v>
      </c>
      <c r="M61" s="12">
        <f t="shared" si="68"/>
        <v>1378.0400000000006</v>
      </c>
      <c r="N61" s="12">
        <f t="shared" si="68"/>
        <v>521.70000000000005</v>
      </c>
      <c r="O61" s="12">
        <f t="shared" si="68"/>
        <v>718.86000000000013</v>
      </c>
      <c r="P61" s="12">
        <f t="shared" si="68"/>
        <v>913.33999999999992</v>
      </c>
      <c r="Q61" s="12">
        <f t="shared" si="68"/>
        <v>1731.9399999999996</v>
      </c>
      <c r="R61" s="12">
        <f t="shared" si="68"/>
        <v>3126.4499999999994</v>
      </c>
      <c r="S61" s="12">
        <f t="shared" si="68"/>
        <v>3327.1600000000003</v>
      </c>
      <c r="T61" s="12">
        <f t="shared" si="68"/>
        <v>3590.6699999999992</v>
      </c>
      <c r="U61" s="12">
        <f t="shared" si="68"/>
        <v>2325.3199999999988</v>
      </c>
      <c r="V61" s="12">
        <f t="shared" si="68"/>
        <v>2580.2800000000007</v>
      </c>
      <c r="W61" s="12">
        <f t="shared" si="68"/>
        <v>2079.3099999999995</v>
      </c>
      <c r="X61" s="12">
        <f t="shared" si="68"/>
        <v>1036.3800000000001</v>
      </c>
      <c r="Y61" s="12">
        <f t="shared" si="68"/>
        <v>83.479999999999961</v>
      </c>
      <c r="Z61" s="12">
        <f t="shared" si="68"/>
        <v>74138.169999999984</v>
      </c>
      <c r="AA61" s="150">
        <f t="shared" si="46"/>
        <v>0.14805967835028291</v>
      </c>
      <c r="AC61" s="89">
        <f t="shared" si="5"/>
        <v>66033.39999999998</v>
      </c>
      <c r="AD61" s="89">
        <f t="shared" si="6"/>
        <v>8021.2899999999991</v>
      </c>
      <c r="AE61" s="89">
        <f t="shared" si="2"/>
        <v>83.479999999999961</v>
      </c>
      <c r="AF61" s="175">
        <v>2.2400000000000002</v>
      </c>
      <c r="AG61" s="175">
        <f t="shared" si="35"/>
        <v>74140.409999999974</v>
      </c>
      <c r="AH61" s="193">
        <f t="shared" si="47"/>
        <v>0.10819052659676419</v>
      </c>
    </row>
    <row r="62" spans="1:39" x14ac:dyDescent="0.35">
      <c r="A62" s="116" t="s">
        <v>23</v>
      </c>
      <c r="B62" s="117">
        <f t="shared" ref="B62:Z62" si="69">B368+B215</f>
        <v>785.59000000000026</v>
      </c>
      <c r="C62" s="117">
        <f t="shared" si="69"/>
        <v>49.8</v>
      </c>
      <c r="D62" s="117">
        <f t="shared" si="69"/>
        <v>6.4</v>
      </c>
      <c r="E62" s="117">
        <f t="shared" si="69"/>
        <v>6.3</v>
      </c>
      <c r="F62" s="117">
        <f t="shared" si="69"/>
        <v>2.4000000000000004</v>
      </c>
      <c r="G62" s="117">
        <f t="shared" si="69"/>
        <v>4.82</v>
      </c>
      <c r="H62" s="117">
        <f t="shared" si="69"/>
        <v>18.560000000000002</v>
      </c>
      <c r="I62" s="117">
        <f t="shared" si="69"/>
        <v>30.46</v>
      </c>
      <c r="J62" s="117">
        <f t="shared" si="69"/>
        <v>9.3800000000000008</v>
      </c>
      <c r="K62" s="117">
        <f t="shared" si="69"/>
        <v>25.11</v>
      </c>
      <c r="L62" s="117">
        <f t="shared" si="69"/>
        <v>34.1</v>
      </c>
      <c r="M62" s="117">
        <f t="shared" si="69"/>
        <v>24.72</v>
      </c>
      <c r="N62" s="117">
        <f t="shared" si="69"/>
        <v>7.92</v>
      </c>
      <c r="O62" s="117">
        <f t="shared" si="69"/>
        <v>7.2799999999999994</v>
      </c>
      <c r="P62" s="117">
        <f t="shared" si="69"/>
        <v>3.12</v>
      </c>
      <c r="Q62" s="117">
        <f t="shared" si="69"/>
        <v>11.45</v>
      </c>
      <c r="R62" s="117">
        <f t="shared" si="69"/>
        <v>19.970000000000002</v>
      </c>
      <c r="S62" s="117">
        <f t="shared" si="69"/>
        <v>39.14</v>
      </c>
      <c r="T62" s="117">
        <f t="shared" si="69"/>
        <v>21.07</v>
      </c>
      <c r="U62" s="117">
        <f t="shared" si="69"/>
        <v>41.93</v>
      </c>
      <c r="V62" s="117">
        <f t="shared" si="69"/>
        <v>60.08</v>
      </c>
      <c r="W62" s="117">
        <f t="shared" si="69"/>
        <v>66.48</v>
      </c>
      <c r="X62" s="117">
        <f t="shared" si="69"/>
        <v>51.31</v>
      </c>
      <c r="Y62" s="117">
        <f t="shared" si="69"/>
        <v>3.77</v>
      </c>
      <c r="Z62" s="117">
        <f t="shared" si="69"/>
        <v>1331.1600000000003</v>
      </c>
      <c r="AA62" s="151">
        <f t="shared" si="46"/>
        <v>2.6584298133169823E-3</v>
      </c>
      <c r="AC62" s="117">
        <f>SUM(B62:T62)</f>
        <v>1107.5900000000001</v>
      </c>
      <c r="AD62" s="117">
        <f>SUM(U62:X62)</f>
        <v>219.8</v>
      </c>
      <c r="AE62" s="117">
        <f t="shared" ref="AE62" si="70">Y62</f>
        <v>3.77</v>
      </c>
      <c r="AF62" s="117">
        <v>7.1394000000000002</v>
      </c>
      <c r="AG62" s="117">
        <f>SUM(AC62:AF62)</f>
        <v>1338.2994000000001</v>
      </c>
      <c r="AH62" s="185">
        <f t="shared" si="47"/>
        <v>0.16423828629079562</v>
      </c>
    </row>
    <row r="63" spans="1:39" x14ac:dyDescent="0.35">
      <c r="A63" s="6" t="s">
        <v>23</v>
      </c>
      <c r="B63" s="12">
        <f t="shared" ref="B63:Z63" si="71">B369+B216</f>
        <v>785.59000000000026</v>
      </c>
      <c r="C63" s="12">
        <f t="shared" si="71"/>
        <v>49.8</v>
      </c>
      <c r="D63" s="12">
        <f t="shared" si="71"/>
        <v>6.4</v>
      </c>
      <c r="E63" s="12">
        <f t="shared" si="71"/>
        <v>6.3</v>
      </c>
      <c r="F63" s="12">
        <f t="shared" si="71"/>
        <v>2.4000000000000004</v>
      </c>
      <c r="G63" s="12">
        <f t="shared" si="71"/>
        <v>4.82</v>
      </c>
      <c r="H63" s="12">
        <f t="shared" si="71"/>
        <v>18.560000000000002</v>
      </c>
      <c r="I63" s="12">
        <f t="shared" si="71"/>
        <v>30.46</v>
      </c>
      <c r="J63" s="12">
        <f t="shared" si="71"/>
        <v>9.3800000000000008</v>
      </c>
      <c r="K63" s="12">
        <f t="shared" si="71"/>
        <v>25.11</v>
      </c>
      <c r="L63" s="12">
        <f t="shared" si="71"/>
        <v>34.1</v>
      </c>
      <c r="M63" s="12">
        <f t="shared" si="71"/>
        <v>24.72</v>
      </c>
      <c r="N63" s="12">
        <f t="shared" si="71"/>
        <v>7.92</v>
      </c>
      <c r="O63" s="12">
        <f t="shared" si="71"/>
        <v>7.2799999999999994</v>
      </c>
      <c r="P63" s="12">
        <f t="shared" si="71"/>
        <v>3.12</v>
      </c>
      <c r="Q63" s="12">
        <f t="shared" si="71"/>
        <v>11.45</v>
      </c>
      <c r="R63" s="12">
        <f t="shared" si="71"/>
        <v>19.970000000000002</v>
      </c>
      <c r="S63" s="12">
        <f t="shared" si="71"/>
        <v>39.14</v>
      </c>
      <c r="T63" s="12">
        <f t="shared" si="71"/>
        <v>21.07</v>
      </c>
      <c r="U63" s="12">
        <f t="shared" si="71"/>
        <v>41.93</v>
      </c>
      <c r="V63" s="12">
        <f t="shared" si="71"/>
        <v>60.08</v>
      </c>
      <c r="W63" s="12">
        <f t="shared" si="71"/>
        <v>66.48</v>
      </c>
      <c r="X63" s="12">
        <f t="shared" si="71"/>
        <v>51.31</v>
      </c>
      <c r="Y63" s="12">
        <f t="shared" si="71"/>
        <v>3.77</v>
      </c>
      <c r="Z63" s="12">
        <f t="shared" si="71"/>
        <v>1331.1600000000003</v>
      </c>
      <c r="AA63" s="150">
        <f t="shared" si="46"/>
        <v>2.6584298133169823E-3</v>
      </c>
      <c r="AC63" s="89">
        <f t="shared" si="5"/>
        <v>1107.5900000000001</v>
      </c>
      <c r="AD63" s="89">
        <f t="shared" si="6"/>
        <v>219.8</v>
      </c>
      <c r="AE63" s="89">
        <f t="shared" si="2"/>
        <v>3.77</v>
      </c>
      <c r="AF63" s="175">
        <v>7.1394000000000002</v>
      </c>
      <c r="AG63" s="175">
        <f t="shared" si="35"/>
        <v>1338.2994000000001</v>
      </c>
      <c r="AH63" s="193">
        <f t="shared" si="47"/>
        <v>0.16423828629079562</v>
      </c>
    </row>
    <row r="64" spans="1:39" x14ac:dyDescent="0.35">
      <c r="A64" s="116" t="s">
        <v>76</v>
      </c>
      <c r="B64" s="117">
        <v>9.65</v>
      </c>
      <c r="C64" s="117">
        <v>0.5</v>
      </c>
      <c r="D64" s="117">
        <v>0</v>
      </c>
      <c r="E64" s="117">
        <v>0</v>
      </c>
      <c r="F64" s="117">
        <v>0</v>
      </c>
      <c r="G64" s="117">
        <v>0</v>
      </c>
      <c r="H64" s="117">
        <v>0</v>
      </c>
      <c r="I64" s="117">
        <v>0</v>
      </c>
      <c r="J64" s="117">
        <v>0</v>
      </c>
      <c r="K64" s="117">
        <v>0</v>
      </c>
      <c r="L64" s="117">
        <v>0</v>
      </c>
      <c r="M64" s="117">
        <v>0</v>
      </c>
      <c r="N64" s="117">
        <v>0</v>
      </c>
      <c r="O64" s="117">
        <v>0</v>
      </c>
      <c r="P64" s="117">
        <v>0</v>
      </c>
      <c r="Q64" s="117">
        <v>0</v>
      </c>
      <c r="R64" s="117">
        <v>0</v>
      </c>
      <c r="S64" s="117">
        <v>0</v>
      </c>
      <c r="T64" s="117">
        <v>0</v>
      </c>
      <c r="U64" s="117">
        <v>0</v>
      </c>
      <c r="V64" s="117">
        <v>0.09</v>
      </c>
      <c r="W64" s="117">
        <v>0.09</v>
      </c>
      <c r="X64" s="117">
        <v>0</v>
      </c>
      <c r="Y64" s="117">
        <v>0.13</v>
      </c>
      <c r="Z64" s="117">
        <f>SUM(B64:Y64)</f>
        <v>10.46</v>
      </c>
      <c r="AA64" s="151">
        <f t="shared" ref="AA64:AA65" si="72">Z64/$Z$219</f>
        <v>2.6753466575316122E-5</v>
      </c>
      <c r="AC64" s="177">
        <v>10.15</v>
      </c>
      <c r="AD64" s="177">
        <v>0.18</v>
      </c>
      <c r="AE64" s="177">
        <v>0.13</v>
      </c>
      <c r="AF64" s="117"/>
      <c r="AG64" s="117">
        <v>10.46</v>
      </c>
      <c r="AH64" s="185"/>
    </row>
    <row r="65" spans="1:34" x14ac:dyDescent="0.35">
      <c r="A65" s="191" t="s">
        <v>59</v>
      </c>
      <c r="B65" s="12">
        <v>9.65</v>
      </c>
      <c r="C65" s="12">
        <v>0.5</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0.09</v>
      </c>
      <c r="W65" s="12">
        <v>0.09</v>
      </c>
      <c r="X65" s="12">
        <v>0</v>
      </c>
      <c r="Y65" s="12">
        <v>0.13</v>
      </c>
      <c r="Z65" s="12">
        <f t="shared" ref="Z65" si="73">SUM(B65:Y65)</f>
        <v>10.46</v>
      </c>
      <c r="AA65" s="150">
        <f t="shared" si="72"/>
        <v>2.6753466575316122E-5</v>
      </c>
      <c r="AC65" s="175">
        <v>10.15</v>
      </c>
      <c r="AD65" s="175">
        <v>0.18</v>
      </c>
      <c r="AE65" s="175">
        <v>0.13</v>
      </c>
      <c r="AF65" s="175"/>
      <c r="AG65" s="175">
        <v>10.46</v>
      </c>
      <c r="AH65" s="202"/>
    </row>
    <row r="66" spans="1:34" ht="15.5" x14ac:dyDescent="0.35">
      <c r="A66" s="179" t="s">
        <v>25</v>
      </c>
      <c r="B66" s="213">
        <f>B219+B370</f>
        <v>235780.89</v>
      </c>
      <c r="C66" s="213">
        <f t="shared" ref="C66:Y66" si="74">C219+C370</f>
        <v>26518.68</v>
      </c>
      <c r="D66" s="213">
        <f t="shared" si="74"/>
        <v>3176.75</v>
      </c>
      <c r="E66" s="213">
        <f t="shared" si="74"/>
        <v>3648.7</v>
      </c>
      <c r="F66" s="213">
        <f t="shared" si="74"/>
        <v>3195.7999999999993</v>
      </c>
      <c r="G66" s="213">
        <f t="shared" si="74"/>
        <v>5936.6899999999987</v>
      </c>
      <c r="H66" s="213">
        <f t="shared" si="74"/>
        <v>7572.4699999999993</v>
      </c>
      <c r="I66" s="213">
        <f t="shared" si="74"/>
        <v>4635.74</v>
      </c>
      <c r="J66" s="213">
        <f t="shared" si="74"/>
        <v>7459.54</v>
      </c>
      <c r="K66" s="213">
        <f t="shared" si="74"/>
        <v>4457.7299999999996</v>
      </c>
      <c r="L66" s="213">
        <f t="shared" si="74"/>
        <v>6082.75</v>
      </c>
      <c r="M66" s="213">
        <f t="shared" si="74"/>
        <v>7225.59</v>
      </c>
      <c r="N66" s="213">
        <f t="shared" si="74"/>
        <v>3443.5799999999995</v>
      </c>
      <c r="O66" s="213">
        <f t="shared" si="74"/>
        <v>5442.77</v>
      </c>
      <c r="P66" s="213">
        <f t="shared" si="74"/>
        <v>6140.6699999999992</v>
      </c>
      <c r="Q66" s="213">
        <f t="shared" si="74"/>
        <v>11908.810000000001</v>
      </c>
      <c r="R66" s="213">
        <f t="shared" si="74"/>
        <v>25081.85</v>
      </c>
      <c r="S66" s="213">
        <f t="shared" si="74"/>
        <v>31416.980000000003</v>
      </c>
      <c r="T66" s="213">
        <f t="shared" si="74"/>
        <v>29050.050000000003</v>
      </c>
      <c r="U66" s="213">
        <f t="shared" si="74"/>
        <v>19780.899999999998</v>
      </c>
      <c r="V66" s="213">
        <f t="shared" si="74"/>
        <v>19534.300000000003</v>
      </c>
      <c r="W66" s="213">
        <f t="shared" si="74"/>
        <v>18937.829999999994</v>
      </c>
      <c r="X66" s="213">
        <f t="shared" si="74"/>
        <v>13827.54</v>
      </c>
      <c r="Y66" s="213">
        <f t="shared" si="74"/>
        <v>475.05999999999989</v>
      </c>
      <c r="Z66" s="213">
        <f>Z370+Z219</f>
        <v>500731.66999999987</v>
      </c>
      <c r="AA66" s="194">
        <f>Z66/$Z$66</f>
        <v>1</v>
      </c>
      <c r="AC66" s="149">
        <f>SUM(B66:T66)</f>
        <v>428176.03999999992</v>
      </c>
      <c r="AD66" s="149">
        <f>SUM(U66:X66)</f>
        <v>72080.569999999992</v>
      </c>
      <c r="AE66" s="149">
        <f t="shared" si="2"/>
        <v>475.05999999999989</v>
      </c>
      <c r="AF66" s="149">
        <v>10731.439200000001</v>
      </c>
      <c r="AG66" s="149">
        <f>SUM(AC66:AF66)</f>
        <v>511463.10919999995</v>
      </c>
      <c r="AH66" s="194">
        <f t="shared" si="47"/>
        <v>0.1409301447229383</v>
      </c>
    </row>
    <row r="67" spans="1:34" x14ac:dyDescent="0.35">
      <c r="A67" s="378" t="s">
        <v>253</v>
      </c>
      <c r="B67" s="379"/>
      <c r="C67" s="379">
        <f>C66+B66</f>
        <v>262299.57</v>
      </c>
      <c r="D67" s="379">
        <f>D66+C67</f>
        <v>265476.32</v>
      </c>
      <c r="E67" s="379">
        <f>E66+D67</f>
        <v>269125.02</v>
      </c>
      <c r="F67" s="379">
        <f t="shared" ref="F67" si="75">F66+E67</f>
        <v>272320.82</v>
      </c>
      <c r="G67" s="379">
        <f t="shared" ref="G67" si="76">G66+F67</f>
        <v>278257.51</v>
      </c>
      <c r="H67" s="379">
        <f t="shared" ref="H67" si="77">H66+G67</f>
        <v>285829.98</v>
      </c>
      <c r="I67" s="379">
        <f t="shared" ref="I67" si="78">I66+H67</f>
        <v>290465.71999999997</v>
      </c>
      <c r="J67" s="379">
        <f t="shared" ref="J67" si="79">J66+I67</f>
        <v>297925.25999999995</v>
      </c>
      <c r="K67" s="379">
        <f t="shared" ref="K67" si="80">K66+J67</f>
        <v>302382.98999999993</v>
      </c>
      <c r="L67" s="379">
        <f t="shared" ref="L67" si="81">L66+K67</f>
        <v>308465.73999999993</v>
      </c>
      <c r="M67" s="379">
        <f t="shared" ref="M67" si="82">M66+L67</f>
        <v>315691.32999999996</v>
      </c>
      <c r="N67" s="379">
        <f t="shared" ref="N67" si="83">N66+M67</f>
        <v>319134.90999999997</v>
      </c>
      <c r="O67" s="379">
        <f t="shared" ref="O67" si="84">O66+N67</f>
        <v>324577.68</v>
      </c>
      <c r="P67" s="379">
        <f t="shared" ref="P67" si="85">P66+O67</f>
        <v>330718.34999999998</v>
      </c>
      <c r="Q67" s="379">
        <f t="shared" ref="Q67" si="86">Q66+P67</f>
        <v>342627.16</v>
      </c>
      <c r="R67" s="379">
        <f t="shared" ref="R67" si="87">R66+Q67</f>
        <v>367709.00999999995</v>
      </c>
      <c r="S67" s="379">
        <f t="shared" ref="S67" si="88">S66+R67</f>
        <v>399125.98999999993</v>
      </c>
      <c r="T67" s="379">
        <f t="shared" ref="T67" si="89">T66+S67</f>
        <v>428176.03999999992</v>
      </c>
      <c r="U67" s="379">
        <f t="shared" ref="U67" si="90">U66+T67</f>
        <v>447956.93999999994</v>
      </c>
      <c r="V67" s="379">
        <f t="shared" ref="V67" si="91">V66+U67</f>
        <v>467491.23999999993</v>
      </c>
      <c r="W67" s="379">
        <f t="shared" ref="W67" si="92">W66+V67</f>
        <v>486429.06999999995</v>
      </c>
      <c r="X67" s="379">
        <f t="shared" ref="X67" si="93">X66+W67</f>
        <v>500256.60999999993</v>
      </c>
    </row>
    <row r="68" spans="1:34" x14ac:dyDescent="0.35">
      <c r="A68" s="380" t="s">
        <v>254</v>
      </c>
      <c r="B68" s="379"/>
      <c r="C68" s="381"/>
      <c r="D68" s="381">
        <f t="shared" ref="D68:X68" si="94">D67/C67-1</f>
        <v>1.2111152145617421E-2</v>
      </c>
      <c r="E68" s="381">
        <f t="shared" si="94"/>
        <v>1.3743975357199512E-2</v>
      </c>
      <c r="F68" s="381">
        <f t="shared" si="94"/>
        <v>1.1874778495139404E-2</v>
      </c>
      <c r="G68" s="381">
        <f t="shared" si="94"/>
        <v>2.1800352980723359E-2</v>
      </c>
      <c r="H68" s="381">
        <f t="shared" si="94"/>
        <v>2.7213892627731662E-2</v>
      </c>
      <c r="I68" s="381">
        <f t="shared" si="94"/>
        <v>1.6218522633629995E-2</v>
      </c>
      <c r="J68" s="381">
        <f t="shared" si="94"/>
        <v>2.5681309312506784E-2</v>
      </c>
      <c r="K68" s="381">
        <f t="shared" si="94"/>
        <v>1.4962578198303822E-2</v>
      </c>
      <c r="L68" s="381">
        <f t="shared" si="94"/>
        <v>2.0116045548726147E-2</v>
      </c>
      <c r="M68" s="381">
        <f t="shared" si="94"/>
        <v>2.3424286924051962E-2</v>
      </c>
      <c r="N68" s="381">
        <f t="shared" si="94"/>
        <v>1.0908060097817751E-2</v>
      </c>
      <c r="O68" s="381">
        <f t="shared" si="94"/>
        <v>1.705476220072577E-2</v>
      </c>
      <c r="P68" s="381">
        <f t="shared" si="94"/>
        <v>1.8918953391989124E-2</v>
      </c>
      <c r="Q68" s="381">
        <f t="shared" si="94"/>
        <v>3.600891816253915E-2</v>
      </c>
      <c r="R68" s="381">
        <f t="shared" si="94"/>
        <v>7.3204500191986988E-2</v>
      </c>
      <c r="S68" s="381">
        <f t="shared" si="94"/>
        <v>8.5439788380491377E-2</v>
      </c>
      <c r="T68" s="381">
        <f t="shared" si="94"/>
        <v>7.2784160209662163E-2</v>
      </c>
      <c r="U68" s="381">
        <f t="shared" si="94"/>
        <v>4.6198054426399127E-2</v>
      </c>
      <c r="V68" s="381">
        <f t="shared" si="94"/>
        <v>4.360753959967667E-2</v>
      </c>
      <c r="W68" s="381">
        <f t="shared" si="94"/>
        <v>4.0509486338182521E-2</v>
      </c>
      <c r="X68" s="431">
        <f t="shared" si="94"/>
        <v>2.8426631656697676E-2</v>
      </c>
      <c r="Y68" s="141"/>
    </row>
    <row r="69" spans="1:34" s="133" customFormat="1" x14ac:dyDescent="0.35">
      <c r="A69" s="522" t="s">
        <v>313</v>
      </c>
      <c r="B69" s="523">
        <f>B62+B60+B58+B56+B53+B51+B41+B35+B30+B26+B22+B13+B64</f>
        <v>235780.89</v>
      </c>
      <c r="C69" s="523">
        <f t="shared" ref="C69:Z69" si="95">C62+C60+C58+C56+C53+C51+C41+C35+C30+C26+C22+C13+C64</f>
        <v>26518.68</v>
      </c>
      <c r="D69" s="523">
        <f t="shared" si="95"/>
        <v>3176.75</v>
      </c>
      <c r="E69" s="523">
        <f t="shared" si="95"/>
        <v>3648.7</v>
      </c>
      <c r="F69" s="523">
        <f t="shared" si="95"/>
        <v>3195.7999999999997</v>
      </c>
      <c r="G69" s="523">
        <f t="shared" si="95"/>
        <v>5936.69</v>
      </c>
      <c r="H69" s="523">
        <f t="shared" si="95"/>
        <v>7572.4699999999993</v>
      </c>
      <c r="I69" s="523">
        <f t="shared" si="95"/>
        <v>4635.74</v>
      </c>
      <c r="J69" s="523">
        <f t="shared" si="95"/>
        <v>7459.54</v>
      </c>
      <c r="K69" s="523">
        <f t="shared" si="95"/>
        <v>4457.7300000000005</v>
      </c>
      <c r="L69" s="523">
        <f t="shared" si="95"/>
        <v>6082.75</v>
      </c>
      <c r="M69" s="523">
        <f t="shared" si="95"/>
        <v>7225.59</v>
      </c>
      <c r="N69" s="523">
        <f t="shared" si="95"/>
        <v>3443.58</v>
      </c>
      <c r="O69" s="523">
        <f>O62+O60+O58+O56+O53+O51+O41+O35+O30+O26+O22+O13+O64</f>
        <v>5442.77</v>
      </c>
      <c r="P69" s="523">
        <f t="shared" si="95"/>
        <v>6140.6699999999992</v>
      </c>
      <c r="Q69" s="523">
        <f t="shared" si="95"/>
        <v>11908.809999999998</v>
      </c>
      <c r="R69" s="523">
        <f t="shared" si="95"/>
        <v>25081.85</v>
      </c>
      <c r="S69" s="523">
        <f t="shared" si="95"/>
        <v>31416.98</v>
      </c>
      <c r="T69" s="523">
        <f t="shared" si="95"/>
        <v>29050.050000000003</v>
      </c>
      <c r="U69" s="523">
        <f t="shared" si="95"/>
        <v>19780.899999999998</v>
      </c>
      <c r="V69" s="523">
        <f t="shared" si="95"/>
        <v>19534.300000000003</v>
      </c>
      <c r="W69" s="523">
        <f t="shared" si="95"/>
        <v>18937.829999999998</v>
      </c>
      <c r="X69" s="523">
        <f t="shared" si="95"/>
        <v>13827.54</v>
      </c>
      <c r="Y69" s="523">
        <f t="shared" si="95"/>
        <v>475.05999999999995</v>
      </c>
      <c r="Z69" s="523">
        <f t="shared" si="95"/>
        <v>500731.67</v>
      </c>
      <c r="AC69" s="523">
        <f t="shared" ref="AC69:AG69" si="96">AC62+AC60+AC58+AC56+AC53+AC51+AC41+AC35+AC30+AC26+AC22+AC13</f>
        <v>428165.89</v>
      </c>
      <c r="AD69" s="523">
        <f t="shared" si="96"/>
        <v>72080.389999999985</v>
      </c>
      <c r="AE69" s="523">
        <f t="shared" si="96"/>
        <v>474.92999999999995</v>
      </c>
      <c r="AF69" s="523">
        <f t="shared" si="96"/>
        <v>10731.439200000028</v>
      </c>
      <c r="AG69" s="523">
        <f t="shared" si="96"/>
        <v>511452.6492000001</v>
      </c>
    </row>
    <row r="70" spans="1:34" x14ac:dyDescent="0.35">
      <c r="A70" s="380"/>
      <c r="B70" s="379"/>
      <c r="C70" s="381"/>
      <c r="D70" s="381"/>
      <c r="E70" s="381"/>
      <c r="F70" s="381"/>
      <c r="G70" s="381"/>
      <c r="H70" s="381"/>
      <c r="I70" s="381"/>
      <c r="J70" s="381"/>
      <c r="K70" s="381"/>
      <c r="L70" s="381"/>
      <c r="M70" s="381"/>
      <c r="N70" s="381"/>
      <c r="O70" s="381"/>
      <c r="P70" s="381"/>
      <c r="Q70" s="381"/>
      <c r="R70" s="381"/>
      <c r="S70" s="381"/>
      <c r="T70" s="381"/>
      <c r="U70" s="381"/>
      <c r="V70" s="381"/>
      <c r="W70" s="381"/>
      <c r="X70" s="381"/>
      <c r="Z70" s="141"/>
    </row>
    <row r="71" spans="1:34" ht="15.5" x14ac:dyDescent="0.35">
      <c r="A71" s="121" t="s">
        <v>99</v>
      </c>
      <c r="B71" s="122" t="s">
        <v>134</v>
      </c>
      <c r="C71" s="122">
        <v>2000</v>
      </c>
      <c r="D71" s="122">
        <v>2001</v>
      </c>
      <c r="E71" s="122">
        <v>2002</v>
      </c>
      <c r="F71" s="122">
        <v>2003</v>
      </c>
      <c r="G71" s="122">
        <v>2004</v>
      </c>
      <c r="H71" s="122">
        <v>2005</v>
      </c>
      <c r="I71" s="122">
        <v>2006</v>
      </c>
      <c r="J71" s="122">
        <v>2007</v>
      </c>
      <c r="K71" s="122">
        <v>2008</v>
      </c>
      <c r="L71" s="122">
        <v>2009</v>
      </c>
      <c r="M71" s="122">
        <v>2010</v>
      </c>
      <c r="N71" s="122">
        <v>2011</v>
      </c>
      <c r="O71" s="122">
        <v>2012</v>
      </c>
      <c r="P71" s="122">
        <v>2013</v>
      </c>
      <c r="Q71" s="122">
        <v>2014</v>
      </c>
      <c r="R71" s="122">
        <v>2015</v>
      </c>
      <c r="S71" s="122">
        <v>2016</v>
      </c>
      <c r="T71" s="122">
        <v>2017</v>
      </c>
      <c r="U71" s="122">
        <v>2018</v>
      </c>
      <c r="V71" s="122">
        <v>2019</v>
      </c>
      <c r="W71" s="122">
        <v>2020</v>
      </c>
      <c r="X71" s="123">
        <v>2021</v>
      </c>
      <c r="Y71" s="123" t="s">
        <v>90</v>
      </c>
    </row>
    <row r="72" spans="1:34" x14ac:dyDescent="0.35">
      <c r="A72" s="124" t="s">
        <v>5</v>
      </c>
      <c r="B72" s="22">
        <f t="shared" ref="B72:Y72" si="97">B13/$Z$13</f>
        <v>0.46502739520708791</v>
      </c>
      <c r="C72" s="22">
        <f t="shared" si="97"/>
        <v>6.7195331136950837E-2</v>
      </c>
      <c r="D72" s="22">
        <f t="shared" si="97"/>
        <v>6.9808460337505247E-3</v>
      </c>
      <c r="E72" s="22">
        <f t="shared" si="97"/>
        <v>1.0458880381099845E-2</v>
      </c>
      <c r="F72" s="22">
        <f t="shared" si="97"/>
        <v>7.8747934714013309E-3</v>
      </c>
      <c r="G72" s="22">
        <f t="shared" si="97"/>
        <v>1.6794229344195284E-2</v>
      </c>
      <c r="H72" s="22">
        <f t="shared" si="97"/>
        <v>1.8014953327210752E-2</v>
      </c>
      <c r="I72" s="22">
        <f t="shared" si="97"/>
        <v>1.1476511421067042E-2</v>
      </c>
      <c r="J72" s="22">
        <f t="shared" si="97"/>
        <v>1.7945766331278978E-2</v>
      </c>
      <c r="K72" s="22">
        <f t="shared" si="97"/>
        <v>8.7144473956105636E-3</v>
      </c>
      <c r="L72" s="22">
        <f t="shared" si="97"/>
        <v>1.2926324243840969E-2</v>
      </c>
      <c r="M72" s="22">
        <f t="shared" si="97"/>
        <v>1.2560012272229569E-2</v>
      </c>
      <c r="N72" s="22">
        <f t="shared" si="97"/>
        <v>4.5712159621304769E-3</v>
      </c>
      <c r="O72" s="22">
        <f t="shared" si="97"/>
        <v>9.2632045277269929E-3</v>
      </c>
      <c r="P72" s="22">
        <f t="shared" si="97"/>
        <v>1.1138767856777771E-2</v>
      </c>
      <c r="Q72" s="22">
        <f t="shared" si="97"/>
        <v>2.4112006570462891E-2</v>
      </c>
      <c r="R72" s="22">
        <f t="shared" si="97"/>
        <v>4.312184452801944E-2</v>
      </c>
      <c r="S72" s="22">
        <f t="shared" si="97"/>
        <v>5.3767164230837605E-2</v>
      </c>
      <c r="T72" s="22">
        <f t="shared" si="97"/>
        <v>5.5917173823594284E-2</v>
      </c>
      <c r="U72" s="22">
        <f t="shared" si="97"/>
        <v>3.7390155489311142E-2</v>
      </c>
      <c r="V72" s="22">
        <f t="shared" si="97"/>
        <v>3.5694803298391857E-2</v>
      </c>
      <c r="W72" s="22">
        <f t="shared" si="97"/>
        <v>4.1058149436058268E-2</v>
      </c>
      <c r="X72" s="22">
        <f t="shared" si="97"/>
        <v>2.7403466200798532E-2</v>
      </c>
      <c r="Y72" s="383">
        <f t="shared" si="97"/>
        <v>5.9255751016717073E-4</v>
      </c>
    </row>
    <row r="73" spans="1:34" x14ac:dyDescent="0.35">
      <c r="A73" s="124" t="s">
        <v>12</v>
      </c>
      <c r="B73" s="22">
        <f t="shared" ref="B73:Y73" si="98">B22/$Z$22</f>
        <v>0.62253101960831903</v>
      </c>
      <c r="C73" s="22">
        <f t="shared" si="98"/>
        <v>4.4950090292138478E-2</v>
      </c>
      <c r="D73" s="22">
        <f t="shared" si="98"/>
        <v>6.0251143538101988E-3</v>
      </c>
      <c r="E73" s="22">
        <f t="shared" si="98"/>
        <v>8.8060677957355823E-3</v>
      </c>
      <c r="F73" s="22">
        <f t="shared" si="98"/>
        <v>7.316832713416729E-3</v>
      </c>
      <c r="G73" s="22">
        <f t="shared" si="98"/>
        <v>8.7095306431988484E-3</v>
      </c>
      <c r="H73" s="22">
        <f t="shared" si="98"/>
        <v>1.6159123299130697E-2</v>
      </c>
      <c r="I73" s="22">
        <f t="shared" si="98"/>
        <v>1.1280494420579733E-2</v>
      </c>
      <c r="J73" s="22">
        <f t="shared" si="98"/>
        <v>8.798378995976016E-3</v>
      </c>
      <c r="K73" s="22">
        <f t="shared" si="98"/>
        <v>1.0780380711774401E-2</v>
      </c>
      <c r="L73" s="22">
        <f t="shared" si="98"/>
        <v>1.231967842363885E-2</v>
      </c>
      <c r="M73" s="22">
        <f t="shared" si="98"/>
        <v>1.4416157824746272E-2</v>
      </c>
      <c r="N73" s="22">
        <f t="shared" si="98"/>
        <v>8.17387759328265E-3</v>
      </c>
      <c r="O73" s="22">
        <f t="shared" si="98"/>
        <v>1.1360287075862306E-2</v>
      </c>
      <c r="P73" s="22">
        <f t="shared" si="98"/>
        <v>1.1013265913380713E-2</v>
      </c>
      <c r="Q73" s="22">
        <f t="shared" si="98"/>
        <v>1.8815005598300519E-2</v>
      </c>
      <c r="R73" s="22">
        <f t="shared" si="98"/>
        <v>2.371960553381712E-2</v>
      </c>
      <c r="S73" s="22">
        <f t="shared" si="98"/>
        <v>2.6697904836237935E-2</v>
      </c>
      <c r="T73" s="22">
        <f t="shared" si="98"/>
        <v>2.9215901326386289E-2</v>
      </c>
      <c r="U73" s="22">
        <f t="shared" si="98"/>
        <v>2.7408349934021539E-2</v>
      </c>
      <c r="V73" s="22">
        <f t="shared" si="98"/>
        <v>2.6857490146803095E-2</v>
      </c>
      <c r="W73" s="22">
        <f t="shared" si="98"/>
        <v>2.4092256028830597E-2</v>
      </c>
      <c r="X73" s="22">
        <f t="shared" si="98"/>
        <v>1.9506826714444286E-2</v>
      </c>
      <c r="Y73" s="383">
        <f t="shared" si="98"/>
        <v>1.0463602161680415E-3</v>
      </c>
    </row>
    <row r="74" spans="1:34" x14ac:dyDescent="0.35">
      <c r="A74" s="124" t="s">
        <v>13</v>
      </c>
      <c r="B74" s="22">
        <f t="shared" ref="B74:Y74" si="99">B26/$Z$26</f>
        <v>0.69509810641728809</v>
      </c>
      <c r="C74" s="22">
        <f t="shared" si="99"/>
        <v>7.2880666646498712E-2</v>
      </c>
      <c r="D74" s="22">
        <f t="shared" si="99"/>
        <v>4.5741765237713597E-3</v>
      </c>
      <c r="E74" s="22">
        <f t="shared" si="99"/>
        <v>4.5848987458446625E-3</v>
      </c>
      <c r="F74" s="22">
        <f t="shared" si="99"/>
        <v>3.300529716064073E-3</v>
      </c>
      <c r="G74" s="22">
        <f t="shared" si="99"/>
        <v>7.7523580272489991E-3</v>
      </c>
      <c r="H74" s="22">
        <f t="shared" si="99"/>
        <v>9.8906754578676065E-3</v>
      </c>
      <c r="I74" s="22">
        <f t="shared" si="99"/>
        <v>4.98430151807518E-3</v>
      </c>
      <c r="J74" s="22">
        <f t="shared" si="99"/>
        <v>4.6207033088394404E-3</v>
      </c>
      <c r="K74" s="22">
        <f t="shared" si="99"/>
        <v>6.0934770979080601E-3</v>
      </c>
      <c r="L74" s="22">
        <f t="shared" si="99"/>
        <v>7.0816447429136679E-3</v>
      </c>
      <c r="M74" s="22">
        <f t="shared" si="99"/>
        <v>1.2656051411523102E-2</v>
      </c>
      <c r="N74" s="22">
        <f t="shared" si="99"/>
        <v>5.3279870291747869E-3</v>
      </c>
      <c r="O74" s="22">
        <f t="shared" si="99"/>
        <v>6.2330574531123005E-3</v>
      </c>
      <c r="P74" s="22">
        <f t="shared" si="99"/>
        <v>5.4982023045884636E-3</v>
      </c>
      <c r="Q74" s="22">
        <f t="shared" si="99"/>
        <v>1.3573184335293082E-2</v>
      </c>
      <c r="R74" s="22">
        <f t="shared" si="99"/>
        <v>2.5094977826061831E-2</v>
      </c>
      <c r="S74" s="22">
        <f t="shared" si="99"/>
        <v>2.7104054187046877E-2</v>
      </c>
      <c r="T74" s="22">
        <f t="shared" si="99"/>
        <v>2.2939045316322793E-2</v>
      </c>
      <c r="U74" s="22">
        <f t="shared" si="99"/>
        <v>1.8472473949787079E-2</v>
      </c>
      <c r="V74" s="22">
        <f t="shared" si="99"/>
        <v>1.5803980931293923E-2</v>
      </c>
      <c r="W74" s="22">
        <f t="shared" si="99"/>
        <v>1.3996137702434602E-2</v>
      </c>
      <c r="X74" s="22">
        <f t="shared" si="99"/>
        <v>1.0117373867417434E-2</v>
      </c>
      <c r="Y74" s="383">
        <f t="shared" si="99"/>
        <v>2.3219354836239128E-3</v>
      </c>
    </row>
    <row r="75" spans="1:34" x14ac:dyDescent="0.35">
      <c r="A75" s="124" t="s">
        <v>14</v>
      </c>
      <c r="B75" s="22">
        <f t="shared" ref="B75:Y75" si="100">B30/$Z$30</f>
        <v>0.84332501942184235</v>
      </c>
      <c r="C75" s="22">
        <f t="shared" si="100"/>
        <v>3.6660260866009674E-2</v>
      </c>
      <c r="D75" s="22">
        <f t="shared" si="100"/>
        <v>2.2970019944301306E-3</v>
      </c>
      <c r="E75" s="22">
        <f t="shared" si="100"/>
        <v>3.3401025836729266E-3</v>
      </c>
      <c r="F75" s="22">
        <f t="shared" si="100"/>
        <v>1.9880697641665845E-3</v>
      </c>
      <c r="G75" s="22">
        <f t="shared" si="100"/>
        <v>2.5954850463171153E-3</v>
      </c>
      <c r="H75" s="22">
        <f t="shared" si="100"/>
        <v>4.9129310853970399E-3</v>
      </c>
      <c r="I75" s="22">
        <f t="shared" si="100"/>
        <v>4.2369146756438686E-3</v>
      </c>
      <c r="J75" s="22">
        <f t="shared" si="100"/>
        <v>2.5032596893413803E-3</v>
      </c>
      <c r="K75" s="22">
        <f t="shared" si="100"/>
        <v>3.2674126471403282E-3</v>
      </c>
      <c r="L75" s="22">
        <f t="shared" si="100"/>
        <v>1.7572792156755825E-3</v>
      </c>
      <c r="M75" s="22">
        <f t="shared" si="100"/>
        <v>4.0197534902527291E-3</v>
      </c>
      <c r="N75" s="22">
        <f t="shared" si="100"/>
        <v>2.4791811478649573E-3</v>
      </c>
      <c r="O75" s="22">
        <f t="shared" si="100"/>
        <v>3.3519146983594745E-3</v>
      </c>
      <c r="P75" s="22">
        <f t="shared" si="100"/>
        <v>4.3300486568262613E-3</v>
      </c>
      <c r="Q75" s="22">
        <f t="shared" si="100"/>
        <v>5.4808212145579698E-3</v>
      </c>
      <c r="R75" s="22">
        <f t="shared" si="100"/>
        <v>1.180166550817079E-2</v>
      </c>
      <c r="S75" s="22">
        <f t="shared" si="100"/>
        <v>1.1430492519751203E-2</v>
      </c>
      <c r="T75" s="22">
        <f t="shared" si="100"/>
        <v>1.2641688587225636E-2</v>
      </c>
      <c r="U75" s="22">
        <f t="shared" si="100"/>
        <v>1.2285962210319227E-2</v>
      </c>
      <c r="V75" s="22">
        <f t="shared" si="100"/>
        <v>9.1825562324805779E-3</v>
      </c>
      <c r="W75" s="22">
        <f t="shared" si="100"/>
        <v>9.9189961519764707E-3</v>
      </c>
      <c r="X75" s="22">
        <f t="shared" si="100"/>
        <v>6.1636523058610729E-3</v>
      </c>
      <c r="Y75" s="385">
        <f t="shared" si="100"/>
        <v>2.9530286716368373E-5</v>
      </c>
    </row>
    <row r="76" spans="1:34" x14ac:dyDescent="0.35">
      <c r="A76" s="124" t="s">
        <v>15</v>
      </c>
      <c r="B76" s="22">
        <f t="shared" ref="B76:Y76" si="101">B35/$Z$35</f>
        <v>0.24047382800963871</v>
      </c>
      <c r="C76" s="22">
        <f t="shared" si="101"/>
        <v>2.3775756849838049E-2</v>
      </c>
      <c r="D76" s="22">
        <f t="shared" si="101"/>
        <v>5.3807089880855575E-3</v>
      </c>
      <c r="E76" s="22">
        <f t="shared" si="101"/>
        <v>4.1354039326224109E-3</v>
      </c>
      <c r="F76" s="22">
        <f t="shared" si="101"/>
        <v>5.5063114253787139E-3</v>
      </c>
      <c r="G76" s="22">
        <f t="shared" si="101"/>
        <v>9.1092449141887567E-3</v>
      </c>
      <c r="H76" s="22">
        <f t="shared" si="101"/>
        <v>1.3212723923046487E-2</v>
      </c>
      <c r="I76" s="22">
        <f t="shared" si="101"/>
        <v>1.0164087894053377E-2</v>
      </c>
      <c r="J76" s="22">
        <f t="shared" si="101"/>
        <v>2.154777001688837E-2</v>
      </c>
      <c r="K76" s="22">
        <f t="shared" si="101"/>
        <v>1.0789925146540064E-2</v>
      </c>
      <c r="L76" s="22">
        <f t="shared" si="101"/>
        <v>1.5279998670183228E-2</v>
      </c>
      <c r="M76" s="22">
        <f t="shared" si="101"/>
        <v>1.6479164054803992E-2</v>
      </c>
      <c r="N76" s="22">
        <f t="shared" si="101"/>
        <v>9.9501676019659556E-3</v>
      </c>
      <c r="O76" s="22">
        <f t="shared" si="101"/>
        <v>1.6781635230326289E-2</v>
      </c>
      <c r="P76" s="22">
        <f t="shared" si="101"/>
        <v>1.8751037948403423E-2</v>
      </c>
      <c r="Q76" s="22">
        <f t="shared" si="101"/>
        <v>3.4291640315011224E-2</v>
      </c>
      <c r="R76" s="22">
        <f t="shared" si="101"/>
        <v>9.1903621839879185E-2</v>
      </c>
      <c r="S76" s="22">
        <f t="shared" si="101"/>
        <v>0.12299080764153734</v>
      </c>
      <c r="T76" s="22">
        <f t="shared" si="101"/>
        <v>0.10201753089998614</v>
      </c>
      <c r="U76" s="22">
        <f t="shared" si="101"/>
        <v>6.079328852658631E-2</v>
      </c>
      <c r="V76" s="22">
        <f t="shared" si="101"/>
        <v>6.226424298238134E-2</v>
      </c>
      <c r="W76" s="22">
        <f t="shared" si="101"/>
        <v>5.6501988433390403E-2</v>
      </c>
      <c r="X76" s="22">
        <f t="shared" si="101"/>
        <v>4.7234827777076112E-2</v>
      </c>
      <c r="Y76" s="383">
        <f t="shared" si="101"/>
        <v>6.6428697818867453E-4</v>
      </c>
    </row>
    <row r="77" spans="1:34" x14ac:dyDescent="0.35">
      <c r="A77" s="124" t="s">
        <v>16</v>
      </c>
      <c r="B77" s="22">
        <f t="shared" ref="B77:Y77" si="102">B41/$Z$41</f>
        <v>0.2830572297757793</v>
      </c>
      <c r="C77" s="22">
        <f t="shared" si="102"/>
        <v>4.2936609770677307E-2</v>
      </c>
      <c r="D77" s="22">
        <f t="shared" si="102"/>
        <v>1.8656503314384927E-3</v>
      </c>
      <c r="E77" s="22">
        <f t="shared" si="102"/>
        <v>9.1759536709525849E-4</v>
      </c>
      <c r="F77" s="22">
        <f t="shared" si="102"/>
        <v>9.5719284351762669E-3</v>
      </c>
      <c r="G77" s="22">
        <f t="shared" si="102"/>
        <v>3.8645614008368779E-3</v>
      </c>
      <c r="H77" s="22">
        <f t="shared" si="102"/>
        <v>9.2292579661365434E-3</v>
      </c>
      <c r="I77" s="22">
        <f t="shared" si="102"/>
        <v>2.0522153645823422E-3</v>
      </c>
      <c r="J77" s="22">
        <f t="shared" si="102"/>
        <v>3.7922198573729364E-3</v>
      </c>
      <c r="K77" s="22">
        <f t="shared" si="102"/>
        <v>1.5648618086147358E-3</v>
      </c>
      <c r="L77" s="22">
        <f t="shared" si="102"/>
        <v>4.4128341513004349E-3</v>
      </c>
      <c r="M77" s="22">
        <f t="shared" si="102"/>
        <v>8.9551215909047643E-3</v>
      </c>
      <c r="N77" s="22">
        <f t="shared" si="102"/>
        <v>6.0843045502830843E-3</v>
      </c>
      <c r="O77" s="22">
        <f t="shared" si="102"/>
        <v>5.4141934108276248E-3</v>
      </c>
      <c r="P77" s="22">
        <f t="shared" si="102"/>
        <v>1.2016311114326293E-2</v>
      </c>
      <c r="Q77" s="22">
        <f t="shared" si="102"/>
        <v>1.2477012522701921E-2</v>
      </c>
      <c r="R77" s="22">
        <f t="shared" si="102"/>
        <v>5.4674977060115822E-2</v>
      </c>
      <c r="S77" s="22">
        <f t="shared" si="102"/>
        <v>4.8503101167744811E-2</v>
      </c>
      <c r="T77" s="22">
        <f t="shared" si="102"/>
        <v>9.0979009530046506E-2</v>
      </c>
      <c r="U77" s="22">
        <f t="shared" si="102"/>
        <v>0.1176996912158329</v>
      </c>
      <c r="V77" s="22">
        <f t="shared" si="102"/>
        <v>0.10114490011155827</v>
      </c>
      <c r="W77" s="22">
        <f t="shared" si="102"/>
        <v>9.9675224544343452E-2</v>
      </c>
      <c r="X77" s="22">
        <f t="shared" si="102"/>
        <v>7.6594464729690129E-2</v>
      </c>
      <c r="Y77" s="383">
        <f t="shared" si="102"/>
        <v>2.5167242226139669E-3</v>
      </c>
    </row>
    <row r="78" spans="1:34" x14ac:dyDescent="0.35">
      <c r="A78" s="124" t="s">
        <v>18</v>
      </c>
      <c r="B78" s="22">
        <f t="shared" ref="B78:Y78" si="103">B51/$Z$51</f>
        <v>0.71518639168140841</v>
      </c>
      <c r="C78" s="22">
        <f t="shared" si="103"/>
        <v>6.4649221210683033E-2</v>
      </c>
      <c r="D78" s="22">
        <f t="shared" si="103"/>
        <v>5.1667601501488554E-3</v>
      </c>
      <c r="E78" s="22">
        <f t="shared" si="103"/>
        <v>8.2894680070759817E-3</v>
      </c>
      <c r="F78" s="22">
        <f t="shared" si="103"/>
        <v>1.4033308883807227E-2</v>
      </c>
      <c r="G78" s="22">
        <f t="shared" si="103"/>
        <v>1.5203650170427579E-2</v>
      </c>
      <c r="H78" s="22">
        <f t="shared" si="103"/>
        <v>3.6458558053242452E-3</v>
      </c>
      <c r="I78" s="22">
        <f t="shared" si="103"/>
        <v>1.1541614531647756E-3</v>
      </c>
      <c r="J78" s="22">
        <f t="shared" si="103"/>
        <v>1.8445010139362301E-3</v>
      </c>
      <c r="K78" s="22">
        <f t="shared" si="103"/>
        <v>1.2889933986279505E-3</v>
      </c>
      <c r="L78" s="22">
        <f t="shared" si="103"/>
        <v>7.6260948353971628E-3</v>
      </c>
      <c r="M78" s="22">
        <f t="shared" si="103"/>
        <v>5.7492341545497703E-3</v>
      </c>
      <c r="N78" s="22">
        <f t="shared" si="103"/>
        <v>2.0710186823143639E-3</v>
      </c>
      <c r="O78" s="22">
        <f t="shared" si="103"/>
        <v>4.5087802562885628E-3</v>
      </c>
      <c r="P78" s="22">
        <f t="shared" si="103"/>
        <v>5.6090089312680691E-4</v>
      </c>
      <c r="Q78" s="22">
        <f t="shared" si="103"/>
        <v>3.7537213616947842E-3</v>
      </c>
      <c r="R78" s="22">
        <f t="shared" si="103"/>
        <v>6.957328385899816E-3</v>
      </c>
      <c r="S78" s="22">
        <f t="shared" si="103"/>
        <v>3.0018984337921224E-2</v>
      </c>
      <c r="T78" s="22">
        <f t="shared" si="103"/>
        <v>2.310480217456962E-2</v>
      </c>
      <c r="U78" s="22">
        <f t="shared" si="103"/>
        <v>2.7791560598869575E-2</v>
      </c>
      <c r="V78" s="22">
        <f t="shared" si="103"/>
        <v>2.5051775467057866E-2</v>
      </c>
      <c r="W78" s="22">
        <f t="shared" si="103"/>
        <v>2.2225697890149727E-2</v>
      </c>
      <c r="X78" s="22">
        <f t="shared" si="103"/>
        <v>7.0759804979074088E-3</v>
      </c>
      <c r="Y78" s="383">
        <f t="shared" si="103"/>
        <v>3.0418086896492219E-3</v>
      </c>
    </row>
    <row r="79" spans="1:34" x14ac:dyDescent="0.35">
      <c r="A79" s="124" t="s">
        <v>17</v>
      </c>
      <c r="B79" s="22">
        <f t="shared" ref="B79:Y79" si="104">B53/$Z$53</f>
        <v>0.2123517833997407</v>
      </c>
      <c r="C79" s="22">
        <f t="shared" si="104"/>
        <v>2.9367289136383277E-2</v>
      </c>
      <c r="D79" s="22">
        <f t="shared" si="104"/>
        <v>3.6055466783708342E-3</v>
      </c>
      <c r="E79" s="22">
        <f t="shared" si="104"/>
        <v>1.9733638738967337E-3</v>
      </c>
      <c r="F79" s="22">
        <f t="shared" si="104"/>
        <v>2.1791012021917886E-3</v>
      </c>
      <c r="G79" s="22">
        <f t="shared" si="104"/>
        <v>2.1568129916264903E-3</v>
      </c>
      <c r="H79" s="22">
        <f t="shared" si="104"/>
        <v>8.0769046133166902E-3</v>
      </c>
      <c r="I79" s="22">
        <f t="shared" si="104"/>
        <v>3.3209433742293418E-3</v>
      </c>
      <c r="J79" s="22">
        <f t="shared" si="104"/>
        <v>3.3713490196616305E-2</v>
      </c>
      <c r="K79" s="22">
        <f t="shared" si="104"/>
        <v>5.0439934987004257E-3</v>
      </c>
      <c r="L79" s="22">
        <f t="shared" si="104"/>
        <v>1.2839723763347206E-2</v>
      </c>
      <c r="M79" s="22">
        <f t="shared" si="104"/>
        <v>2.3927251280714868E-2</v>
      </c>
      <c r="N79" s="22">
        <f t="shared" si="104"/>
        <v>1.0818354512848296E-2</v>
      </c>
      <c r="O79" s="22">
        <f t="shared" si="104"/>
        <v>9.1141636434709256E-3</v>
      </c>
      <c r="P79" s="22">
        <f t="shared" si="104"/>
        <v>9.3541905264818235E-3</v>
      </c>
      <c r="Q79" s="22">
        <f t="shared" si="104"/>
        <v>1.7830568452238078E-2</v>
      </c>
      <c r="R79" s="22">
        <f t="shared" si="104"/>
        <v>7.6837748684995572E-2</v>
      </c>
      <c r="S79" s="22">
        <f t="shared" si="104"/>
        <v>0.11577525254257047</v>
      </c>
      <c r="T79" s="22">
        <f t="shared" si="104"/>
        <v>6.1560037581351985E-2</v>
      </c>
      <c r="U79" s="22">
        <f t="shared" si="104"/>
        <v>0.11473970799015205</v>
      </c>
      <c r="V79" s="22">
        <f t="shared" si="104"/>
        <v>7.2086930879115593E-2</v>
      </c>
      <c r="W79" s="22">
        <f t="shared" si="104"/>
        <v>0.10287037862526319</v>
      </c>
      <c r="X79" s="22">
        <f t="shared" si="104"/>
        <v>6.9582078907123313E-2</v>
      </c>
      <c r="Y79" s="383">
        <f t="shared" si="104"/>
        <v>8.7438364525398279E-4</v>
      </c>
    </row>
    <row r="80" spans="1:34" x14ac:dyDescent="0.35">
      <c r="A80" s="124" t="s">
        <v>20</v>
      </c>
      <c r="B80" s="22">
        <f t="shared" ref="B80:Y80" si="105">B56/$Z$56</f>
        <v>0.6230931275888002</v>
      </c>
      <c r="C80" s="22">
        <f t="shared" si="105"/>
        <v>3.4363926856920496E-2</v>
      </c>
      <c r="D80" s="22">
        <f t="shared" si="105"/>
        <v>2.2899306659881695E-3</v>
      </c>
      <c r="E80" s="22">
        <f t="shared" si="105"/>
        <v>2.8605424740979664E-3</v>
      </c>
      <c r="F80" s="22">
        <f t="shared" si="105"/>
        <v>2.2787055156646974E-3</v>
      </c>
      <c r="G80" s="22">
        <f t="shared" si="105"/>
        <v>1.1561904833175563E-2</v>
      </c>
      <c r="H80" s="22">
        <f t="shared" si="105"/>
        <v>7.6312313615733186E-3</v>
      </c>
      <c r="I80" s="22">
        <f t="shared" si="105"/>
        <v>5.926879370792908E-3</v>
      </c>
      <c r="J80" s="22">
        <f t="shared" si="105"/>
        <v>8.1232671174188177E-3</v>
      </c>
      <c r="K80" s="22">
        <f t="shared" si="105"/>
        <v>7.5526553093090204E-3</v>
      </c>
      <c r="L80" s="22">
        <f t="shared" si="105"/>
        <v>1.3700295969796864E-2</v>
      </c>
      <c r="M80" s="22">
        <f t="shared" si="105"/>
        <v>1.2762995917787002E-2</v>
      </c>
      <c r="N80" s="22">
        <f t="shared" si="105"/>
        <v>1.151513337349443E-2</v>
      </c>
      <c r="O80" s="22">
        <f t="shared" si="105"/>
        <v>8.9296070823215151E-3</v>
      </c>
      <c r="P80" s="22">
        <f t="shared" si="105"/>
        <v>9.4740268730098779E-3</v>
      </c>
      <c r="Q80" s="22">
        <f t="shared" si="105"/>
        <v>1.9556082721874455E-2</v>
      </c>
      <c r="R80" s="22">
        <f t="shared" si="105"/>
        <v>2.9984247372379404E-2</v>
      </c>
      <c r="S80" s="22">
        <f t="shared" si="105"/>
        <v>2.6382844976932319E-2</v>
      </c>
      <c r="T80" s="22">
        <f t="shared" si="105"/>
        <v>3.7325495683929712E-2</v>
      </c>
      <c r="U80" s="22">
        <f t="shared" si="105"/>
        <v>3.1316298544098016E-2</v>
      </c>
      <c r="V80" s="22">
        <f t="shared" si="105"/>
        <v>2.9263966893289986E-2</v>
      </c>
      <c r="W80" s="22">
        <f t="shared" si="105"/>
        <v>3.248558503612628E-2</v>
      </c>
      <c r="X80" s="22">
        <f t="shared" si="105"/>
        <v>2.9005788435850149E-2</v>
      </c>
      <c r="Y80" s="383">
        <f t="shared" si="105"/>
        <v>2.6154600253688407E-3</v>
      </c>
    </row>
    <row r="81" spans="1:34" ht="16.5" customHeight="1" x14ac:dyDescent="0.35">
      <c r="A81" s="124" t="s">
        <v>21</v>
      </c>
      <c r="B81" s="22">
        <f t="shared" ref="B81:Y81" si="106">B58/$Z$58</f>
        <v>0.12563785787183757</v>
      </c>
      <c r="C81" s="22">
        <f t="shared" si="106"/>
        <v>9.0508674867057007E-2</v>
      </c>
      <c r="D81" s="22">
        <f t="shared" si="106"/>
        <v>5.1028629747005433E-4</v>
      </c>
      <c r="E81" s="22">
        <f t="shared" si="106"/>
        <v>0</v>
      </c>
      <c r="F81" s="22">
        <f t="shared" si="106"/>
        <v>0</v>
      </c>
      <c r="G81" s="22">
        <f t="shared" si="106"/>
        <v>2.0142880163291615E-3</v>
      </c>
      <c r="H81" s="22">
        <f t="shared" si="106"/>
        <v>2.7394317022076597E-3</v>
      </c>
      <c r="I81" s="22">
        <f t="shared" si="106"/>
        <v>0</v>
      </c>
      <c r="J81" s="22">
        <f t="shared" si="106"/>
        <v>0</v>
      </c>
      <c r="K81" s="22">
        <f t="shared" si="106"/>
        <v>3.1691464790245473E-3</v>
      </c>
      <c r="L81" s="22">
        <f t="shared" si="106"/>
        <v>0</v>
      </c>
      <c r="M81" s="22">
        <f t="shared" si="106"/>
        <v>2.9086318955793094E-2</v>
      </c>
      <c r="N81" s="22">
        <f t="shared" si="106"/>
        <v>5.4788634044153194E-3</v>
      </c>
      <c r="O81" s="22">
        <f t="shared" si="106"/>
        <v>4.8342912391899877E-4</v>
      </c>
      <c r="P81" s="22">
        <f t="shared" si="106"/>
        <v>0</v>
      </c>
      <c r="Q81" s="22">
        <f t="shared" si="106"/>
        <v>2.6937745071708652E-2</v>
      </c>
      <c r="R81" s="22">
        <f t="shared" si="106"/>
        <v>2.8012032013750875E-2</v>
      </c>
      <c r="S81" s="22">
        <f t="shared" si="106"/>
        <v>0.12238813987215987</v>
      </c>
      <c r="T81" s="22">
        <f t="shared" si="106"/>
        <v>4.885319868936993E-2</v>
      </c>
      <c r="U81" s="22">
        <f t="shared" si="106"/>
        <v>7.3642369876994143E-2</v>
      </c>
      <c r="V81" s="22">
        <f t="shared" si="106"/>
        <v>0.3139872159853897</v>
      </c>
      <c r="W81" s="22">
        <f t="shared" si="106"/>
        <v>4.5576623516141168E-2</v>
      </c>
      <c r="X81" s="22">
        <f t="shared" si="106"/>
        <v>8.0598377826717513E-2</v>
      </c>
      <c r="Y81" s="384">
        <f t="shared" si="106"/>
        <v>3.7600042971477681E-4</v>
      </c>
    </row>
    <row r="82" spans="1:34" ht="16.5" customHeight="1" x14ac:dyDescent="0.35">
      <c r="A82" s="124" t="s">
        <v>22</v>
      </c>
      <c r="B82" s="22">
        <f t="shared" ref="B82:Y82" si="107">B60/$Z$60</f>
        <v>0.50377612503788516</v>
      </c>
      <c r="C82" s="22">
        <f t="shared" si="107"/>
        <v>7.5753960476769272E-2</v>
      </c>
      <c r="D82" s="22">
        <f t="shared" si="107"/>
        <v>1.0202976415522532E-2</v>
      </c>
      <c r="E82" s="22">
        <f t="shared" si="107"/>
        <v>9.3355420021832228E-3</v>
      </c>
      <c r="F82" s="22">
        <f t="shared" si="107"/>
        <v>8.1047320159102956E-3</v>
      </c>
      <c r="G82" s="22">
        <f t="shared" si="107"/>
        <v>1.6093599289003228E-2</v>
      </c>
      <c r="H82" s="22">
        <f t="shared" si="107"/>
        <v>2.0252051001528635E-2</v>
      </c>
      <c r="I82" s="22">
        <f t="shared" si="107"/>
        <v>7.1370793209489794E-3</v>
      </c>
      <c r="J82" s="22">
        <f t="shared" si="107"/>
        <v>1.2954595453327215E-2</v>
      </c>
      <c r="K82" s="22">
        <f t="shared" si="107"/>
        <v>8.8711388479105983E-3</v>
      </c>
      <c r="L82" s="22">
        <f t="shared" si="107"/>
        <v>1.1716906419459775E-2</v>
      </c>
      <c r="M82" s="22">
        <f t="shared" si="107"/>
        <v>1.8587456366942978E-2</v>
      </c>
      <c r="N82" s="22">
        <f t="shared" si="107"/>
        <v>7.0368610393269776E-3</v>
      </c>
      <c r="O82" s="22">
        <f t="shared" si="107"/>
        <v>9.6962199093935057E-3</v>
      </c>
      <c r="P82" s="22">
        <f t="shared" si="107"/>
        <v>1.2319430058767301E-2</v>
      </c>
      <c r="Q82" s="22">
        <f t="shared" si="107"/>
        <v>2.3360975864389424E-2</v>
      </c>
      <c r="R82" s="22">
        <f t="shared" si="107"/>
        <v>4.2170585003649265E-2</v>
      </c>
      <c r="S82" s="22">
        <f t="shared" si="107"/>
        <v>4.4877827440305058E-2</v>
      </c>
      <c r="T82" s="22">
        <f t="shared" si="107"/>
        <v>4.8432136914088923E-2</v>
      </c>
      <c r="U82" s="22">
        <f t="shared" si="107"/>
        <v>3.1364680298960702E-2</v>
      </c>
      <c r="V82" s="22">
        <f t="shared" si="107"/>
        <v>3.4803664563071914E-2</v>
      </c>
      <c r="W82" s="22">
        <f t="shared" si="107"/>
        <v>2.8046416575968895E-2</v>
      </c>
      <c r="X82" s="22">
        <f t="shared" si="107"/>
        <v>1.3979034011764795E-2</v>
      </c>
      <c r="Y82" s="383">
        <f t="shared" si="107"/>
        <v>1.1260056729212493E-3</v>
      </c>
    </row>
    <row r="83" spans="1:34" ht="16.5" customHeight="1" x14ac:dyDescent="0.35">
      <c r="A83" s="124" t="s">
        <v>23</v>
      </c>
      <c r="B83" s="22">
        <f t="shared" ref="B83:Y83" si="108">B62/$Z$62</f>
        <v>0.59015445175636294</v>
      </c>
      <c r="C83" s="22">
        <f t="shared" si="108"/>
        <v>3.741097989723248E-2</v>
      </c>
      <c r="D83" s="22">
        <f t="shared" si="108"/>
        <v>4.8078367739415239E-3</v>
      </c>
      <c r="E83" s="22">
        <f t="shared" si="108"/>
        <v>4.7327143243486875E-3</v>
      </c>
      <c r="F83" s="22">
        <f t="shared" si="108"/>
        <v>1.8029387902280716E-3</v>
      </c>
      <c r="G83" s="22">
        <f t="shared" si="108"/>
        <v>3.62090207037471E-3</v>
      </c>
      <c r="H83" s="22">
        <f t="shared" si="108"/>
        <v>1.394272664443042E-2</v>
      </c>
      <c r="I83" s="22">
        <f t="shared" si="108"/>
        <v>2.288229814597794E-2</v>
      </c>
      <c r="J83" s="22">
        <f t="shared" si="108"/>
        <v>7.0464857718080462E-3</v>
      </c>
      <c r="K83" s="22">
        <f t="shared" si="108"/>
        <v>1.8863247092761198E-2</v>
      </c>
      <c r="L83" s="22">
        <f t="shared" si="108"/>
        <v>2.5616755311157181E-2</v>
      </c>
      <c r="M83" s="22">
        <f t="shared" si="108"/>
        <v>1.8570269539349135E-2</v>
      </c>
      <c r="N83" s="22">
        <f t="shared" si="108"/>
        <v>5.9496980077526351E-3</v>
      </c>
      <c r="O83" s="22">
        <f t="shared" si="108"/>
        <v>5.4689143303584828E-3</v>
      </c>
      <c r="P83" s="22">
        <f t="shared" si="108"/>
        <v>2.3438204272964928E-3</v>
      </c>
      <c r="Q83" s="22">
        <f t="shared" si="108"/>
        <v>8.6015204783797573E-3</v>
      </c>
      <c r="R83" s="22">
        <f t="shared" si="108"/>
        <v>1.5001953183689413E-2</v>
      </c>
      <c r="S83" s="22">
        <f t="shared" si="108"/>
        <v>2.9402926770636131E-2</v>
      </c>
      <c r="T83" s="22">
        <f t="shared" si="108"/>
        <v>1.5828300129210611E-2</v>
      </c>
      <c r="U83" s="22">
        <f t="shared" si="108"/>
        <v>3.1498843114276261E-2</v>
      </c>
      <c r="V83" s="22">
        <f t="shared" si="108"/>
        <v>4.513356771537605E-2</v>
      </c>
      <c r="W83" s="22">
        <f t="shared" si="108"/>
        <v>4.9941404489317581E-2</v>
      </c>
      <c r="X83" s="22">
        <f t="shared" si="108"/>
        <v>3.8545328886084307E-2</v>
      </c>
      <c r="Y83" s="383">
        <f t="shared" si="108"/>
        <v>2.8321163496499288E-3</v>
      </c>
    </row>
    <row r="84" spans="1:34" x14ac:dyDescent="0.35">
      <c r="A84" s="124" t="s">
        <v>25</v>
      </c>
      <c r="B84" s="22">
        <f t="shared" ref="B84:Y84" si="109">B66/$Z$66</f>
        <v>0.4708727330947533</v>
      </c>
      <c r="C84" s="22">
        <f t="shared" si="109"/>
        <v>5.295986171595659E-2</v>
      </c>
      <c r="D84" s="22">
        <f t="shared" si="109"/>
        <v>6.3442162545860161E-3</v>
      </c>
      <c r="E84" s="22">
        <f t="shared" si="109"/>
        <v>7.2867370262400238E-3</v>
      </c>
      <c r="F84" s="22">
        <f t="shared" si="109"/>
        <v>6.3822605827987674E-3</v>
      </c>
      <c r="G84" s="22">
        <f t="shared" si="109"/>
        <v>1.1856030596187376E-2</v>
      </c>
      <c r="H84" s="22">
        <f t="shared" si="109"/>
        <v>1.5122810186941045E-2</v>
      </c>
      <c r="I84" s="22">
        <f t="shared" si="109"/>
        <v>9.2579324970597544E-3</v>
      </c>
      <c r="J84" s="22">
        <f t="shared" si="109"/>
        <v>1.489728021397169E-2</v>
      </c>
      <c r="K84" s="22">
        <f t="shared" si="109"/>
        <v>8.9024327141121323E-3</v>
      </c>
      <c r="L84" s="22">
        <f t="shared" si="109"/>
        <v>1.2147723749927784E-2</v>
      </c>
      <c r="M84" s="22">
        <f t="shared" si="109"/>
        <v>1.4430063910277539E-2</v>
      </c>
      <c r="N84" s="22">
        <f t="shared" si="109"/>
        <v>6.8770964696521003E-3</v>
      </c>
      <c r="O84" s="22">
        <f t="shared" si="109"/>
        <v>1.0869634029738926E-2</v>
      </c>
      <c r="P84" s="22">
        <f t="shared" si="109"/>
        <v>1.2263394484315324E-2</v>
      </c>
      <c r="Q84" s="22">
        <f t="shared" si="109"/>
        <v>2.3782817651617692E-2</v>
      </c>
      <c r="R84" s="22">
        <f t="shared" si="109"/>
        <v>5.0090400713020622E-2</v>
      </c>
      <c r="S84" s="22">
        <f t="shared" si="109"/>
        <v>6.2742146906745511E-2</v>
      </c>
      <c r="T84" s="22">
        <f t="shared" si="109"/>
        <v>5.8015204031332812E-2</v>
      </c>
      <c r="U84" s="22">
        <f t="shared" si="109"/>
        <v>3.9503992228013068E-2</v>
      </c>
      <c r="V84" s="22">
        <f t="shared" si="109"/>
        <v>3.9011512892723581E-2</v>
      </c>
      <c r="W84" s="22">
        <f t="shared" si="109"/>
        <v>3.7820316018757114E-2</v>
      </c>
      <c r="X84" s="22">
        <f t="shared" si="109"/>
        <v>2.7614670348292538E-2</v>
      </c>
      <c r="Y84" s="383">
        <f t="shared" si="109"/>
        <v>9.4873168297902953E-4</v>
      </c>
    </row>
    <row r="85" spans="1:34" x14ac:dyDescent="0.35">
      <c r="A85" s="380"/>
      <c r="B85" s="379"/>
      <c r="C85" s="381"/>
      <c r="D85" s="381"/>
      <c r="E85" s="381"/>
      <c r="F85" s="381"/>
      <c r="G85" s="381"/>
      <c r="H85" s="381"/>
      <c r="I85" s="381"/>
      <c r="J85" s="381"/>
      <c r="K85" s="381"/>
      <c r="L85" s="381"/>
      <c r="M85" s="381"/>
      <c r="N85" s="381"/>
      <c r="O85" s="381"/>
      <c r="P85" s="381"/>
      <c r="Q85" s="381"/>
      <c r="R85" s="381"/>
      <c r="S85" s="381"/>
      <c r="T85" s="381"/>
      <c r="U85" s="381"/>
      <c r="V85" s="381"/>
      <c r="W85" s="381"/>
      <c r="X85" s="381"/>
    </row>
    <row r="86" spans="1:34" x14ac:dyDescent="0.35">
      <c r="A86" s="380"/>
      <c r="B86" s="379"/>
      <c r="C86" s="381"/>
      <c r="D86" s="381"/>
      <c r="E86" s="381"/>
      <c r="F86" s="381"/>
      <c r="G86" s="381"/>
      <c r="H86" s="381"/>
      <c r="I86" s="381"/>
      <c r="J86" s="381"/>
      <c r="K86" s="381"/>
      <c r="L86" s="381"/>
      <c r="M86" s="381"/>
      <c r="N86" s="381"/>
      <c r="O86" s="381"/>
      <c r="P86" s="381"/>
      <c r="Q86" s="381"/>
      <c r="R86" s="381"/>
      <c r="S86" s="381"/>
      <c r="T86" s="381"/>
      <c r="U86" s="381"/>
      <c r="V86" s="381"/>
      <c r="W86" s="381"/>
      <c r="X86" s="381"/>
    </row>
    <row r="87" spans="1:34" ht="15" x14ac:dyDescent="0.35">
      <c r="A87" s="284" t="s">
        <v>60</v>
      </c>
      <c r="B87" s="284"/>
    </row>
    <row r="88" spans="1:34" ht="15.5" x14ac:dyDescent="0.35">
      <c r="A88" s="237" t="s">
        <v>136</v>
      </c>
      <c r="AB88" s="111"/>
    </row>
    <row r="90" spans="1:34" ht="39" x14ac:dyDescent="0.35">
      <c r="A90" s="214" t="s">
        <v>88</v>
      </c>
      <c r="B90" s="198" t="s">
        <v>89</v>
      </c>
      <c r="C90" s="198">
        <v>2000</v>
      </c>
      <c r="D90" s="198">
        <v>2001</v>
      </c>
      <c r="E90" s="198">
        <v>2002</v>
      </c>
      <c r="F90" s="198">
        <v>2003</v>
      </c>
      <c r="G90" s="198">
        <v>2004</v>
      </c>
      <c r="H90" s="198">
        <v>2005</v>
      </c>
      <c r="I90" s="198">
        <v>2006</v>
      </c>
      <c r="J90" s="198">
        <v>2007</v>
      </c>
      <c r="K90" s="198">
        <v>2008</v>
      </c>
      <c r="L90" s="198">
        <v>2009</v>
      </c>
      <c r="M90" s="198">
        <v>2010</v>
      </c>
      <c r="N90" s="198">
        <v>2011</v>
      </c>
      <c r="O90" s="198">
        <v>2012</v>
      </c>
      <c r="P90" s="198">
        <v>2013</v>
      </c>
      <c r="Q90" s="198">
        <v>2014</v>
      </c>
      <c r="R90" s="198">
        <v>2015</v>
      </c>
      <c r="S90" s="198">
        <v>2016</v>
      </c>
      <c r="T90" s="198">
        <v>2017</v>
      </c>
      <c r="U90" s="198">
        <v>2018</v>
      </c>
      <c r="V90" s="198">
        <v>2019</v>
      </c>
      <c r="W90" s="198">
        <v>2020</v>
      </c>
      <c r="X90" s="198">
        <v>2021</v>
      </c>
      <c r="Y90" s="198" t="s">
        <v>90</v>
      </c>
      <c r="Z90" s="198" t="s">
        <v>91</v>
      </c>
      <c r="AA90" s="199" t="s">
        <v>92</v>
      </c>
      <c r="AC90" s="127" t="s">
        <v>110</v>
      </c>
      <c r="AD90" s="127" t="s">
        <v>108</v>
      </c>
      <c r="AE90" s="127" t="s">
        <v>94</v>
      </c>
      <c r="AF90" s="127" t="s">
        <v>95</v>
      </c>
      <c r="AG90" s="127" t="s">
        <v>96</v>
      </c>
      <c r="AH90" s="127" t="s">
        <v>97</v>
      </c>
    </row>
    <row r="91" spans="1:34" x14ac:dyDescent="0.35">
      <c r="A91" s="118" t="s">
        <v>5</v>
      </c>
      <c r="B91" s="119">
        <f t="shared" ref="B91:Z91" si="110">B395+B244</f>
        <v>1766.7500000000005</v>
      </c>
      <c r="C91" s="119">
        <f t="shared" si="110"/>
        <v>495.93000000000006</v>
      </c>
      <c r="D91" s="119">
        <f t="shared" si="110"/>
        <v>96.140000000000015</v>
      </c>
      <c r="E91" s="119">
        <f t="shared" si="110"/>
        <v>68.97</v>
      </c>
      <c r="F91" s="119">
        <f t="shared" si="110"/>
        <v>125.00999999999999</v>
      </c>
      <c r="G91" s="119">
        <f t="shared" si="110"/>
        <v>160.88</v>
      </c>
      <c r="H91" s="119">
        <f t="shared" si="110"/>
        <v>168.51999999999998</v>
      </c>
      <c r="I91" s="119">
        <f t="shared" si="110"/>
        <v>166.16000000000003</v>
      </c>
      <c r="J91" s="119">
        <f t="shared" si="110"/>
        <v>192.73</v>
      </c>
      <c r="K91" s="119">
        <f t="shared" si="110"/>
        <v>357.42000000000007</v>
      </c>
      <c r="L91" s="119">
        <f t="shared" si="110"/>
        <v>206.64000000000001</v>
      </c>
      <c r="M91" s="119">
        <f t="shared" si="110"/>
        <v>226.44</v>
      </c>
      <c r="N91" s="119">
        <f t="shared" si="110"/>
        <v>226.92</v>
      </c>
      <c r="O91" s="119">
        <f t="shared" si="110"/>
        <v>176.43000000000004</v>
      </c>
      <c r="P91" s="119">
        <f t="shared" si="110"/>
        <v>575.55999999999995</v>
      </c>
      <c r="Q91" s="119">
        <f t="shared" si="110"/>
        <v>900.97</v>
      </c>
      <c r="R91" s="119">
        <f t="shared" si="110"/>
        <v>2094.3199999999997</v>
      </c>
      <c r="S91" s="119">
        <f t="shared" si="110"/>
        <v>4913.4799999999996</v>
      </c>
      <c r="T91" s="119">
        <f t="shared" si="110"/>
        <v>4553.3499999999995</v>
      </c>
      <c r="U91" s="119">
        <f t="shared" si="110"/>
        <v>2347.7599999999998</v>
      </c>
      <c r="V91" s="119">
        <f t="shared" si="110"/>
        <v>2476.9699999999998</v>
      </c>
      <c r="W91" s="119">
        <f t="shared" si="110"/>
        <v>5004.21</v>
      </c>
      <c r="X91" s="119">
        <f t="shared" si="110"/>
        <v>3876.7099999999996</v>
      </c>
      <c r="Y91" s="119">
        <f t="shared" si="110"/>
        <v>12.730000000000004</v>
      </c>
      <c r="Z91" s="119">
        <f t="shared" si="110"/>
        <v>31190.999999999996</v>
      </c>
      <c r="AA91" s="144">
        <f t="shared" ref="AA91:AA122" si="111">Z91/$Z$141</f>
        <v>0.27244790921931894</v>
      </c>
      <c r="AB91" s="136"/>
      <c r="AC91" s="119">
        <f t="shared" ref="AC91:AC141" si="112">SUM(B91:U91)</f>
        <v>19820.379999999997</v>
      </c>
      <c r="AD91" s="119">
        <f t="shared" ref="AD91:AD141" si="113">SUM(V91:X91)</f>
        <v>11357.89</v>
      </c>
      <c r="AE91" s="119">
        <f>Y91</f>
        <v>12.730000000000004</v>
      </c>
      <c r="AF91" s="119">
        <v>26.041900000000002</v>
      </c>
      <c r="AG91" s="119">
        <f>SUM(AC91:AF91)</f>
        <v>31217.041899999997</v>
      </c>
      <c r="AH91" s="196">
        <f>AD91/AG91</f>
        <v>0.3638362031989969</v>
      </c>
    </row>
    <row r="92" spans="1:34" ht="15.5" x14ac:dyDescent="0.35">
      <c r="A92" s="6" t="s">
        <v>6</v>
      </c>
      <c r="B92" s="12">
        <f t="shared" ref="B92:Z92" si="114">B396+B245</f>
        <v>466.78000000000009</v>
      </c>
      <c r="C92" s="12">
        <f t="shared" si="114"/>
        <v>67.259999999999991</v>
      </c>
      <c r="D92" s="12">
        <f t="shared" si="114"/>
        <v>12.28</v>
      </c>
      <c r="E92" s="12">
        <f t="shared" si="114"/>
        <v>12.589999999999998</v>
      </c>
      <c r="F92" s="12">
        <f t="shared" si="114"/>
        <v>27.4</v>
      </c>
      <c r="G92" s="12">
        <f t="shared" si="114"/>
        <v>20.5</v>
      </c>
      <c r="H92" s="12">
        <f t="shared" si="114"/>
        <v>11.830000000000002</v>
      </c>
      <c r="I92" s="12">
        <f t="shared" si="114"/>
        <v>0.57000000000000006</v>
      </c>
      <c r="J92" s="12">
        <f t="shared" si="114"/>
        <v>7.1400000000000006</v>
      </c>
      <c r="K92" s="12">
        <f t="shared" si="114"/>
        <v>9.5</v>
      </c>
      <c r="L92" s="12">
        <f t="shared" si="114"/>
        <v>27.419999999999998</v>
      </c>
      <c r="M92" s="12">
        <f t="shared" si="114"/>
        <v>15.68</v>
      </c>
      <c r="N92" s="12">
        <f t="shared" si="114"/>
        <v>13.02</v>
      </c>
      <c r="O92" s="12">
        <f t="shared" si="114"/>
        <v>14.620000000000001</v>
      </c>
      <c r="P92" s="12">
        <f t="shared" si="114"/>
        <v>12.09</v>
      </c>
      <c r="Q92" s="12">
        <f t="shared" si="114"/>
        <v>14.41</v>
      </c>
      <c r="R92" s="12">
        <f t="shared" si="114"/>
        <v>46.33</v>
      </c>
      <c r="S92" s="12">
        <f t="shared" si="114"/>
        <v>51.69</v>
      </c>
      <c r="T92" s="12">
        <f t="shared" si="114"/>
        <v>51.85</v>
      </c>
      <c r="U92" s="12">
        <f t="shared" si="114"/>
        <v>49.78</v>
      </c>
      <c r="V92" s="12">
        <f t="shared" si="114"/>
        <v>21.050000000000004</v>
      </c>
      <c r="W92" s="12">
        <f t="shared" si="114"/>
        <v>76.199999999999989</v>
      </c>
      <c r="X92" s="12">
        <f t="shared" si="114"/>
        <v>18.619999999999997</v>
      </c>
      <c r="Y92" s="12">
        <f t="shared" si="114"/>
        <v>3.7000000000000006</v>
      </c>
      <c r="Z92" s="12">
        <f t="shared" si="114"/>
        <v>1052.31</v>
      </c>
      <c r="AA92" s="22">
        <f t="shared" si="111"/>
        <v>9.1917431102106865E-3</v>
      </c>
      <c r="AB92" s="112"/>
      <c r="AC92" s="175">
        <f t="shared" si="112"/>
        <v>932.74000000000012</v>
      </c>
      <c r="AD92" s="175">
        <f t="shared" si="113"/>
        <v>115.87</v>
      </c>
      <c r="AE92" s="12">
        <f>Y92</f>
        <v>3.7000000000000006</v>
      </c>
      <c r="AF92" s="89">
        <v>1.68</v>
      </c>
      <c r="AG92" s="12">
        <f>SUM(AC92:AF92)</f>
        <v>1053.9900000000002</v>
      </c>
      <c r="AH92" s="22">
        <f>AD92/AG92</f>
        <v>0.10993462936080986</v>
      </c>
    </row>
    <row r="93" spans="1:34" x14ac:dyDescent="0.35">
      <c r="A93" s="6" t="s">
        <v>7</v>
      </c>
      <c r="B93" s="12">
        <f t="shared" ref="B93:Z93" si="115">B397+B246</f>
        <v>0.22</v>
      </c>
      <c r="C93" s="12">
        <f t="shared" si="115"/>
        <v>15.599999999999998</v>
      </c>
      <c r="D93" s="12">
        <f t="shared" si="115"/>
        <v>0</v>
      </c>
      <c r="E93" s="12">
        <f t="shared" si="115"/>
        <v>0</v>
      </c>
      <c r="F93" s="12">
        <f t="shared" si="115"/>
        <v>0</v>
      </c>
      <c r="G93" s="12">
        <f t="shared" si="115"/>
        <v>0</v>
      </c>
      <c r="H93" s="12">
        <f t="shared" si="115"/>
        <v>0</v>
      </c>
      <c r="I93" s="12">
        <f t="shared" si="115"/>
        <v>0</v>
      </c>
      <c r="J93" s="12">
        <f t="shared" si="115"/>
        <v>8.49</v>
      </c>
      <c r="K93" s="12">
        <f t="shared" si="115"/>
        <v>3.59</v>
      </c>
      <c r="L93" s="12">
        <f t="shared" si="115"/>
        <v>0</v>
      </c>
      <c r="M93" s="12">
        <f t="shared" si="115"/>
        <v>0</v>
      </c>
      <c r="N93" s="12">
        <f t="shared" si="115"/>
        <v>0</v>
      </c>
      <c r="O93" s="12">
        <f t="shared" si="115"/>
        <v>0</v>
      </c>
      <c r="P93" s="12">
        <f t="shared" si="115"/>
        <v>4.5199999999999996</v>
      </c>
      <c r="Q93" s="12">
        <f t="shared" si="115"/>
        <v>53.58</v>
      </c>
      <c r="R93" s="12">
        <f t="shared" si="115"/>
        <v>21.669999999999998</v>
      </c>
      <c r="S93" s="12">
        <f t="shared" si="115"/>
        <v>108.28999999999999</v>
      </c>
      <c r="T93" s="12">
        <f t="shared" si="115"/>
        <v>61.730000000000004</v>
      </c>
      <c r="U93" s="12">
        <f t="shared" si="115"/>
        <v>86.61999999999999</v>
      </c>
      <c r="V93" s="12">
        <f t="shared" si="115"/>
        <v>178.74</v>
      </c>
      <c r="W93" s="12">
        <f t="shared" si="115"/>
        <v>153.13999999999999</v>
      </c>
      <c r="X93" s="12">
        <f t="shared" si="115"/>
        <v>115.25</v>
      </c>
      <c r="Y93" s="12">
        <f t="shared" si="115"/>
        <v>0.05</v>
      </c>
      <c r="Z93" s="12">
        <f t="shared" si="115"/>
        <v>811.4899999999999</v>
      </c>
      <c r="AA93" s="22">
        <f t="shared" si="111"/>
        <v>7.0882226877107216E-3</v>
      </c>
      <c r="AB93" s="113"/>
      <c r="AC93" s="175">
        <f t="shared" si="112"/>
        <v>364.31</v>
      </c>
      <c r="AD93" s="175">
        <f t="shared" si="113"/>
        <v>447.13</v>
      </c>
      <c r="AE93" s="12">
        <f t="shared" ref="AE93:AE141" si="116">Y93</f>
        <v>0.05</v>
      </c>
      <c r="AF93" s="89"/>
      <c r="AG93" s="12">
        <f t="shared" ref="AG93:AG99" si="117">SUM(AC93:AF93)</f>
        <v>811.49</v>
      </c>
      <c r="AH93" s="22">
        <f t="shared" ref="AH93:AH141" si="118">AD93/AG93</f>
        <v>0.55099878002193492</v>
      </c>
    </row>
    <row r="94" spans="1:34" x14ac:dyDescent="0.35">
      <c r="A94" s="6" t="s">
        <v>8</v>
      </c>
      <c r="B94" s="12">
        <f t="shared" ref="B94:Z94" si="119">B398+B247</f>
        <v>18.14</v>
      </c>
      <c r="C94" s="12">
        <f t="shared" si="119"/>
        <v>6.1099999999999994</v>
      </c>
      <c r="D94" s="12">
        <f t="shared" si="119"/>
        <v>0</v>
      </c>
      <c r="E94" s="12">
        <f t="shared" si="119"/>
        <v>0</v>
      </c>
      <c r="F94" s="12">
        <f t="shared" si="119"/>
        <v>0</v>
      </c>
      <c r="G94" s="12">
        <f t="shared" si="119"/>
        <v>0</v>
      </c>
      <c r="H94" s="12">
        <f t="shared" si="119"/>
        <v>6.39</v>
      </c>
      <c r="I94" s="12">
        <f t="shared" si="119"/>
        <v>0.65</v>
      </c>
      <c r="J94" s="12">
        <f t="shared" si="119"/>
        <v>0.39</v>
      </c>
      <c r="K94" s="12">
        <f t="shared" si="119"/>
        <v>19.63</v>
      </c>
      <c r="L94" s="12">
        <f t="shared" si="119"/>
        <v>16.25</v>
      </c>
      <c r="M94" s="12">
        <f t="shared" si="119"/>
        <v>3.98</v>
      </c>
      <c r="N94" s="12">
        <f t="shared" si="119"/>
        <v>1.6600000000000001</v>
      </c>
      <c r="O94" s="12">
        <f t="shared" si="119"/>
        <v>6.92</v>
      </c>
      <c r="P94" s="12">
        <f t="shared" si="119"/>
        <v>172.29999999999998</v>
      </c>
      <c r="Q94" s="12">
        <f t="shared" si="119"/>
        <v>86</v>
      </c>
      <c r="R94" s="12">
        <f t="shared" si="119"/>
        <v>304.03999999999996</v>
      </c>
      <c r="S94" s="12">
        <f t="shared" si="119"/>
        <v>1438.52</v>
      </c>
      <c r="T94" s="12">
        <f t="shared" si="119"/>
        <v>1192.6199999999999</v>
      </c>
      <c r="U94" s="12">
        <f t="shared" si="119"/>
        <v>598.93999999999994</v>
      </c>
      <c r="V94" s="12">
        <f t="shared" si="119"/>
        <v>984.87000000000012</v>
      </c>
      <c r="W94" s="12">
        <f t="shared" si="119"/>
        <v>1871.9499999999998</v>
      </c>
      <c r="X94" s="12">
        <f t="shared" si="119"/>
        <v>948.20000000000016</v>
      </c>
      <c r="Y94" s="12">
        <f t="shared" si="119"/>
        <v>1.1000000000000001</v>
      </c>
      <c r="Z94" s="12">
        <f t="shared" si="119"/>
        <v>7678.6600000000017</v>
      </c>
      <c r="AA94" s="22">
        <f t="shared" si="111"/>
        <v>6.707174706184528E-2</v>
      </c>
      <c r="AB94" s="136"/>
      <c r="AC94" s="175">
        <f t="shared" si="112"/>
        <v>3872.54</v>
      </c>
      <c r="AD94" s="175">
        <f t="shared" si="113"/>
        <v>3805.02</v>
      </c>
      <c r="AE94" s="12">
        <f t="shared" si="116"/>
        <v>1.1000000000000001</v>
      </c>
      <c r="AF94" s="89">
        <v>4.2699999999999996</v>
      </c>
      <c r="AG94" s="12">
        <f t="shared" si="117"/>
        <v>7682.93</v>
      </c>
      <c r="AH94" s="22">
        <f t="shared" si="118"/>
        <v>0.49525636703705483</v>
      </c>
    </row>
    <row r="95" spans="1:34" x14ac:dyDescent="0.35">
      <c r="A95" s="6" t="s">
        <v>26</v>
      </c>
      <c r="B95" s="12">
        <f t="shared" ref="B95:Z95" si="120">B399+B248</f>
        <v>1183.0300000000002</v>
      </c>
      <c r="C95" s="12">
        <f t="shared" si="120"/>
        <v>370.55000000000007</v>
      </c>
      <c r="D95" s="12">
        <f t="shared" si="120"/>
        <v>73.88</v>
      </c>
      <c r="E95" s="12">
        <f t="shared" si="120"/>
        <v>55.36</v>
      </c>
      <c r="F95" s="12">
        <f t="shared" si="120"/>
        <v>93.610000000000014</v>
      </c>
      <c r="G95" s="12">
        <f t="shared" si="120"/>
        <v>139.94</v>
      </c>
      <c r="H95" s="12">
        <f t="shared" si="120"/>
        <v>150.13</v>
      </c>
      <c r="I95" s="12">
        <f t="shared" si="120"/>
        <v>149.66</v>
      </c>
      <c r="J95" s="12">
        <f t="shared" si="120"/>
        <v>121.29999999999998</v>
      </c>
      <c r="K95" s="12">
        <f t="shared" si="120"/>
        <v>112.77000000000002</v>
      </c>
      <c r="L95" s="12">
        <f t="shared" si="120"/>
        <v>112.09</v>
      </c>
      <c r="M95" s="12">
        <f t="shared" si="120"/>
        <v>152.75</v>
      </c>
      <c r="N95" s="12">
        <f t="shared" si="120"/>
        <v>149.51</v>
      </c>
      <c r="O95" s="12">
        <f t="shared" si="120"/>
        <v>138.70000000000005</v>
      </c>
      <c r="P95" s="12">
        <f t="shared" si="120"/>
        <v>211.82999999999998</v>
      </c>
      <c r="Q95" s="12">
        <f t="shared" si="120"/>
        <v>392.59000000000003</v>
      </c>
      <c r="R95" s="12">
        <f t="shared" si="120"/>
        <v>766.05</v>
      </c>
      <c r="S95" s="12">
        <f t="shared" si="120"/>
        <v>807.41000000000008</v>
      </c>
      <c r="T95" s="12">
        <f t="shared" si="120"/>
        <v>824.87999999999965</v>
      </c>
      <c r="U95" s="12">
        <f t="shared" si="120"/>
        <v>420.70000000000005</v>
      </c>
      <c r="V95" s="12">
        <f t="shared" si="120"/>
        <v>295.59999999999997</v>
      </c>
      <c r="W95" s="12">
        <f t="shared" si="120"/>
        <v>274.5</v>
      </c>
      <c r="X95" s="12">
        <f t="shared" si="120"/>
        <v>154.07</v>
      </c>
      <c r="Y95" s="12">
        <f t="shared" si="120"/>
        <v>6.1400000000000015</v>
      </c>
      <c r="Z95" s="12">
        <f t="shared" si="120"/>
        <v>7157.0499999999993</v>
      </c>
      <c r="AA95" s="22">
        <f t="shared" si="111"/>
        <v>6.2515575283835931E-2</v>
      </c>
      <c r="AB95" s="136"/>
      <c r="AC95" s="175">
        <f t="shared" si="112"/>
        <v>6426.7400000000007</v>
      </c>
      <c r="AD95" s="175">
        <f t="shared" si="113"/>
        <v>724.16999999999985</v>
      </c>
      <c r="AE95" s="12">
        <f t="shared" si="116"/>
        <v>6.1400000000000015</v>
      </c>
      <c r="AF95" s="89">
        <v>7.48</v>
      </c>
      <c r="AG95" s="12">
        <f t="shared" si="117"/>
        <v>7164.5300000000007</v>
      </c>
      <c r="AH95" s="22">
        <f t="shared" si="118"/>
        <v>0.10107711182729359</v>
      </c>
    </row>
    <row r="96" spans="1:34" x14ac:dyDescent="0.35">
      <c r="A96" s="6" t="s">
        <v>27</v>
      </c>
      <c r="B96" s="12">
        <f t="shared" ref="B96:Z96" si="121">B400+B249</f>
        <v>1.79</v>
      </c>
      <c r="C96" s="12">
        <f t="shared" si="121"/>
        <v>22.1</v>
      </c>
      <c r="D96" s="12">
        <f t="shared" si="121"/>
        <v>0</v>
      </c>
      <c r="E96" s="12">
        <f t="shared" si="121"/>
        <v>1.02</v>
      </c>
      <c r="F96" s="12">
        <f t="shared" si="121"/>
        <v>0</v>
      </c>
      <c r="G96" s="12">
        <f t="shared" si="121"/>
        <v>0.19</v>
      </c>
      <c r="H96" s="12">
        <f t="shared" si="121"/>
        <v>0.17</v>
      </c>
      <c r="I96" s="12">
        <f t="shared" si="121"/>
        <v>0</v>
      </c>
      <c r="J96" s="12">
        <f t="shared" si="121"/>
        <v>0</v>
      </c>
      <c r="K96" s="12">
        <f t="shared" si="121"/>
        <v>3.31</v>
      </c>
      <c r="L96" s="12">
        <f t="shared" si="121"/>
        <v>17.93</v>
      </c>
      <c r="M96" s="12">
        <f t="shared" si="121"/>
        <v>0.2</v>
      </c>
      <c r="N96" s="12">
        <f t="shared" si="121"/>
        <v>24.92</v>
      </c>
      <c r="O96" s="12">
        <f t="shared" si="121"/>
        <v>0</v>
      </c>
      <c r="P96" s="12">
        <f t="shared" si="121"/>
        <v>24.24</v>
      </c>
      <c r="Q96" s="12">
        <f t="shared" si="121"/>
        <v>82.92</v>
      </c>
      <c r="R96" s="12">
        <f t="shared" si="121"/>
        <v>10.87</v>
      </c>
      <c r="S96" s="12">
        <f t="shared" si="121"/>
        <v>145.79000000000002</v>
      </c>
      <c r="T96" s="12">
        <f t="shared" si="121"/>
        <v>80.469999999999985</v>
      </c>
      <c r="U96" s="12">
        <f t="shared" si="121"/>
        <v>27.64</v>
      </c>
      <c r="V96" s="12">
        <f t="shared" si="121"/>
        <v>21.12</v>
      </c>
      <c r="W96" s="12">
        <f t="shared" si="121"/>
        <v>196.29999999999998</v>
      </c>
      <c r="X96" s="12">
        <f t="shared" si="121"/>
        <v>90.240000000000009</v>
      </c>
      <c r="Y96" s="12">
        <f t="shared" si="121"/>
        <v>0</v>
      </c>
      <c r="Z96" s="12">
        <f t="shared" si="121"/>
        <v>751.22</v>
      </c>
      <c r="AA96" s="22">
        <f t="shared" si="111"/>
        <v>6.5617748184968998E-3</v>
      </c>
      <c r="AB96" s="136"/>
      <c r="AC96" s="175">
        <f t="shared" si="112"/>
        <v>443.56</v>
      </c>
      <c r="AD96" s="175">
        <f t="shared" si="113"/>
        <v>307.65999999999997</v>
      </c>
      <c r="AE96" s="12">
        <f t="shared" si="116"/>
        <v>0</v>
      </c>
      <c r="AF96" s="89"/>
      <c r="AG96" s="12">
        <f t="shared" si="117"/>
        <v>751.22</v>
      </c>
      <c r="AH96" s="22">
        <f t="shared" si="118"/>
        <v>0.40954713665770343</v>
      </c>
    </row>
    <row r="97" spans="1:44" x14ac:dyDescent="0.35">
      <c r="A97" s="6" t="s">
        <v>28</v>
      </c>
      <c r="B97" s="12">
        <f t="shared" ref="B97:Z97" si="122">B401+B250</f>
        <v>33.54</v>
      </c>
      <c r="C97" s="12">
        <f t="shared" si="122"/>
        <v>1.84</v>
      </c>
      <c r="D97" s="12">
        <f t="shared" si="122"/>
        <v>0</v>
      </c>
      <c r="E97" s="12">
        <f t="shared" si="122"/>
        <v>0</v>
      </c>
      <c r="F97" s="12">
        <f t="shared" si="122"/>
        <v>0</v>
      </c>
      <c r="G97" s="12">
        <f t="shared" si="122"/>
        <v>0</v>
      </c>
      <c r="H97" s="12">
        <f t="shared" si="122"/>
        <v>0</v>
      </c>
      <c r="I97" s="12">
        <f t="shared" si="122"/>
        <v>10.69</v>
      </c>
      <c r="J97" s="12">
        <f t="shared" si="122"/>
        <v>0.43</v>
      </c>
      <c r="K97" s="12">
        <f t="shared" si="122"/>
        <v>6.67</v>
      </c>
      <c r="L97" s="12">
        <f t="shared" si="122"/>
        <v>0.17</v>
      </c>
      <c r="M97" s="12">
        <f t="shared" si="122"/>
        <v>12.95</v>
      </c>
      <c r="N97" s="12">
        <f t="shared" si="122"/>
        <v>0</v>
      </c>
      <c r="O97" s="12">
        <f t="shared" si="122"/>
        <v>1.3300000000000003</v>
      </c>
      <c r="P97" s="12">
        <f t="shared" si="122"/>
        <v>0.37</v>
      </c>
      <c r="Q97" s="12">
        <f t="shared" si="122"/>
        <v>16.559999999999999</v>
      </c>
      <c r="R97" s="12">
        <f t="shared" si="122"/>
        <v>253.53</v>
      </c>
      <c r="S97" s="12">
        <f t="shared" si="122"/>
        <v>289.52</v>
      </c>
      <c r="T97" s="12">
        <f t="shared" si="122"/>
        <v>418.22</v>
      </c>
      <c r="U97" s="12">
        <f t="shared" si="122"/>
        <v>60.809999999999995</v>
      </c>
      <c r="V97" s="12">
        <f t="shared" si="122"/>
        <v>124.27</v>
      </c>
      <c r="W97" s="12">
        <f t="shared" si="122"/>
        <v>293.73</v>
      </c>
      <c r="X97" s="12">
        <f t="shared" si="122"/>
        <v>374.59</v>
      </c>
      <c r="Y97" s="12">
        <f t="shared" si="122"/>
        <v>0.37000000000000011</v>
      </c>
      <c r="Z97" s="12">
        <f t="shared" si="122"/>
        <v>1899.5900000000001</v>
      </c>
      <c r="AA97" s="22">
        <f t="shared" si="111"/>
        <v>1.6592585164756698E-2</v>
      </c>
      <c r="AB97" s="136"/>
      <c r="AC97" s="175">
        <f t="shared" si="112"/>
        <v>1106.6300000000001</v>
      </c>
      <c r="AD97" s="175">
        <f t="shared" si="113"/>
        <v>792.58999999999992</v>
      </c>
      <c r="AE97" s="12">
        <f t="shared" si="116"/>
        <v>0.37000000000000011</v>
      </c>
      <c r="AF97" s="89">
        <v>6.91</v>
      </c>
      <c r="AG97" s="12">
        <f t="shared" si="117"/>
        <v>1906.5</v>
      </c>
      <c r="AH97" s="22">
        <f t="shared" si="118"/>
        <v>0.41573039601363754</v>
      </c>
    </row>
    <row r="98" spans="1:44" x14ac:dyDescent="0.35">
      <c r="A98" s="6" t="s">
        <v>29</v>
      </c>
      <c r="B98" s="12">
        <f t="shared" ref="B98:Z98" si="123">B402+B251</f>
        <v>23.99</v>
      </c>
      <c r="C98" s="12">
        <f t="shared" si="123"/>
        <v>0.06</v>
      </c>
      <c r="D98" s="12">
        <f t="shared" si="123"/>
        <v>0</v>
      </c>
      <c r="E98" s="12">
        <f t="shared" si="123"/>
        <v>0</v>
      </c>
      <c r="F98" s="12">
        <f t="shared" si="123"/>
        <v>0</v>
      </c>
      <c r="G98" s="12">
        <f t="shared" si="123"/>
        <v>0.25</v>
      </c>
      <c r="H98" s="12">
        <f t="shared" si="123"/>
        <v>0</v>
      </c>
      <c r="I98" s="12">
        <f t="shared" si="123"/>
        <v>0</v>
      </c>
      <c r="J98" s="12">
        <f t="shared" si="123"/>
        <v>0</v>
      </c>
      <c r="K98" s="12">
        <f t="shared" si="123"/>
        <v>28.4</v>
      </c>
      <c r="L98" s="12">
        <f t="shared" si="123"/>
        <v>0</v>
      </c>
      <c r="M98" s="12">
        <f t="shared" si="123"/>
        <v>0</v>
      </c>
      <c r="N98" s="12">
        <f t="shared" si="123"/>
        <v>1.49</v>
      </c>
      <c r="O98" s="12">
        <f t="shared" si="123"/>
        <v>0</v>
      </c>
      <c r="P98" s="12">
        <f t="shared" si="123"/>
        <v>7.28</v>
      </c>
      <c r="Q98" s="12">
        <f t="shared" si="123"/>
        <v>0</v>
      </c>
      <c r="R98" s="12">
        <f t="shared" si="123"/>
        <v>10.81</v>
      </c>
      <c r="S98" s="12">
        <f t="shared" si="123"/>
        <v>10.72</v>
      </c>
      <c r="T98" s="12">
        <f t="shared" si="123"/>
        <v>52.640000000000008</v>
      </c>
      <c r="U98" s="12">
        <f t="shared" si="123"/>
        <v>27.07</v>
      </c>
      <c r="V98" s="12">
        <f t="shared" si="123"/>
        <v>26.360000000000003</v>
      </c>
      <c r="W98" s="12">
        <f t="shared" si="123"/>
        <v>71.289999999999992</v>
      </c>
      <c r="X98" s="12">
        <f t="shared" si="123"/>
        <v>125.47999999999999</v>
      </c>
      <c r="Y98" s="12">
        <f t="shared" si="123"/>
        <v>0.14000000000000001</v>
      </c>
      <c r="Z98" s="12">
        <f t="shared" si="123"/>
        <v>385.97999999999996</v>
      </c>
      <c r="AA98" s="22">
        <f t="shared" si="111"/>
        <v>3.3714675387282464E-3</v>
      </c>
      <c r="AC98" s="175">
        <f t="shared" si="112"/>
        <v>162.71</v>
      </c>
      <c r="AD98" s="175">
        <f t="shared" si="113"/>
        <v>223.13</v>
      </c>
      <c r="AE98" s="12">
        <f t="shared" si="116"/>
        <v>0.14000000000000001</v>
      </c>
      <c r="AF98" s="89">
        <v>3.3519000000000001</v>
      </c>
      <c r="AG98" s="12">
        <f t="shared" si="117"/>
        <v>389.33190000000002</v>
      </c>
      <c r="AH98" s="22">
        <f t="shared" si="118"/>
        <v>0.57310998662066992</v>
      </c>
    </row>
    <row r="99" spans="1:44" x14ac:dyDescent="0.35">
      <c r="A99" s="6" t="s">
        <v>30</v>
      </c>
      <c r="B99" s="12">
        <f t="shared" ref="B99:Z99" si="124">B403+B252</f>
        <v>39.260000000000005</v>
      </c>
      <c r="C99" s="12">
        <f t="shared" si="124"/>
        <v>12.41</v>
      </c>
      <c r="D99" s="12">
        <f t="shared" si="124"/>
        <v>9.98</v>
      </c>
      <c r="E99" s="12">
        <f t="shared" si="124"/>
        <v>0</v>
      </c>
      <c r="F99" s="12">
        <f t="shared" si="124"/>
        <v>4</v>
      </c>
      <c r="G99" s="12">
        <f t="shared" si="124"/>
        <v>0</v>
      </c>
      <c r="H99" s="12">
        <f t="shared" si="124"/>
        <v>0</v>
      </c>
      <c r="I99" s="12">
        <f t="shared" si="124"/>
        <v>4.59</v>
      </c>
      <c r="J99" s="12">
        <f t="shared" si="124"/>
        <v>54.98</v>
      </c>
      <c r="K99" s="12">
        <f t="shared" si="124"/>
        <v>173.54999999999998</v>
      </c>
      <c r="L99" s="12">
        <f t="shared" si="124"/>
        <v>32.779999999999994</v>
      </c>
      <c r="M99" s="12">
        <f t="shared" si="124"/>
        <v>40.879999999999995</v>
      </c>
      <c r="N99" s="12">
        <f t="shared" si="124"/>
        <v>36.32</v>
      </c>
      <c r="O99" s="12">
        <f t="shared" si="124"/>
        <v>14.86</v>
      </c>
      <c r="P99" s="12">
        <f t="shared" si="124"/>
        <v>142.92999999999998</v>
      </c>
      <c r="Q99" s="12">
        <f t="shared" si="124"/>
        <v>254.91</v>
      </c>
      <c r="R99" s="12">
        <f t="shared" si="124"/>
        <v>681.01999999999987</v>
      </c>
      <c r="S99" s="12">
        <f t="shared" si="124"/>
        <v>2061.5399999999995</v>
      </c>
      <c r="T99" s="12">
        <f t="shared" si="124"/>
        <v>1870.9399999999998</v>
      </c>
      <c r="U99" s="12">
        <f t="shared" si="124"/>
        <v>1076.2</v>
      </c>
      <c r="V99" s="12">
        <f t="shared" si="124"/>
        <v>824.95999999999981</v>
      </c>
      <c r="W99" s="12">
        <f t="shared" si="124"/>
        <v>2067.1000000000004</v>
      </c>
      <c r="X99" s="12">
        <f t="shared" si="124"/>
        <v>2050.2599999999998</v>
      </c>
      <c r="Y99" s="12">
        <f t="shared" si="124"/>
        <v>1.2300000000000002</v>
      </c>
      <c r="Z99" s="12">
        <f t="shared" si="124"/>
        <v>11454.699999999999</v>
      </c>
      <c r="AA99" s="22">
        <f t="shared" si="111"/>
        <v>0.10005479355373451</v>
      </c>
      <c r="AC99" s="175">
        <f t="shared" si="112"/>
        <v>6511.1499999999987</v>
      </c>
      <c r="AD99" s="175">
        <f t="shared" si="113"/>
        <v>4942.32</v>
      </c>
      <c r="AE99" s="12">
        <f t="shared" si="116"/>
        <v>1.2300000000000002</v>
      </c>
      <c r="AF99" s="89">
        <v>2.35</v>
      </c>
      <c r="AG99" s="12">
        <f t="shared" si="117"/>
        <v>11457.049999999997</v>
      </c>
      <c r="AH99" s="22">
        <f t="shared" si="118"/>
        <v>0.43137805979724281</v>
      </c>
    </row>
    <row r="100" spans="1:44" x14ac:dyDescent="0.35">
      <c r="A100" s="118" t="s">
        <v>12</v>
      </c>
      <c r="B100" s="119">
        <f t="shared" ref="B100:Z100" si="125">B404+B253</f>
        <v>2540.6099999999992</v>
      </c>
      <c r="C100" s="119">
        <f t="shared" si="125"/>
        <v>714.02000000000021</v>
      </c>
      <c r="D100" s="119">
        <f t="shared" si="125"/>
        <v>176.99000000000004</v>
      </c>
      <c r="E100" s="119">
        <f t="shared" si="125"/>
        <v>132.19</v>
      </c>
      <c r="F100" s="119">
        <f t="shared" si="125"/>
        <v>192.72999999999996</v>
      </c>
      <c r="G100" s="119">
        <f t="shared" si="125"/>
        <v>127.02999999999999</v>
      </c>
      <c r="H100" s="119">
        <f t="shared" si="125"/>
        <v>399.69</v>
      </c>
      <c r="I100" s="119">
        <f t="shared" si="125"/>
        <v>276.83</v>
      </c>
      <c r="J100" s="119">
        <f t="shared" si="125"/>
        <v>374</v>
      </c>
      <c r="K100" s="119">
        <f t="shared" si="125"/>
        <v>458.38000000000005</v>
      </c>
      <c r="L100" s="119">
        <f t="shared" si="125"/>
        <v>332.32</v>
      </c>
      <c r="M100" s="119">
        <f t="shared" si="125"/>
        <v>465.7399999999999</v>
      </c>
      <c r="N100" s="119">
        <f t="shared" si="125"/>
        <v>284.89000000000004</v>
      </c>
      <c r="O100" s="119">
        <f t="shared" si="125"/>
        <v>441.01</v>
      </c>
      <c r="P100" s="119">
        <f t="shared" si="125"/>
        <v>514.75</v>
      </c>
      <c r="Q100" s="119">
        <f t="shared" si="125"/>
        <v>720.92</v>
      </c>
      <c r="R100" s="119">
        <f t="shared" si="125"/>
        <v>1254.93</v>
      </c>
      <c r="S100" s="119">
        <f t="shared" si="125"/>
        <v>1353.27</v>
      </c>
      <c r="T100" s="119">
        <f t="shared" si="125"/>
        <v>2658.65</v>
      </c>
      <c r="U100" s="119">
        <f t="shared" si="125"/>
        <v>1722.75</v>
      </c>
      <c r="V100" s="119">
        <f t="shared" si="125"/>
        <v>1600.3200000000002</v>
      </c>
      <c r="W100" s="119">
        <f t="shared" si="125"/>
        <v>2738.5</v>
      </c>
      <c r="X100" s="119">
        <f t="shared" si="125"/>
        <v>2215.65</v>
      </c>
      <c r="Y100" s="119">
        <f t="shared" si="125"/>
        <v>19.499999999999996</v>
      </c>
      <c r="Z100" s="119">
        <f t="shared" si="125"/>
        <v>21715.67</v>
      </c>
      <c r="AA100" s="144">
        <f t="shared" si="111"/>
        <v>0.18968256512444898</v>
      </c>
      <c r="AC100" s="119">
        <f t="shared" si="112"/>
        <v>15141.699999999999</v>
      </c>
      <c r="AD100" s="119">
        <f t="shared" si="113"/>
        <v>6554.4699999999993</v>
      </c>
      <c r="AE100" s="119">
        <f t="shared" si="116"/>
        <v>19.499999999999996</v>
      </c>
      <c r="AF100" s="119"/>
      <c r="AG100" s="119">
        <f>SUM(AC100:AF100)</f>
        <v>21715.67</v>
      </c>
      <c r="AH100" s="196">
        <f t="shared" si="118"/>
        <v>0.30183135035667791</v>
      </c>
    </row>
    <row r="101" spans="1:44" x14ac:dyDescent="0.35">
      <c r="A101" s="6" t="s">
        <v>31</v>
      </c>
      <c r="B101" s="12">
        <f t="shared" ref="B101:Z101" si="126">B405+B254</f>
        <v>309.13</v>
      </c>
      <c r="C101" s="12">
        <f t="shared" si="126"/>
        <v>40.410000000000004</v>
      </c>
      <c r="D101" s="12">
        <f t="shared" si="126"/>
        <v>2.09</v>
      </c>
      <c r="E101" s="12">
        <f t="shared" si="126"/>
        <v>17.060000000000002</v>
      </c>
      <c r="F101" s="12">
        <f t="shared" si="126"/>
        <v>28.8</v>
      </c>
      <c r="G101" s="12">
        <f t="shared" si="126"/>
        <v>19.64</v>
      </c>
      <c r="H101" s="12">
        <f t="shared" si="126"/>
        <v>55.079999999999991</v>
      </c>
      <c r="I101" s="12">
        <f t="shared" si="126"/>
        <v>36.049999999999997</v>
      </c>
      <c r="J101" s="12">
        <f t="shared" si="126"/>
        <v>102.95</v>
      </c>
      <c r="K101" s="12">
        <f t="shared" si="126"/>
        <v>82.88</v>
      </c>
      <c r="L101" s="12">
        <f t="shared" si="126"/>
        <v>60.400000000000006</v>
      </c>
      <c r="M101" s="12">
        <f t="shared" si="126"/>
        <v>53.87</v>
      </c>
      <c r="N101" s="12">
        <f t="shared" si="126"/>
        <v>71.300000000000011</v>
      </c>
      <c r="O101" s="12">
        <f t="shared" si="126"/>
        <v>52.86999999999999</v>
      </c>
      <c r="P101" s="12">
        <f t="shared" si="126"/>
        <v>131.04</v>
      </c>
      <c r="Q101" s="12">
        <f t="shared" si="126"/>
        <v>82.32</v>
      </c>
      <c r="R101" s="12">
        <f t="shared" si="126"/>
        <v>271.36</v>
      </c>
      <c r="S101" s="12">
        <f t="shared" si="126"/>
        <v>405.34999999999997</v>
      </c>
      <c r="T101" s="12">
        <f t="shared" si="126"/>
        <v>1674.0400000000002</v>
      </c>
      <c r="U101" s="12">
        <f t="shared" si="126"/>
        <v>644</v>
      </c>
      <c r="V101" s="12">
        <f t="shared" si="126"/>
        <v>549.18999999999994</v>
      </c>
      <c r="W101" s="12">
        <f t="shared" si="126"/>
        <v>1320.0999999999997</v>
      </c>
      <c r="X101" s="12">
        <f t="shared" si="126"/>
        <v>915.42</v>
      </c>
      <c r="Y101" s="12">
        <f t="shared" si="126"/>
        <v>3.4899999999999998</v>
      </c>
      <c r="Z101" s="12">
        <f t="shared" si="126"/>
        <v>6928.84</v>
      </c>
      <c r="AA101" s="22">
        <f t="shared" si="111"/>
        <v>6.0522200997569366E-2</v>
      </c>
      <c r="AC101" s="175">
        <f t="shared" si="112"/>
        <v>4140.6400000000003</v>
      </c>
      <c r="AD101" s="175">
        <f t="shared" si="113"/>
        <v>2784.7099999999996</v>
      </c>
      <c r="AE101" s="12">
        <f t="shared" si="116"/>
        <v>3.4899999999999998</v>
      </c>
      <c r="AF101" s="89"/>
      <c r="AG101" s="12">
        <f>SUM(AC101:AF101)</f>
        <v>6928.84</v>
      </c>
      <c r="AH101" s="22">
        <f t="shared" si="118"/>
        <v>0.40190132836087994</v>
      </c>
    </row>
    <row r="102" spans="1:44" x14ac:dyDescent="0.35">
      <c r="A102" s="6" t="s">
        <v>32</v>
      </c>
      <c r="B102" s="12">
        <f t="shared" ref="B102:Z102" si="127">B406+B255</f>
        <v>230.83999999999997</v>
      </c>
      <c r="C102" s="12">
        <f t="shared" si="127"/>
        <v>87.910000000000011</v>
      </c>
      <c r="D102" s="12">
        <f t="shared" si="127"/>
        <v>1.53</v>
      </c>
      <c r="E102" s="12">
        <f t="shared" si="127"/>
        <v>9.16</v>
      </c>
      <c r="F102" s="12">
        <f t="shared" si="127"/>
        <v>21.02</v>
      </c>
      <c r="G102" s="12">
        <f t="shared" si="127"/>
        <v>5.08</v>
      </c>
      <c r="H102" s="12">
        <f t="shared" si="127"/>
        <v>73.73</v>
      </c>
      <c r="I102" s="12">
        <f t="shared" si="127"/>
        <v>22.56</v>
      </c>
      <c r="J102" s="12">
        <f t="shared" si="127"/>
        <v>21.169999999999998</v>
      </c>
      <c r="K102" s="12">
        <f t="shared" si="127"/>
        <v>55.329999999999991</v>
      </c>
      <c r="L102" s="12">
        <f t="shared" si="127"/>
        <v>20.049999999999997</v>
      </c>
      <c r="M102" s="12">
        <f t="shared" si="127"/>
        <v>55.68</v>
      </c>
      <c r="N102" s="12">
        <f t="shared" si="127"/>
        <v>25.46</v>
      </c>
      <c r="O102" s="12">
        <f t="shared" si="127"/>
        <v>80.990000000000009</v>
      </c>
      <c r="P102" s="12">
        <f t="shared" si="127"/>
        <v>23.560000000000002</v>
      </c>
      <c r="Q102" s="12">
        <f t="shared" si="127"/>
        <v>55.510000000000012</v>
      </c>
      <c r="R102" s="12">
        <f t="shared" si="127"/>
        <v>99.370000000000019</v>
      </c>
      <c r="S102" s="12">
        <f t="shared" si="127"/>
        <v>96.07999999999997</v>
      </c>
      <c r="T102" s="12">
        <f t="shared" si="127"/>
        <v>84.110000000000014</v>
      </c>
      <c r="U102" s="12">
        <f t="shared" si="127"/>
        <v>188.19000000000003</v>
      </c>
      <c r="V102" s="12">
        <f t="shared" si="127"/>
        <v>227.96</v>
      </c>
      <c r="W102" s="12">
        <f t="shared" si="127"/>
        <v>220.26000000000002</v>
      </c>
      <c r="X102" s="12">
        <f t="shared" si="127"/>
        <v>105.82000000000001</v>
      </c>
      <c r="Y102" s="12">
        <f t="shared" si="127"/>
        <v>1.28</v>
      </c>
      <c r="Z102" s="12">
        <f t="shared" si="127"/>
        <v>1812.65</v>
      </c>
      <c r="AA102" s="22">
        <f t="shared" si="111"/>
        <v>1.5833179527632926E-2</v>
      </c>
      <c r="AB102" s="133"/>
      <c r="AC102" s="175">
        <f t="shared" si="112"/>
        <v>1257.33</v>
      </c>
      <c r="AD102" s="175">
        <f t="shared" si="113"/>
        <v>554.04000000000008</v>
      </c>
      <c r="AE102" s="12">
        <f t="shared" si="116"/>
        <v>1.28</v>
      </c>
      <c r="AF102" s="89"/>
      <c r="AG102" s="12">
        <f t="shared" ref="AG102:AG141" si="128">SUM(AC102:AF102)</f>
        <v>1812.6499999999999</v>
      </c>
      <c r="AH102" s="22">
        <f t="shared" si="118"/>
        <v>0.30565194604584456</v>
      </c>
    </row>
    <row r="103" spans="1:44" x14ac:dyDescent="0.35">
      <c r="A103" s="6" t="s">
        <v>33</v>
      </c>
      <c r="B103" s="12">
        <f t="shared" ref="B103:Z103" si="129">B407+B256</f>
        <v>2000.6399999999994</v>
      </c>
      <c r="C103" s="12">
        <f t="shared" si="129"/>
        <v>585.70000000000016</v>
      </c>
      <c r="D103" s="12">
        <f t="shared" si="129"/>
        <v>173.37000000000003</v>
      </c>
      <c r="E103" s="12">
        <f t="shared" si="129"/>
        <v>105.96999999999998</v>
      </c>
      <c r="F103" s="12">
        <f t="shared" si="129"/>
        <v>142.90999999999997</v>
      </c>
      <c r="G103" s="12">
        <f t="shared" si="129"/>
        <v>102.30999999999999</v>
      </c>
      <c r="H103" s="12">
        <f t="shared" si="129"/>
        <v>270.88</v>
      </c>
      <c r="I103" s="12">
        <f t="shared" si="129"/>
        <v>218.22</v>
      </c>
      <c r="J103" s="12">
        <f t="shared" si="129"/>
        <v>249.88000000000002</v>
      </c>
      <c r="K103" s="12">
        <f t="shared" si="129"/>
        <v>320.17000000000007</v>
      </c>
      <c r="L103" s="12">
        <f t="shared" si="129"/>
        <v>251.87</v>
      </c>
      <c r="M103" s="12">
        <f t="shared" si="129"/>
        <v>356.18999999999994</v>
      </c>
      <c r="N103" s="12">
        <f t="shared" si="129"/>
        <v>188.13</v>
      </c>
      <c r="O103" s="12">
        <f t="shared" si="129"/>
        <v>307.14999999999998</v>
      </c>
      <c r="P103" s="12">
        <f t="shared" si="129"/>
        <v>360.15000000000003</v>
      </c>
      <c r="Q103" s="12">
        <f t="shared" si="129"/>
        <v>583.09</v>
      </c>
      <c r="R103" s="12">
        <f t="shared" si="129"/>
        <v>884.2</v>
      </c>
      <c r="S103" s="12">
        <f t="shared" si="129"/>
        <v>851.84000000000015</v>
      </c>
      <c r="T103" s="12">
        <f t="shared" si="129"/>
        <v>900.49999999999989</v>
      </c>
      <c r="U103" s="12">
        <f t="shared" si="129"/>
        <v>890.56</v>
      </c>
      <c r="V103" s="12">
        <f t="shared" si="129"/>
        <v>823.17000000000007</v>
      </c>
      <c r="W103" s="12">
        <f t="shared" si="129"/>
        <v>1198.1399999999999</v>
      </c>
      <c r="X103" s="12">
        <f t="shared" si="129"/>
        <v>1194.4100000000001</v>
      </c>
      <c r="Y103" s="12">
        <f t="shared" si="129"/>
        <v>14.729999999999997</v>
      </c>
      <c r="Z103" s="12">
        <f t="shared" si="129"/>
        <v>12974.179999999998</v>
      </c>
      <c r="AA103" s="22">
        <f t="shared" si="111"/>
        <v>0.11332718459924669</v>
      </c>
      <c r="AB103" s="136"/>
      <c r="AC103" s="175">
        <f t="shared" si="112"/>
        <v>9743.7299999999977</v>
      </c>
      <c r="AD103" s="175">
        <f t="shared" si="113"/>
        <v>3215.7200000000003</v>
      </c>
      <c r="AE103" s="12">
        <f t="shared" si="116"/>
        <v>14.729999999999997</v>
      </c>
      <c r="AF103" s="89"/>
      <c r="AG103" s="12">
        <f t="shared" si="128"/>
        <v>12974.179999999997</v>
      </c>
      <c r="AH103" s="22">
        <f t="shared" si="118"/>
        <v>0.24785535579127166</v>
      </c>
    </row>
    <row r="104" spans="1:44" x14ac:dyDescent="0.35">
      <c r="A104" s="118" t="s">
        <v>13</v>
      </c>
      <c r="B104" s="119">
        <f t="shared" ref="B104:Z104" si="130">B408+B257</f>
        <v>3428.5100000000007</v>
      </c>
      <c r="C104" s="119">
        <f t="shared" si="130"/>
        <v>499.78000000000003</v>
      </c>
      <c r="D104" s="119">
        <f t="shared" si="130"/>
        <v>36.119999999999997</v>
      </c>
      <c r="E104" s="119">
        <f t="shared" si="130"/>
        <v>14.760000000000002</v>
      </c>
      <c r="F104" s="119">
        <f t="shared" si="130"/>
        <v>33.300000000000004</v>
      </c>
      <c r="G104" s="119">
        <f t="shared" si="130"/>
        <v>73.11999999999999</v>
      </c>
      <c r="H104" s="119">
        <f t="shared" si="130"/>
        <v>149.29000000000002</v>
      </c>
      <c r="I104" s="119">
        <f t="shared" si="130"/>
        <v>62.279999999999994</v>
      </c>
      <c r="J104" s="119">
        <f t="shared" si="130"/>
        <v>49.94</v>
      </c>
      <c r="K104" s="119">
        <f t="shared" si="130"/>
        <v>111.29</v>
      </c>
      <c r="L104" s="119">
        <f t="shared" si="130"/>
        <v>190.64000000000001</v>
      </c>
      <c r="M104" s="119">
        <f t="shared" si="130"/>
        <v>147.67000000000002</v>
      </c>
      <c r="N104" s="119">
        <f t="shared" si="130"/>
        <v>92.62</v>
      </c>
      <c r="O104" s="119">
        <f t="shared" si="130"/>
        <v>84.46</v>
      </c>
      <c r="P104" s="119">
        <f t="shared" si="130"/>
        <v>88.929999999999993</v>
      </c>
      <c r="Q104" s="119">
        <f t="shared" si="130"/>
        <v>298.90999999999997</v>
      </c>
      <c r="R104" s="119">
        <f t="shared" si="130"/>
        <v>437.12000000000006</v>
      </c>
      <c r="S104" s="119">
        <f t="shared" si="130"/>
        <v>846.11999999999989</v>
      </c>
      <c r="T104" s="119">
        <f t="shared" si="130"/>
        <v>714.64999999999986</v>
      </c>
      <c r="U104" s="119">
        <f t="shared" si="130"/>
        <v>778.58</v>
      </c>
      <c r="V104" s="119">
        <f t="shared" si="130"/>
        <v>337.64000000000004</v>
      </c>
      <c r="W104" s="119">
        <f t="shared" si="130"/>
        <v>322.25</v>
      </c>
      <c r="X104" s="119">
        <f t="shared" si="130"/>
        <v>180.67999999999998</v>
      </c>
      <c r="Y104" s="119">
        <f t="shared" si="130"/>
        <v>14.120000000000001</v>
      </c>
      <c r="Z104" s="119">
        <f t="shared" si="130"/>
        <v>8992.7800000000007</v>
      </c>
      <c r="AA104" s="144">
        <f t="shared" si="111"/>
        <v>7.8550354559626417E-2</v>
      </c>
      <c r="AB104" s="136"/>
      <c r="AC104" s="119">
        <f t="shared" si="112"/>
        <v>8138.09</v>
      </c>
      <c r="AD104" s="119">
        <f t="shared" si="113"/>
        <v>840.57</v>
      </c>
      <c r="AE104" s="119">
        <f t="shared" si="116"/>
        <v>14.120000000000001</v>
      </c>
      <c r="AF104" s="119">
        <v>102.53999999999999</v>
      </c>
      <c r="AG104" s="119">
        <f t="shared" si="128"/>
        <v>9095.3200000000015</v>
      </c>
      <c r="AH104" s="196">
        <f t="shared" si="118"/>
        <v>9.24178588548836E-2</v>
      </c>
    </row>
    <row r="105" spans="1:44" x14ac:dyDescent="0.35">
      <c r="A105" s="6" t="s">
        <v>34</v>
      </c>
      <c r="B105" s="12">
        <f t="shared" ref="B105:Z105" si="131">B409+B258</f>
        <v>2069.65</v>
      </c>
      <c r="C105" s="12">
        <f t="shared" si="131"/>
        <v>315.27999999999997</v>
      </c>
      <c r="D105" s="12">
        <f t="shared" si="131"/>
        <v>14.559999999999999</v>
      </c>
      <c r="E105" s="12">
        <f t="shared" si="131"/>
        <v>2.6</v>
      </c>
      <c r="F105" s="12">
        <f t="shared" si="131"/>
        <v>11.82</v>
      </c>
      <c r="G105" s="12">
        <f t="shared" si="131"/>
        <v>12.759999999999998</v>
      </c>
      <c r="H105" s="12">
        <f t="shared" si="131"/>
        <v>47.230000000000004</v>
      </c>
      <c r="I105" s="12">
        <f t="shared" si="131"/>
        <v>22.810000000000002</v>
      </c>
      <c r="J105" s="12">
        <f t="shared" si="131"/>
        <v>7.9599999999999991</v>
      </c>
      <c r="K105" s="12">
        <f t="shared" si="131"/>
        <v>42.820000000000007</v>
      </c>
      <c r="L105" s="12">
        <f t="shared" si="131"/>
        <v>67.92</v>
      </c>
      <c r="M105" s="12">
        <f t="shared" si="131"/>
        <v>23.78</v>
      </c>
      <c r="N105" s="12">
        <f t="shared" si="131"/>
        <v>17.489999999999998</v>
      </c>
      <c r="O105" s="12">
        <f t="shared" si="131"/>
        <v>36.67</v>
      </c>
      <c r="P105" s="12">
        <f t="shared" si="131"/>
        <v>13.020000000000001</v>
      </c>
      <c r="Q105" s="12">
        <f t="shared" si="131"/>
        <v>118.93999999999998</v>
      </c>
      <c r="R105" s="12">
        <f t="shared" si="131"/>
        <v>161.49000000000004</v>
      </c>
      <c r="S105" s="12">
        <f t="shared" si="131"/>
        <v>551.17999999999995</v>
      </c>
      <c r="T105" s="12">
        <f t="shared" si="131"/>
        <v>444.94</v>
      </c>
      <c r="U105" s="12">
        <f t="shared" si="131"/>
        <v>534.64</v>
      </c>
      <c r="V105" s="12">
        <f t="shared" si="131"/>
        <v>149.68</v>
      </c>
      <c r="W105" s="12">
        <f t="shared" si="131"/>
        <v>125.03000000000002</v>
      </c>
      <c r="X105" s="12">
        <f t="shared" si="131"/>
        <v>95.70999999999998</v>
      </c>
      <c r="Y105" s="12">
        <f t="shared" si="131"/>
        <v>5.62</v>
      </c>
      <c r="Z105" s="12">
        <f t="shared" si="131"/>
        <v>4893.6000000000004</v>
      </c>
      <c r="AA105" s="22">
        <f t="shared" si="111"/>
        <v>4.2744736897042716E-2</v>
      </c>
      <c r="AB105" s="136"/>
      <c r="AC105" s="175">
        <f t="shared" si="112"/>
        <v>4517.5600000000013</v>
      </c>
      <c r="AD105" s="175">
        <f t="shared" si="113"/>
        <v>370.42</v>
      </c>
      <c r="AE105" s="12">
        <f t="shared" si="116"/>
        <v>5.62</v>
      </c>
      <c r="AF105" s="89">
        <v>41.569800000000001</v>
      </c>
      <c r="AG105" s="12">
        <f t="shared" si="128"/>
        <v>4935.1698000000015</v>
      </c>
      <c r="AH105" s="22">
        <f t="shared" si="118"/>
        <v>7.505719458730678E-2</v>
      </c>
      <c r="AO105" s="342"/>
      <c r="AP105" s="342" t="s">
        <v>256</v>
      </c>
      <c r="AQ105" s="342" t="s">
        <v>96</v>
      </c>
      <c r="AR105" s="342" t="s">
        <v>257</v>
      </c>
    </row>
    <row r="106" spans="1:44" x14ac:dyDescent="0.35">
      <c r="A106" s="6" t="s">
        <v>61</v>
      </c>
      <c r="B106" s="12">
        <f t="shared" ref="B106:Z106" si="132">B410+B259</f>
        <v>440.37000000000023</v>
      </c>
      <c r="C106" s="12">
        <f t="shared" si="132"/>
        <v>46.9</v>
      </c>
      <c r="D106" s="12">
        <f t="shared" si="132"/>
        <v>11.579999999999998</v>
      </c>
      <c r="E106" s="12">
        <f t="shared" si="132"/>
        <v>7.6</v>
      </c>
      <c r="F106" s="12">
        <f t="shared" si="132"/>
        <v>4.8900000000000006</v>
      </c>
      <c r="G106" s="12">
        <f t="shared" si="132"/>
        <v>24.72</v>
      </c>
      <c r="H106" s="12">
        <f t="shared" si="132"/>
        <v>29.95</v>
      </c>
      <c r="I106" s="12">
        <f t="shared" si="132"/>
        <v>8.92</v>
      </c>
      <c r="J106" s="12">
        <f t="shared" si="132"/>
        <v>13.65</v>
      </c>
      <c r="K106" s="12">
        <f t="shared" si="132"/>
        <v>18.579999999999998</v>
      </c>
      <c r="L106" s="12">
        <f t="shared" si="132"/>
        <v>72.61</v>
      </c>
      <c r="M106" s="12">
        <f t="shared" si="132"/>
        <v>52.77</v>
      </c>
      <c r="N106" s="12">
        <f t="shared" si="132"/>
        <v>18.03</v>
      </c>
      <c r="O106" s="12">
        <f t="shared" si="132"/>
        <v>21.919999999999998</v>
      </c>
      <c r="P106" s="12">
        <f t="shared" si="132"/>
        <v>44.410000000000004</v>
      </c>
      <c r="Q106" s="12">
        <f t="shared" si="132"/>
        <v>90.520000000000024</v>
      </c>
      <c r="R106" s="12">
        <f t="shared" si="132"/>
        <v>98.159999999999982</v>
      </c>
      <c r="S106" s="12">
        <f t="shared" si="132"/>
        <v>116.92999999999999</v>
      </c>
      <c r="T106" s="12">
        <f t="shared" si="132"/>
        <v>92.039999999999978</v>
      </c>
      <c r="U106" s="12">
        <f t="shared" si="132"/>
        <v>93.149999999999991</v>
      </c>
      <c r="V106" s="12">
        <f t="shared" si="132"/>
        <v>62.349999999999994</v>
      </c>
      <c r="W106" s="12">
        <f t="shared" si="132"/>
        <v>57.019999999999996</v>
      </c>
      <c r="X106" s="12">
        <f t="shared" si="132"/>
        <v>26.88</v>
      </c>
      <c r="Y106" s="12">
        <f t="shared" si="132"/>
        <v>3.1599999999999997</v>
      </c>
      <c r="Z106" s="12">
        <f t="shared" si="132"/>
        <v>1457.1100000000001</v>
      </c>
      <c r="AA106" s="22">
        <f t="shared" si="111"/>
        <v>1.2727600044966878E-2</v>
      </c>
      <c r="AB106" s="133"/>
      <c r="AC106" s="175">
        <f t="shared" si="112"/>
        <v>1307.7</v>
      </c>
      <c r="AD106" s="175">
        <f t="shared" si="113"/>
        <v>146.25</v>
      </c>
      <c r="AE106" s="12">
        <f t="shared" si="116"/>
        <v>3.1599999999999997</v>
      </c>
      <c r="AF106" s="89">
        <v>15.085899999999999</v>
      </c>
      <c r="AG106" s="12">
        <f t="shared" si="128"/>
        <v>1472.1959000000002</v>
      </c>
      <c r="AH106" s="22">
        <f t="shared" si="118"/>
        <v>9.9341398790745161E-2</v>
      </c>
      <c r="AJ106" s="210" t="s">
        <v>255</v>
      </c>
      <c r="AO106" s="118" t="s">
        <v>5</v>
      </c>
      <c r="AP106" s="343">
        <v>11357.89</v>
      </c>
      <c r="AQ106" s="343">
        <v>31217.041899999997</v>
      </c>
      <c r="AR106" s="190">
        <f>AP106/AQ106</f>
        <v>0.3638362031989969</v>
      </c>
    </row>
    <row r="107" spans="1:44" x14ac:dyDescent="0.35">
      <c r="A107" s="6" t="s">
        <v>36</v>
      </c>
      <c r="B107" s="12">
        <f t="shared" ref="B107:Z107" si="133">B411+B260</f>
        <v>918.49000000000012</v>
      </c>
      <c r="C107" s="12">
        <f t="shared" si="133"/>
        <v>137.60000000000002</v>
      </c>
      <c r="D107" s="12">
        <f t="shared" si="133"/>
        <v>9.98</v>
      </c>
      <c r="E107" s="12">
        <f t="shared" si="133"/>
        <v>4.5600000000000005</v>
      </c>
      <c r="F107" s="12">
        <f t="shared" si="133"/>
        <v>16.590000000000003</v>
      </c>
      <c r="G107" s="12">
        <f t="shared" si="133"/>
        <v>35.64</v>
      </c>
      <c r="H107" s="12">
        <f t="shared" si="133"/>
        <v>72.11</v>
      </c>
      <c r="I107" s="12">
        <f t="shared" si="133"/>
        <v>30.549999999999997</v>
      </c>
      <c r="J107" s="12">
        <f t="shared" si="133"/>
        <v>28.33</v>
      </c>
      <c r="K107" s="12">
        <f t="shared" si="133"/>
        <v>49.89</v>
      </c>
      <c r="L107" s="12">
        <f t="shared" si="133"/>
        <v>50.11</v>
      </c>
      <c r="M107" s="12">
        <f t="shared" si="133"/>
        <v>71.12</v>
      </c>
      <c r="N107" s="12">
        <f t="shared" si="133"/>
        <v>57.1</v>
      </c>
      <c r="O107" s="12">
        <f t="shared" si="133"/>
        <v>25.869999999999997</v>
      </c>
      <c r="P107" s="12">
        <f t="shared" si="133"/>
        <v>31.499999999999996</v>
      </c>
      <c r="Q107" s="12">
        <f t="shared" si="133"/>
        <v>89.449999999999989</v>
      </c>
      <c r="R107" s="12">
        <f t="shared" si="133"/>
        <v>177.47000000000003</v>
      </c>
      <c r="S107" s="12">
        <f t="shared" si="133"/>
        <v>178.01</v>
      </c>
      <c r="T107" s="12">
        <f t="shared" si="133"/>
        <v>177.67</v>
      </c>
      <c r="U107" s="12">
        <f t="shared" si="133"/>
        <v>150.78999999999996</v>
      </c>
      <c r="V107" s="12">
        <f t="shared" si="133"/>
        <v>125.61000000000004</v>
      </c>
      <c r="W107" s="12">
        <f t="shared" si="133"/>
        <v>140.20000000000002</v>
      </c>
      <c r="X107" s="12">
        <f t="shared" si="133"/>
        <v>58.089999999999996</v>
      </c>
      <c r="Y107" s="12">
        <f t="shared" si="133"/>
        <v>5.34</v>
      </c>
      <c r="Z107" s="12">
        <f t="shared" si="133"/>
        <v>2642.07</v>
      </c>
      <c r="AA107" s="22">
        <f t="shared" si="111"/>
        <v>2.3078017617616818E-2</v>
      </c>
      <c r="AB107" s="136"/>
      <c r="AC107" s="175">
        <f t="shared" si="112"/>
        <v>2312.8299999999995</v>
      </c>
      <c r="AD107" s="175">
        <f t="shared" si="113"/>
        <v>323.90000000000003</v>
      </c>
      <c r="AE107" s="12">
        <f t="shared" si="116"/>
        <v>5.34</v>
      </c>
      <c r="AF107" s="89">
        <v>45.884300000000003</v>
      </c>
      <c r="AG107" s="12">
        <f t="shared" si="128"/>
        <v>2687.9542999999999</v>
      </c>
      <c r="AH107" s="22">
        <f t="shared" si="118"/>
        <v>0.12050056059360832</v>
      </c>
      <c r="AK107" t="s">
        <v>256</v>
      </c>
      <c r="AL107" t="s">
        <v>96</v>
      </c>
      <c r="AM107" t="s">
        <v>257</v>
      </c>
      <c r="AO107" s="118" t="s">
        <v>12</v>
      </c>
      <c r="AP107" s="343">
        <v>6554.4699999999993</v>
      </c>
      <c r="AQ107" s="343">
        <v>21715.67</v>
      </c>
      <c r="AR107" s="190">
        <f t="shared" ref="AR107:AR110" si="134">AP107/AQ107</f>
        <v>0.30183135035667791</v>
      </c>
    </row>
    <row r="108" spans="1:44" x14ac:dyDescent="0.35">
      <c r="A108" s="118" t="s">
        <v>14</v>
      </c>
      <c r="B108" s="119">
        <f t="shared" ref="B108:Z108" si="135">B412+B261</f>
        <v>2254.349999999999</v>
      </c>
      <c r="C108" s="119">
        <f t="shared" si="135"/>
        <v>208.25000000000003</v>
      </c>
      <c r="D108" s="119">
        <f t="shared" si="135"/>
        <v>22.28</v>
      </c>
      <c r="E108" s="119">
        <f t="shared" si="135"/>
        <v>17.52</v>
      </c>
      <c r="F108" s="119">
        <f t="shared" si="135"/>
        <v>48.57</v>
      </c>
      <c r="G108" s="119">
        <f t="shared" si="135"/>
        <v>37.33</v>
      </c>
      <c r="H108" s="119">
        <f t="shared" si="135"/>
        <v>74.339999999999989</v>
      </c>
      <c r="I108" s="119">
        <f t="shared" si="135"/>
        <v>49.730000000000004</v>
      </c>
      <c r="J108" s="119">
        <f t="shared" si="135"/>
        <v>85.309999999999988</v>
      </c>
      <c r="K108" s="119">
        <f t="shared" si="135"/>
        <v>186.69</v>
      </c>
      <c r="L108" s="119">
        <f t="shared" si="135"/>
        <v>90.210000000000022</v>
      </c>
      <c r="M108" s="119">
        <f t="shared" si="135"/>
        <v>102.65</v>
      </c>
      <c r="N108" s="119">
        <f t="shared" si="135"/>
        <v>142.51</v>
      </c>
      <c r="O108" s="119">
        <f t="shared" si="135"/>
        <v>103.93</v>
      </c>
      <c r="P108" s="119">
        <f t="shared" si="135"/>
        <v>286.77999999999997</v>
      </c>
      <c r="Q108" s="119">
        <f t="shared" si="135"/>
        <v>482.24999999999994</v>
      </c>
      <c r="R108" s="119">
        <f t="shared" si="135"/>
        <v>801.63000000000011</v>
      </c>
      <c r="S108" s="119">
        <f t="shared" si="135"/>
        <v>1317.4900000000002</v>
      </c>
      <c r="T108" s="119">
        <f t="shared" si="135"/>
        <v>1649.7700000000002</v>
      </c>
      <c r="U108" s="119">
        <f t="shared" si="135"/>
        <v>818.56</v>
      </c>
      <c r="V108" s="119">
        <f t="shared" si="135"/>
        <v>765.7600000000001</v>
      </c>
      <c r="W108" s="119">
        <f t="shared" si="135"/>
        <v>1239.94</v>
      </c>
      <c r="X108" s="119">
        <f t="shared" si="135"/>
        <v>616.17000000000007</v>
      </c>
      <c r="Y108" s="119">
        <f t="shared" si="135"/>
        <v>0.08</v>
      </c>
      <c r="Z108" s="119">
        <f t="shared" si="135"/>
        <v>11402.099999999999</v>
      </c>
      <c r="AA108" s="144">
        <f t="shared" si="111"/>
        <v>9.9595341788002834E-2</v>
      </c>
      <c r="AB108" s="136"/>
      <c r="AC108" s="119">
        <f t="shared" si="112"/>
        <v>8780.15</v>
      </c>
      <c r="AD108" s="119">
        <f t="shared" si="113"/>
        <v>2621.8700000000003</v>
      </c>
      <c r="AE108" s="119">
        <f t="shared" si="116"/>
        <v>0.08</v>
      </c>
      <c r="AF108" s="119"/>
      <c r="AG108" s="119">
        <f t="shared" si="128"/>
        <v>11402.1</v>
      </c>
      <c r="AH108" s="196">
        <f t="shared" si="118"/>
        <v>0.22994623797370661</v>
      </c>
      <c r="AJ108" s="6" t="s">
        <v>30</v>
      </c>
      <c r="AK108" s="175">
        <v>4942.32</v>
      </c>
      <c r="AL108" s="12">
        <v>11457.049999999997</v>
      </c>
      <c r="AM108" s="382">
        <f>AK108/AL108</f>
        <v>0.43137805979724281</v>
      </c>
      <c r="AO108" s="118" t="s">
        <v>15</v>
      </c>
      <c r="AP108" s="343">
        <v>4822.41</v>
      </c>
      <c r="AQ108" s="343">
        <v>21648.27</v>
      </c>
      <c r="AR108" s="190">
        <f t="shared" si="134"/>
        <v>0.22276191122893421</v>
      </c>
    </row>
    <row r="109" spans="1:44" x14ac:dyDescent="0.35">
      <c r="A109" s="6" t="s">
        <v>37</v>
      </c>
      <c r="B109" s="12">
        <f t="shared" ref="B109:Z109" si="136">B413+B262</f>
        <v>9.6100000000000012</v>
      </c>
      <c r="C109" s="12">
        <f t="shared" si="136"/>
        <v>0.06</v>
      </c>
      <c r="D109" s="12">
        <f t="shared" si="136"/>
        <v>0</v>
      </c>
      <c r="E109" s="12">
        <f t="shared" si="136"/>
        <v>0.01</v>
      </c>
      <c r="F109" s="12">
        <f t="shared" si="136"/>
        <v>0</v>
      </c>
      <c r="G109" s="12">
        <f t="shared" si="136"/>
        <v>0</v>
      </c>
      <c r="H109" s="12">
        <f t="shared" si="136"/>
        <v>0</v>
      </c>
      <c r="I109" s="12">
        <f t="shared" si="136"/>
        <v>0</v>
      </c>
      <c r="J109" s="12">
        <f t="shared" si="136"/>
        <v>0</v>
      </c>
      <c r="K109" s="12">
        <f t="shared" si="136"/>
        <v>0</v>
      </c>
      <c r="L109" s="12">
        <f t="shared" si="136"/>
        <v>0</v>
      </c>
      <c r="M109" s="12">
        <f t="shared" si="136"/>
        <v>0.48</v>
      </c>
      <c r="N109" s="12">
        <f t="shared" si="136"/>
        <v>0</v>
      </c>
      <c r="O109" s="12">
        <f t="shared" si="136"/>
        <v>0</v>
      </c>
      <c r="P109" s="12">
        <f t="shared" si="136"/>
        <v>0</v>
      </c>
      <c r="Q109" s="12">
        <f t="shared" si="136"/>
        <v>0</v>
      </c>
      <c r="R109" s="12">
        <f t="shared" si="136"/>
        <v>5.67</v>
      </c>
      <c r="S109" s="12">
        <f t="shared" si="136"/>
        <v>0</v>
      </c>
      <c r="T109" s="12">
        <f t="shared" si="136"/>
        <v>0.44</v>
      </c>
      <c r="U109" s="12">
        <f t="shared" si="136"/>
        <v>0</v>
      </c>
      <c r="V109" s="12">
        <f t="shared" si="136"/>
        <v>2.62</v>
      </c>
      <c r="W109" s="12">
        <f t="shared" si="136"/>
        <v>2.2999999999999998</v>
      </c>
      <c r="X109" s="12">
        <f t="shared" si="136"/>
        <v>0</v>
      </c>
      <c r="Y109" s="12">
        <f t="shared" si="136"/>
        <v>0</v>
      </c>
      <c r="Z109" s="12">
        <f t="shared" si="136"/>
        <v>21.190000000000005</v>
      </c>
      <c r="AA109" s="22">
        <f t="shared" si="111"/>
        <v>1.8509092995919882E-4</v>
      </c>
      <c r="AB109" s="136"/>
      <c r="AC109" s="175">
        <f t="shared" si="112"/>
        <v>16.270000000000003</v>
      </c>
      <c r="AD109" s="175">
        <f t="shared" si="113"/>
        <v>4.92</v>
      </c>
      <c r="AE109" s="12">
        <f t="shared" si="116"/>
        <v>0</v>
      </c>
      <c r="AF109" s="89"/>
      <c r="AG109" s="12">
        <f t="shared" si="128"/>
        <v>21.190000000000005</v>
      </c>
      <c r="AH109" s="22">
        <f t="shared" si="118"/>
        <v>0.23218499292118919</v>
      </c>
      <c r="AJ109" s="6" t="s">
        <v>8</v>
      </c>
      <c r="AK109" s="175">
        <v>3805.02</v>
      </c>
      <c r="AL109" s="12">
        <v>7682.93</v>
      </c>
      <c r="AM109" s="382">
        <f t="shared" ref="AM109:AM127" si="137">AK109/AL109</f>
        <v>0.49525636703705483</v>
      </c>
      <c r="AO109" s="118" t="s">
        <v>17</v>
      </c>
      <c r="AP109" s="343">
        <v>3672.6199999999994</v>
      </c>
      <c r="AQ109" s="343">
        <v>8452.99</v>
      </c>
      <c r="AR109" s="190">
        <f t="shared" si="134"/>
        <v>0.43447584819099511</v>
      </c>
    </row>
    <row r="110" spans="1:44" x14ac:dyDescent="0.35">
      <c r="A110" s="6" t="s">
        <v>38</v>
      </c>
      <c r="B110" s="12">
        <f t="shared" ref="B110:Z110" si="138">B414+B263</f>
        <v>1.48</v>
      </c>
      <c r="C110" s="12">
        <f t="shared" si="138"/>
        <v>0.27</v>
      </c>
      <c r="D110" s="12">
        <f t="shared" si="138"/>
        <v>0</v>
      </c>
      <c r="E110" s="12">
        <f t="shared" si="138"/>
        <v>0</v>
      </c>
      <c r="F110" s="12">
        <f t="shared" si="138"/>
        <v>0</v>
      </c>
      <c r="G110" s="12">
        <f t="shared" si="138"/>
        <v>0</v>
      </c>
      <c r="H110" s="12">
        <f t="shared" si="138"/>
        <v>0.38</v>
      </c>
      <c r="I110" s="12">
        <f t="shared" si="138"/>
        <v>0</v>
      </c>
      <c r="J110" s="12">
        <f t="shared" si="138"/>
        <v>0</v>
      </c>
      <c r="K110" s="12">
        <f t="shared" si="138"/>
        <v>0</v>
      </c>
      <c r="L110" s="12">
        <f t="shared" si="138"/>
        <v>0</v>
      </c>
      <c r="M110" s="12">
        <f t="shared" si="138"/>
        <v>0</v>
      </c>
      <c r="N110" s="12">
        <f t="shared" si="138"/>
        <v>0</v>
      </c>
      <c r="O110" s="12">
        <f t="shared" si="138"/>
        <v>0</v>
      </c>
      <c r="P110" s="12">
        <f t="shared" si="138"/>
        <v>0</v>
      </c>
      <c r="Q110" s="12">
        <f t="shared" si="138"/>
        <v>1.1200000000000001</v>
      </c>
      <c r="R110" s="12">
        <f t="shared" si="138"/>
        <v>0</v>
      </c>
      <c r="S110" s="12">
        <f t="shared" si="138"/>
        <v>0</v>
      </c>
      <c r="T110" s="12">
        <f t="shared" si="138"/>
        <v>2.44</v>
      </c>
      <c r="U110" s="12">
        <f t="shared" si="138"/>
        <v>0.09</v>
      </c>
      <c r="V110" s="12">
        <f t="shared" si="138"/>
        <v>2.0499999999999998</v>
      </c>
      <c r="W110" s="12">
        <f t="shared" si="138"/>
        <v>23.16</v>
      </c>
      <c r="X110" s="12">
        <f t="shared" si="138"/>
        <v>1.7300000000000002</v>
      </c>
      <c r="Y110" s="12">
        <f t="shared" si="138"/>
        <v>0</v>
      </c>
      <c r="Z110" s="12">
        <f t="shared" si="138"/>
        <v>32.72</v>
      </c>
      <c r="AA110" s="22">
        <f t="shared" si="111"/>
        <v>2.8580345579353394E-4</v>
      </c>
      <c r="AB110" s="133"/>
      <c r="AC110" s="175">
        <f t="shared" si="112"/>
        <v>5.7799999999999994</v>
      </c>
      <c r="AD110" s="175">
        <f t="shared" si="113"/>
        <v>26.94</v>
      </c>
      <c r="AE110" s="12">
        <f t="shared" si="116"/>
        <v>0</v>
      </c>
      <c r="AF110" s="89"/>
      <c r="AG110" s="12">
        <f t="shared" si="128"/>
        <v>32.72</v>
      </c>
      <c r="AH110" s="22">
        <f t="shared" si="118"/>
        <v>0.82334963325183386</v>
      </c>
      <c r="AJ110" s="6" t="s">
        <v>33</v>
      </c>
      <c r="AK110" s="175">
        <v>3215.7200000000003</v>
      </c>
      <c r="AL110" s="12">
        <v>12974.179999999997</v>
      </c>
      <c r="AM110" s="382">
        <f t="shared" si="137"/>
        <v>0.24785535579127166</v>
      </c>
      <c r="AO110" s="118" t="s">
        <v>14</v>
      </c>
      <c r="AP110" s="343">
        <v>2621.8700000000003</v>
      </c>
      <c r="AQ110" s="343">
        <v>11402.1</v>
      </c>
      <c r="AR110" s="190">
        <f t="shared" si="134"/>
        <v>0.22994623797370661</v>
      </c>
    </row>
    <row r="111" spans="1:44" x14ac:dyDescent="0.35">
      <c r="A111" s="6" t="s">
        <v>39</v>
      </c>
      <c r="B111" s="12">
        <f t="shared" ref="B111:Z111" si="139">B415+B264</f>
        <v>927.75999999999954</v>
      </c>
      <c r="C111" s="12">
        <f t="shared" si="139"/>
        <v>102.24</v>
      </c>
      <c r="D111" s="12">
        <f t="shared" si="139"/>
        <v>11.44</v>
      </c>
      <c r="E111" s="12">
        <f t="shared" si="139"/>
        <v>5.1100000000000003</v>
      </c>
      <c r="F111" s="12">
        <f t="shared" si="139"/>
        <v>38.800000000000004</v>
      </c>
      <c r="G111" s="12">
        <f t="shared" si="139"/>
        <v>11.860000000000001</v>
      </c>
      <c r="H111" s="12">
        <f t="shared" si="139"/>
        <v>39.489999999999995</v>
      </c>
      <c r="I111" s="12">
        <f t="shared" si="139"/>
        <v>32.67</v>
      </c>
      <c r="J111" s="12">
        <f t="shared" si="139"/>
        <v>62.019999999999996</v>
      </c>
      <c r="K111" s="12">
        <f t="shared" si="139"/>
        <v>144.59</v>
      </c>
      <c r="L111" s="12">
        <f t="shared" si="139"/>
        <v>74.670000000000016</v>
      </c>
      <c r="M111" s="12">
        <f t="shared" si="139"/>
        <v>76.44</v>
      </c>
      <c r="N111" s="12">
        <f t="shared" si="139"/>
        <v>104.58000000000001</v>
      </c>
      <c r="O111" s="12">
        <f t="shared" si="139"/>
        <v>61.330000000000013</v>
      </c>
      <c r="P111" s="12">
        <f t="shared" si="139"/>
        <v>214.09</v>
      </c>
      <c r="Q111" s="12">
        <f t="shared" si="139"/>
        <v>361.49</v>
      </c>
      <c r="R111" s="12">
        <f t="shared" si="139"/>
        <v>513.18000000000006</v>
      </c>
      <c r="S111" s="12">
        <f t="shared" si="139"/>
        <v>956.43000000000018</v>
      </c>
      <c r="T111" s="12">
        <f t="shared" si="139"/>
        <v>1236.46</v>
      </c>
      <c r="U111" s="12">
        <f t="shared" si="139"/>
        <v>608.59999999999991</v>
      </c>
      <c r="V111" s="12">
        <f t="shared" si="139"/>
        <v>448.69</v>
      </c>
      <c r="W111" s="12">
        <f t="shared" si="139"/>
        <v>972.76</v>
      </c>
      <c r="X111" s="12">
        <f t="shared" si="139"/>
        <v>495.25000000000006</v>
      </c>
      <c r="Y111" s="12">
        <f t="shared" si="139"/>
        <v>0.08</v>
      </c>
      <c r="Z111" s="12">
        <f t="shared" si="139"/>
        <v>7500.0299999999988</v>
      </c>
      <c r="AA111" s="22">
        <f t="shared" si="111"/>
        <v>6.551144537149077E-2</v>
      </c>
      <c r="AB111" s="136"/>
      <c r="AC111" s="175">
        <f t="shared" si="112"/>
        <v>5583.25</v>
      </c>
      <c r="AD111" s="175">
        <f t="shared" si="113"/>
        <v>1916.7</v>
      </c>
      <c r="AE111" s="12">
        <f t="shared" si="116"/>
        <v>0.08</v>
      </c>
      <c r="AF111" s="89"/>
      <c r="AG111" s="12">
        <f t="shared" si="128"/>
        <v>7500.03</v>
      </c>
      <c r="AH111" s="22">
        <f t="shared" si="118"/>
        <v>0.25555897776408898</v>
      </c>
      <c r="AJ111" s="6" t="s">
        <v>31</v>
      </c>
      <c r="AK111" s="175">
        <v>2784.7099999999996</v>
      </c>
      <c r="AL111" s="12">
        <v>6928.84</v>
      </c>
      <c r="AM111" s="382">
        <f t="shared" si="137"/>
        <v>0.40190132836087994</v>
      </c>
    </row>
    <row r="112" spans="1:44" x14ac:dyDescent="0.35">
      <c r="A112" s="6" t="s">
        <v>40</v>
      </c>
      <c r="B112" s="12">
        <f t="shared" ref="B112:Z112" si="140">B416+B265</f>
        <v>1315.4999999999993</v>
      </c>
      <c r="C112" s="12">
        <f t="shared" si="140"/>
        <v>105.68000000000002</v>
      </c>
      <c r="D112" s="12">
        <f t="shared" si="140"/>
        <v>10.84</v>
      </c>
      <c r="E112" s="12">
        <f t="shared" si="140"/>
        <v>12.399999999999999</v>
      </c>
      <c r="F112" s="12">
        <f t="shared" si="140"/>
        <v>9.77</v>
      </c>
      <c r="G112" s="12">
        <f t="shared" si="140"/>
        <v>25.47</v>
      </c>
      <c r="H112" s="12">
        <f t="shared" si="140"/>
        <v>34.47</v>
      </c>
      <c r="I112" s="12">
        <f t="shared" si="140"/>
        <v>17.059999999999999</v>
      </c>
      <c r="J112" s="12">
        <f t="shared" si="140"/>
        <v>23.29</v>
      </c>
      <c r="K112" s="12">
        <f t="shared" si="140"/>
        <v>42.099999999999994</v>
      </c>
      <c r="L112" s="12">
        <f t="shared" si="140"/>
        <v>15.540000000000001</v>
      </c>
      <c r="M112" s="12">
        <f t="shared" si="140"/>
        <v>25.729999999999997</v>
      </c>
      <c r="N112" s="12">
        <f t="shared" si="140"/>
        <v>37.929999999999993</v>
      </c>
      <c r="O112" s="12">
        <f t="shared" si="140"/>
        <v>42.599999999999994</v>
      </c>
      <c r="P112" s="12">
        <f t="shared" si="140"/>
        <v>72.69</v>
      </c>
      <c r="Q112" s="12">
        <f t="shared" si="140"/>
        <v>119.63999999999999</v>
      </c>
      <c r="R112" s="12">
        <f t="shared" si="140"/>
        <v>282.77999999999997</v>
      </c>
      <c r="S112" s="12">
        <f t="shared" si="140"/>
        <v>361.06</v>
      </c>
      <c r="T112" s="12">
        <f t="shared" si="140"/>
        <v>410.43000000000012</v>
      </c>
      <c r="U112" s="12">
        <f t="shared" si="140"/>
        <v>209.86999999999995</v>
      </c>
      <c r="V112" s="12">
        <f t="shared" si="140"/>
        <v>312.40000000000009</v>
      </c>
      <c r="W112" s="12">
        <f t="shared" si="140"/>
        <v>241.71999999999997</v>
      </c>
      <c r="X112" s="12">
        <f t="shared" si="140"/>
        <v>119.19000000000001</v>
      </c>
      <c r="Y112" s="12">
        <f t="shared" si="140"/>
        <v>0</v>
      </c>
      <c r="Z112" s="12">
        <f t="shared" si="140"/>
        <v>3848.1599999999989</v>
      </c>
      <c r="AA112" s="22">
        <f t="shared" si="111"/>
        <v>3.3613002030759329E-2</v>
      </c>
      <c r="AB112" s="136"/>
      <c r="AC112" s="175">
        <f t="shared" si="112"/>
        <v>3174.849999999999</v>
      </c>
      <c r="AD112" s="175">
        <f t="shared" si="113"/>
        <v>673.31000000000017</v>
      </c>
      <c r="AE112" s="12">
        <f t="shared" si="116"/>
        <v>0</v>
      </c>
      <c r="AF112" s="89"/>
      <c r="AG112" s="12">
        <f t="shared" si="128"/>
        <v>3848.1599999999989</v>
      </c>
      <c r="AH112" s="22">
        <f t="shared" si="118"/>
        <v>0.17496933599434544</v>
      </c>
      <c r="AJ112" s="6" t="s">
        <v>55</v>
      </c>
      <c r="AK112" s="175">
        <v>2479.35</v>
      </c>
      <c r="AL112" s="12">
        <v>5825.8300000000008</v>
      </c>
      <c r="AM112" s="382">
        <f t="shared" si="137"/>
        <v>0.42557884455948758</v>
      </c>
    </row>
    <row r="113" spans="1:39" x14ac:dyDescent="0.35">
      <c r="A113" s="118" t="s">
        <v>15</v>
      </c>
      <c r="B113" s="119">
        <f t="shared" ref="B113:Z113" si="141">B417+B266</f>
        <v>1637.75</v>
      </c>
      <c r="C113" s="119">
        <f t="shared" si="141"/>
        <v>574.06000000000006</v>
      </c>
      <c r="D113" s="119">
        <f t="shared" si="141"/>
        <v>102.26</v>
      </c>
      <c r="E113" s="119">
        <f t="shared" si="141"/>
        <v>123.68999999999997</v>
      </c>
      <c r="F113" s="119">
        <f t="shared" si="141"/>
        <v>53.68</v>
      </c>
      <c r="G113" s="119">
        <f t="shared" si="141"/>
        <v>203.21</v>
      </c>
      <c r="H113" s="119">
        <f t="shared" si="141"/>
        <v>257.77000000000004</v>
      </c>
      <c r="I113" s="119">
        <f t="shared" si="141"/>
        <v>269.12</v>
      </c>
      <c r="J113" s="119">
        <f t="shared" si="141"/>
        <v>361.85</v>
      </c>
      <c r="K113" s="119">
        <f t="shared" si="141"/>
        <v>266.88</v>
      </c>
      <c r="L113" s="119">
        <f t="shared" si="141"/>
        <v>202.98</v>
      </c>
      <c r="M113" s="119">
        <f t="shared" si="141"/>
        <v>232.87</v>
      </c>
      <c r="N113" s="119">
        <f t="shared" si="141"/>
        <v>239.96000000000004</v>
      </c>
      <c r="O113" s="119">
        <f t="shared" si="141"/>
        <v>335.30999999999995</v>
      </c>
      <c r="P113" s="119">
        <f t="shared" si="141"/>
        <v>430.3900000000001</v>
      </c>
      <c r="Q113" s="119">
        <f t="shared" si="141"/>
        <v>1013.5300000000002</v>
      </c>
      <c r="R113" s="119">
        <f t="shared" si="141"/>
        <v>2550.4699999999998</v>
      </c>
      <c r="S113" s="119">
        <f t="shared" si="141"/>
        <v>3808.1100000000006</v>
      </c>
      <c r="T113" s="119">
        <f t="shared" si="141"/>
        <v>2655.54</v>
      </c>
      <c r="U113" s="119">
        <f t="shared" si="141"/>
        <v>1486.24</v>
      </c>
      <c r="V113" s="119">
        <f t="shared" si="141"/>
        <v>1562.2500000000002</v>
      </c>
      <c r="W113" s="119">
        <f t="shared" si="141"/>
        <v>1822.25</v>
      </c>
      <c r="X113" s="119">
        <f t="shared" si="141"/>
        <v>1437.9099999999999</v>
      </c>
      <c r="Y113" s="119">
        <f t="shared" si="141"/>
        <v>11.370000000000001</v>
      </c>
      <c r="Z113" s="119">
        <f t="shared" si="141"/>
        <v>21639.449999999997</v>
      </c>
      <c r="AA113" s="144">
        <f t="shared" si="111"/>
        <v>0.18901679680536024</v>
      </c>
      <c r="AC113" s="119">
        <f t="shared" si="112"/>
        <v>16805.670000000002</v>
      </c>
      <c r="AD113" s="119">
        <f t="shared" si="113"/>
        <v>4822.41</v>
      </c>
      <c r="AE113" s="119">
        <f t="shared" si="116"/>
        <v>11.370000000000001</v>
      </c>
      <c r="AF113" s="119">
        <v>8.82</v>
      </c>
      <c r="AG113" s="119">
        <f t="shared" si="128"/>
        <v>21648.27</v>
      </c>
      <c r="AH113" s="196">
        <f t="shared" si="118"/>
        <v>0.22276191122893421</v>
      </c>
      <c r="AJ113" s="6" t="s">
        <v>41</v>
      </c>
      <c r="AK113" s="175">
        <v>2125.34</v>
      </c>
      <c r="AL113" s="12">
        <v>13011.749999999998</v>
      </c>
      <c r="AM113" s="382">
        <f t="shared" si="137"/>
        <v>0.1633400580244779</v>
      </c>
    </row>
    <row r="114" spans="1:39" x14ac:dyDescent="0.35">
      <c r="A114" s="6" t="s">
        <v>41</v>
      </c>
      <c r="B114" s="12">
        <f t="shared" ref="B114:Z114" si="142">B418+B267</f>
        <v>1374.3200000000002</v>
      </c>
      <c r="C114" s="12">
        <f t="shared" si="142"/>
        <v>448.18</v>
      </c>
      <c r="D114" s="12">
        <f t="shared" si="142"/>
        <v>68.69</v>
      </c>
      <c r="E114" s="12">
        <f t="shared" si="142"/>
        <v>116.04999999999997</v>
      </c>
      <c r="F114" s="12">
        <f t="shared" si="142"/>
        <v>35.21</v>
      </c>
      <c r="G114" s="12">
        <f t="shared" si="142"/>
        <v>181.14999999999998</v>
      </c>
      <c r="H114" s="12">
        <f t="shared" si="142"/>
        <v>175.81</v>
      </c>
      <c r="I114" s="12">
        <f t="shared" si="142"/>
        <v>202.89999999999998</v>
      </c>
      <c r="J114" s="12">
        <f t="shared" si="142"/>
        <v>223.03999999999996</v>
      </c>
      <c r="K114" s="12">
        <f t="shared" si="142"/>
        <v>220.6</v>
      </c>
      <c r="L114" s="12">
        <f t="shared" si="142"/>
        <v>146.35999999999999</v>
      </c>
      <c r="M114" s="12">
        <f t="shared" si="142"/>
        <v>142.85000000000002</v>
      </c>
      <c r="N114" s="12">
        <f t="shared" si="142"/>
        <v>179.31000000000003</v>
      </c>
      <c r="O114" s="12">
        <f t="shared" si="142"/>
        <v>265.7</v>
      </c>
      <c r="P114" s="12">
        <f t="shared" si="142"/>
        <v>333.99000000000007</v>
      </c>
      <c r="Q114" s="12">
        <f t="shared" si="142"/>
        <v>680.80000000000018</v>
      </c>
      <c r="R114" s="12">
        <f t="shared" si="142"/>
        <v>1300.5199999999998</v>
      </c>
      <c r="S114" s="12">
        <f t="shared" si="142"/>
        <v>2364.3000000000002</v>
      </c>
      <c r="T114" s="12">
        <f t="shared" si="142"/>
        <v>1608.18</v>
      </c>
      <c r="U114" s="12">
        <f t="shared" si="142"/>
        <v>813.3</v>
      </c>
      <c r="V114" s="12">
        <f t="shared" si="142"/>
        <v>911.83000000000015</v>
      </c>
      <c r="W114" s="12">
        <f t="shared" si="142"/>
        <v>605</v>
      </c>
      <c r="X114" s="12">
        <f t="shared" si="142"/>
        <v>608.51</v>
      </c>
      <c r="Y114" s="12">
        <f t="shared" si="142"/>
        <v>3.81</v>
      </c>
      <c r="Z114" s="12">
        <f t="shared" si="142"/>
        <v>13010.41</v>
      </c>
      <c r="AA114" s="22">
        <f t="shared" si="111"/>
        <v>0.11364364728883716</v>
      </c>
      <c r="AC114" s="175">
        <f t="shared" si="112"/>
        <v>10881.259999999998</v>
      </c>
      <c r="AD114" s="175">
        <f t="shared" si="113"/>
        <v>2125.34</v>
      </c>
      <c r="AE114" s="12">
        <f t="shared" si="116"/>
        <v>3.81</v>
      </c>
      <c r="AF114" s="89">
        <v>1.34</v>
      </c>
      <c r="AG114" s="12">
        <f t="shared" si="128"/>
        <v>13011.749999999998</v>
      </c>
      <c r="AH114" s="22">
        <f t="shared" si="118"/>
        <v>0.1633400580244779</v>
      </c>
      <c r="AJ114" s="6" t="s">
        <v>39</v>
      </c>
      <c r="AK114" s="175">
        <v>1916.7</v>
      </c>
      <c r="AL114" s="12">
        <v>7500.03</v>
      </c>
      <c r="AM114" s="382">
        <f t="shared" si="137"/>
        <v>0.25555897776408898</v>
      </c>
    </row>
    <row r="115" spans="1:39" x14ac:dyDescent="0.35">
      <c r="A115" s="6" t="s">
        <v>42</v>
      </c>
      <c r="B115" s="12">
        <f t="shared" ref="B115:Z115" si="143">B419+B268</f>
        <v>66.569999999999993</v>
      </c>
      <c r="C115" s="12">
        <f t="shared" si="143"/>
        <v>14.190000000000001</v>
      </c>
      <c r="D115" s="12">
        <f t="shared" si="143"/>
        <v>26.9</v>
      </c>
      <c r="E115" s="12">
        <f t="shared" si="143"/>
        <v>1.0900000000000001</v>
      </c>
      <c r="F115" s="12">
        <f t="shared" si="143"/>
        <v>2.3200000000000003</v>
      </c>
      <c r="G115" s="12">
        <f t="shared" si="143"/>
        <v>4.5999999999999996</v>
      </c>
      <c r="H115" s="12">
        <f t="shared" si="143"/>
        <v>4.2499999999999991</v>
      </c>
      <c r="I115" s="12">
        <f t="shared" si="143"/>
        <v>5.15</v>
      </c>
      <c r="J115" s="12">
        <f t="shared" si="143"/>
        <v>71.2</v>
      </c>
      <c r="K115" s="12">
        <f t="shared" si="143"/>
        <v>27.010000000000005</v>
      </c>
      <c r="L115" s="12">
        <f t="shared" si="143"/>
        <v>12.160000000000002</v>
      </c>
      <c r="M115" s="12">
        <f t="shared" si="143"/>
        <v>35.54</v>
      </c>
      <c r="N115" s="12">
        <f t="shared" si="143"/>
        <v>29.72</v>
      </c>
      <c r="O115" s="12">
        <f t="shared" si="143"/>
        <v>19.380000000000003</v>
      </c>
      <c r="P115" s="12">
        <f t="shared" si="143"/>
        <v>12.23</v>
      </c>
      <c r="Q115" s="12">
        <f t="shared" si="143"/>
        <v>104.97</v>
      </c>
      <c r="R115" s="12">
        <f t="shared" si="143"/>
        <v>393.23</v>
      </c>
      <c r="S115" s="12">
        <f t="shared" si="143"/>
        <v>734.7600000000001</v>
      </c>
      <c r="T115" s="12">
        <f t="shared" si="143"/>
        <v>571.72</v>
      </c>
      <c r="U115" s="12">
        <f t="shared" si="143"/>
        <v>317.8</v>
      </c>
      <c r="V115" s="12">
        <f t="shared" si="143"/>
        <v>415.62</v>
      </c>
      <c r="W115" s="12">
        <f t="shared" si="143"/>
        <v>494.8599999999999</v>
      </c>
      <c r="X115" s="12">
        <f t="shared" si="143"/>
        <v>495.37</v>
      </c>
      <c r="Y115" s="12">
        <f t="shared" si="143"/>
        <v>5.6099999999999994</v>
      </c>
      <c r="Z115" s="12">
        <f t="shared" si="143"/>
        <v>3866.25</v>
      </c>
      <c r="AA115" s="22">
        <f t="shared" si="111"/>
        <v>3.3771015004943478E-2</v>
      </c>
      <c r="AC115" s="175">
        <f t="shared" si="112"/>
        <v>2454.79</v>
      </c>
      <c r="AD115" s="175">
        <f t="shared" si="113"/>
        <v>1405.85</v>
      </c>
      <c r="AE115" s="12">
        <f t="shared" si="116"/>
        <v>5.6099999999999994</v>
      </c>
      <c r="AF115" s="89">
        <v>5.3</v>
      </c>
      <c r="AG115" s="12">
        <f t="shared" si="128"/>
        <v>3871.55</v>
      </c>
      <c r="AH115" s="22">
        <f t="shared" si="118"/>
        <v>0.36312329687076234</v>
      </c>
      <c r="AJ115" s="6" t="s">
        <v>42</v>
      </c>
      <c r="AK115" s="89">
        <v>1405.85</v>
      </c>
      <c r="AL115" s="12">
        <v>3871.55</v>
      </c>
      <c r="AM115" s="382">
        <f t="shared" si="137"/>
        <v>0.36312329687076234</v>
      </c>
    </row>
    <row r="116" spans="1:39" x14ac:dyDescent="0.35">
      <c r="A116" s="6" t="s">
        <v>43</v>
      </c>
      <c r="B116" s="12">
        <f t="shared" ref="B116:Z116" si="144">B420+B269</f>
        <v>43.61</v>
      </c>
      <c r="C116" s="12">
        <f t="shared" si="144"/>
        <v>9.4899999999999984</v>
      </c>
      <c r="D116" s="12">
        <f t="shared" si="144"/>
        <v>0</v>
      </c>
      <c r="E116" s="12">
        <f t="shared" si="144"/>
        <v>0.02</v>
      </c>
      <c r="F116" s="12">
        <f t="shared" si="144"/>
        <v>0</v>
      </c>
      <c r="G116" s="12">
        <f t="shared" si="144"/>
        <v>0.22</v>
      </c>
      <c r="H116" s="12">
        <f t="shared" si="144"/>
        <v>49.470000000000006</v>
      </c>
      <c r="I116" s="12">
        <f t="shared" si="144"/>
        <v>0</v>
      </c>
      <c r="J116" s="12">
        <f t="shared" si="144"/>
        <v>2.95</v>
      </c>
      <c r="K116" s="12">
        <f t="shared" si="144"/>
        <v>4.59</v>
      </c>
      <c r="L116" s="12">
        <f t="shared" si="144"/>
        <v>0.81</v>
      </c>
      <c r="M116" s="12">
        <f t="shared" si="144"/>
        <v>1.67</v>
      </c>
      <c r="N116" s="12">
        <f t="shared" si="144"/>
        <v>0.45</v>
      </c>
      <c r="O116" s="12">
        <f t="shared" si="144"/>
        <v>14.67</v>
      </c>
      <c r="P116" s="12">
        <f t="shared" si="144"/>
        <v>0.19</v>
      </c>
      <c r="Q116" s="12">
        <f t="shared" si="144"/>
        <v>14.19</v>
      </c>
      <c r="R116" s="12">
        <f t="shared" si="144"/>
        <v>116.97</v>
      </c>
      <c r="S116" s="12">
        <f t="shared" si="144"/>
        <v>261.73</v>
      </c>
      <c r="T116" s="12">
        <f t="shared" si="144"/>
        <v>175.65000000000003</v>
      </c>
      <c r="U116" s="12">
        <f t="shared" si="144"/>
        <v>89.460000000000008</v>
      </c>
      <c r="V116" s="12">
        <f t="shared" si="144"/>
        <v>81.98</v>
      </c>
      <c r="W116" s="12">
        <f t="shared" si="144"/>
        <v>123.72</v>
      </c>
      <c r="X116" s="12">
        <f t="shared" si="144"/>
        <v>149.63999999999999</v>
      </c>
      <c r="Y116" s="12">
        <f t="shared" si="144"/>
        <v>0.24</v>
      </c>
      <c r="Z116" s="12">
        <f t="shared" si="144"/>
        <v>1141.72</v>
      </c>
      <c r="AA116" s="22">
        <f t="shared" si="111"/>
        <v>9.9727237637100719E-3</v>
      </c>
      <c r="AC116" s="175">
        <f t="shared" si="112"/>
        <v>786.1400000000001</v>
      </c>
      <c r="AD116" s="175">
        <f t="shared" si="113"/>
        <v>355.34</v>
      </c>
      <c r="AE116" s="12">
        <f t="shared" si="116"/>
        <v>0.24</v>
      </c>
      <c r="AF116" s="89">
        <v>0.17</v>
      </c>
      <c r="AG116" s="12">
        <f t="shared" si="128"/>
        <v>1141.8900000000001</v>
      </c>
      <c r="AH116" s="22">
        <f t="shared" si="118"/>
        <v>0.31118584101796137</v>
      </c>
      <c r="AJ116" s="6" t="s">
        <v>56</v>
      </c>
      <c r="AK116" s="175">
        <v>1193.27</v>
      </c>
      <c r="AL116" s="12">
        <v>2627.16</v>
      </c>
      <c r="AM116" s="382">
        <f t="shared" si="137"/>
        <v>0.45420530154234995</v>
      </c>
    </row>
    <row r="117" spans="1:39" x14ac:dyDescent="0.35">
      <c r="A117" s="6" t="s">
        <v>44</v>
      </c>
      <c r="B117" s="12">
        <f t="shared" ref="B117:Z117" si="145">B421+B270</f>
        <v>0</v>
      </c>
      <c r="C117" s="12">
        <f t="shared" si="145"/>
        <v>0</v>
      </c>
      <c r="D117" s="12">
        <f t="shared" si="145"/>
        <v>0</v>
      </c>
      <c r="E117" s="12">
        <f t="shared" si="145"/>
        <v>0</v>
      </c>
      <c r="F117" s="12">
        <f t="shared" si="145"/>
        <v>0</v>
      </c>
      <c r="G117" s="12">
        <f t="shared" si="145"/>
        <v>0</v>
      </c>
      <c r="H117" s="12">
        <f t="shared" si="145"/>
        <v>0</v>
      </c>
      <c r="I117" s="12">
        <f t="shared" si="145"/>
        <v>0</v>
      </c>
      <c r="J117" s="12">
        <f t="shared" si="145"/>
        <v>0</v>
      </c>
      <c r="K117" s="12">
        <f t="shared" si="145"/>
        <v>0</v>
      </c>
      <c r="L117" s="12">
        <f t="shared" si="145"/>
        <v>0</v>
      </c>
      <c r="M117" s="12">
        <f t="shared" si="145"/>
        <v>0.97</v>
      </c>
      <c r="N117" s="12">
        <f t="shared" si="145"/>
        <v>0</v>
      </c>
      <c r="O117" s="12">
        <f t="shared" si="145"/>
        <v>0</v>
      </c>
      <c r="P117" s="12">
        <f t="shared" si="145"/>
        <v>0</v>
      </c>
      <c r="Q117" s="12">
        <f t="shared" si="145"/>
        <v>7</v>
      </c>
      <c r="R117" s="12">
        <f t="shared" si="145"/>
        <v>7.32</v>
      </c>
      <c r="S117" s="12">
        <f t="shared" si="145"/>
        <v>5.1099999999999994</v>
      </c>
      <c r="T117" s="12">
        <f t="shared" si="145"/>
        <v>9.24</v>
      </c>
      <c r="U117" s="12">
        <f t="shared" si="145"/>
        <v>2.17</v>
      </c>
      <c r="V117" s="12">
        <f t="shared" si="145"/>
        <v>0</v>
      </c>
      <c r="W117" s="12">
        <f t="shared" si="145"/>
        <v>2.96</v>
      </c>
      <c r="X117" s="12">
        <f t="shared" si="145"/>
        <v>0</v>
      </c>
      <c r="Y117" s="12">
        <f t="shared" si="145"/>
        <v>0.2</v>
      </c>
      <c r="Z117" s="12">
        <f t="shared" si="145"/>
        <v>34.970000000000006</v>
      </c>
      <c r="AA117" s="22">
        <f t="shared" si="111"/>
        <v>3.0545681079156123E-4</v>
      </c>
      <c r="AC117" s="175">
        <f t="shared" si="112"/>
        <v>31.810000000000002</v>
      </c>
      <c r="AD117" s="175">
        <f t="shared" si="113"/>
        <v>2.96</v>
      </c>
      <c r="AE117" s="12">
        <f t="shared" si="116"/>
        <v>0.2</v>
      </c>
      <c r="AF117" s="89">
        <v>0.09</v>
      </c>
      <c r="AG117" s="12">
        <f t="shared" si="128"/>
        <v>35.060000000000009</v>
      </c>
      <c r="AH117" s="22">
        <f t="shared" si="118"/>
        <v>8.4426697090701636E-2</v>
      </c>
      <c r="AJ117" s="6" t="s">
        <v>45</v>
      </c>
      <c r="AK117" s="175">
        <v>932.92</v>
      </c>
      <c r="AL117" s="12">
        <v>3588.0200000000004</v>
      </c>
      <c r="AM117" s="382">
        <f t="shared" si="137"/>
        <v>0.26000969894259224</v>
      </c>
    </row>
    <row r="118" spans="1:39" x14ac:dyDescent="0.35">
      <c r="A118" s="6" t="s">
        <v>45</v>
      </c>
      <c r="B118" s="12">
        <f t="shared" ref="B118:Z118" si="146">B422+B271</f>
        <v>153.24999999999997</v>
      </c>
      <c r="C118" s="12">
        <f t="shared" si="146"/>
        <v>102.19999999999999</v>
      </c>
      <c r="D118" s="12">
        <f t="shared" si="146"/>
        <v>6.67</v>
      </c>
      <c r="E118" s="12">
        <f t="shared" si="146"/>
        <v>6.5299999999999994</v>
      </c>
      <c r="F118" s="12">
        <f t="shared" si="146"/>
        <v>16.149999999999999</v>
      </c>
      <c r="G118" s="12">
        <f t="shared" si="146"/>
        <v>17.240000000000002</v>
      </c>
      <c r="H118" s="12">
        <f t="shared" si="146"/>
        <v>28.24</v>
      </c>
      <c r="I118" s="12">
        <f t="shared" si="146"/>
        <v>61.070000000000007</v>
      </c>
      <c r="J118" s="12">
        <f t="shared" si="146"/>
        <v>64.660000000000011</v>
      </c>
      <c r="K118" s="12">
        <f t="shared" si="146"/>
        <v>14.68</v>
      </c>
      <c r="L118" s="12">
        <f t="shared" si="146"/>
        <v>43.65</v>
      </c>
      <c r="M118" s="12">
        <f t="shared" si="146"/>
        <v>51.84</v>
      </c>
      <c r="N118" s="12">
        <f t="shared" si="146"/>
        <v>30.480000000000004</v>
      </c>
      <c r="O118" s="12">
        <f t="shared" si="146"/>
        <v>35.56</v>
      </c>
      <c r="P118" s="12">
        <f t="shared" si="146"/>
        <v>83.98</v>
      </c>
      <c r="Q118" s="12">
        <f t="shared" si="146"/>
        <v>206.57000000000002</v>
      </c>
      <c r="R118" s="12">
        <f t="shared" si="146"/>
        <v>732.43000000000006</v>
      </c>
      <c r="S118" s="12">
        <f t="shared" si="146"/>
        <v>442.21000000000004</v>
      </c>
      <c r="T118" s="12">
        <f t="shared" si="146"/>
        <v>290.75</v>
      </c>
      <c r="U118" s="12">
        <f t="shared" si="146"/>
        <v>263.51</v>
      </c>
      <c r="V118" s="12">
        <f t="shared" si="146"/>
        <v>152.82</v>
      </c>
      <c r="W118" s="12">
        <f t="shared" si="146"/>
        <v>595.70999999999992</v>
      </c>
      <c r="X118" s="12">
        <f t="shared" si="146"/>
        <v>184.39000000000001</v>
      </c>
      <c r="Y118" s="12">
        <f t="shared" si="146"/>
        <v>1.5100000000000002</v>
      </c>
      <c r="Z118" s="12">
        <f t="shared" si="146"/>
        <v>3586.1000000000004</v>
      </c>
      <c r="AA118" s="22">
        <f t="shared" si="111"/>
        <v>3.1323953937078E-2</v>
      </c>
      <c r="AC118" s="175">
        <f t="shared" si="112"/>
        <v>2651.67</v>
      </c>
      <c r="AD118" s="175">
        <f t="shared" si="113"/>
        <v>932.92</v>
      </c>
      <c r="AE118" s="12">
        <f t="shared" si="116"/>
        <v>1.5100000000000002</v>
      </c>
      <c r="AF118" s="89">
        <v>1.92</v>
      </c>
      <c r="AG118" s="12">
        <f t="shared" si="128"/>
        <v>3588.0200000000004</v>
      </c>
      <c r="AH118" s="22">
        <f t="shared" si="118"/>
        <v>0.26000969894259224</v>
      </c>
      <c r="AJ118" s="5" t="s">
        <v>22</v>
      </c>
      <c r="AK118" s="89">
        <v>845.67</v>
      </c>
      <c r="AL118" s="207">
        <v>6974.119999999999</v>
      </c>
      <c r="AM118" s="527">
        <f t="shared" si="137"/>
        <v>0.12125830929206841</v>
      </c>
    </row>
    <row r="119" spans="1:39" x14ac:dyDescent="0.35">
      <c r="A119" s="118" t="s">
        <v>16</v>
      </c>
      <c r="B119" s="119">
        <f t="shared" ref="B119:Z119" si="147">B423+B272</f>
        <v>8.31</v>
      </c>
      <c r="C119" s="119">
        <f t="shared" si="147"/>
        <v>2.99</v>
      </c>
      <c r="D119" s="119">
        <f t="shared" si="147"/>
        <v>0</v>
      </c>
      <c r="E119" s="119">
        <f t="shared" si="147"/>
        <v>0</v>
      </c>
      <c r="F119" s="119">
        <f t="shared" si="147"/>
        <v>5.98</v>
      </c>
      <c r="G119" s="119">
        <f t="shared" si="147"/>
        <v>3.13</v>
      </c>
      <c r="H119" s="119">
        <f t="shared" si="147"/>
        <v>2.1800000000000002</v>
      </c>
      <c r="I119" s="119">
        <f t="shared" si="147"/>
        <v>0</v>
      </c>
      <c r="J119" s="119">
        <f t="shared" si="147"/>
        <v>0.66</v>
      </c>
      <c r="K119" s="119">
        <f t="shared" si="147"/>
        <v>0.34</v>
      </c>
      <c r="L119" s="119">
        <f t="shared" si="147"/>
        <v>0.18</v>
      </c>
      <c r="M119" s="119">
        <f t="shared" si="147"/>
        <v>1.9300000000000002</v>
      </c>
      <c r="N119" s="119">
        <f t="shared" si="147"/>
        <v>0.1</v>
      </c>
      <c r="O119" s="119">
        <f t="shared" si="147"/>
        <v>2.73</v>
      </c>
      <c r="P119" s="119">
        <f t="shared" si="147"/>
        <v>4.16</v>
      </c>
      <c r="Q119" s="119">
        <f t="shared" si="147"/>
        <v>9.02</v>
      </c>
      <c r="R119" s="119">
        <f t="shared" si="147"/>
        <v>50.320000000000007</v>
      </c>
      <c r="S119" s="119">
        <f t="shared" si="147"/>
        <v>87.990000000000009</v>
      </c>
      <c r="T119" s="119">
        <f t="shared" si="147"/>
        <v>57.62</v>
      </c>
      <c r="U119" s="119">
        <f t="shared" si="147"/>
        <v>131.97999999999999</v>
      </c>
      <c r="V119" s="119">
        <f t="shared" si="147"/>
        <v>123.71999999999998</v>
      </c>
      <c r="W119" s="119">
        <f t="shared" si="147"/>
        <v>102.86999999999999</v>
      </c>
      <c r="X119" s="119">
        <f t="shared" si="147"/>
        <v>91.410000000000011</v>
      </c>
      <c r="Y119" s="119">
        <f t="shared" si="147"/>
        <v>0.85</v>
      </c>
      <c r="Z119" s="119">
        <f t="shared" si="147"/>
        <v>688.47</v>
      </c>
      <c r="AA119" s="144">
        <f t="shared" si="111"/>
        <v>6.0136645846630291E-3</v>
      </c>
      <c r="AC119" s="119">
        <f t="shared" si="112"/>
        <v>369.62</v>
      </c>
      <c r="AD119" s="119">
        <f t="shared" si="113"/>
        <v>318</v>
      </c>
      <c r="AE119" s="119">
        <f t="shared" si="116"/>
        <v>0.85</v>
      </c>
      <c r="AF119" s="119"/>
      <c r="AG119" s="119">
        <f t="shared" si="128"/>
        <v>688.47</v>
      </c>
      <c r="AH119" s="196">
        <f t="shared" si="118"/>
        <v>0.46189376443418012</v>
      </c>
      <c r="AJ119" s="5" t="s">
        <v>28</v>
      </c>
      <c r="AK119" s="175">
        <v>792.58999999999992</v>
      </c>
      <c r="AL119" s="207">
        <v>1906.5</v>
      </c>
      <c r="AM119" s="527">
        <f t="shared" si="137"/>
        <v>0.41573039601363754</v>
      </c>
    </row>
    <row r="120" spans="1:39" x14ac:dyDescent="0.35">
      <c r="A120" s="6" t="s">
        <v>46</v>
      </c>
      <c r="B120" s="12">
        <f t="shared" ref="B120:Z120" si="148">B424+B273</f>
        <v>0</v>
      </c>
      <c r="C120" s="12">
        <f t="shared" si="148"/>
        <v>0</v>
      </c>
      <c r="D120" s="12">
        <f t="shared" si="148"/>
        <v>0</v>
      </c>
      <c r="E120" s="12">
        <f t="shared" si="148"/>
        <v>0</v>
      </c>
      <c r="F120" s="12">
        <f t="shared" si="148"/>
        <v>0</v>
      </c>
      <c r="G120" s="12">
        <f t="shared" si="148"/>
        <v>0</v>
      </c>
      <c r="H120" s="12">
        <f t="shared" si="148"/>
        <v>0</v>
      </c>
      <c r="I120" s="12">
        <f t="shared" si="148"/>
        <v>0</v>
      </c>
      <c r="J120" s="12">
        <f t="shared" si="148"/>
        <v>0</v>
      </c>
      <c r="K120" s="12">
        <f t="shared" si="148"/>
        <v>0</v>
      </c>
      <c r="L120" s="12">
        <f t="shared" si="148"/>
        <v>0</v>
      </c>
      <c r="M120" s="12">
        <f t="shared" si="148"/>
        <v>0</v>
      </c>
      <c r="N120" s="12">
        <f t="shared" si="148"/>
        <v>0</v>
      </c>
      <c r="O120" s="12">
        <f t="shared" si="148"/>
        <v>0</v>
      </c>
      <c r="P120" s="12">
        <f t="shared" si="148"/>
        <v>0</v>
      </c>
      <c r="Q120" s="12">
        <f t="shared" si="148"/>
        <v>0</v>
      </c>
      <c r="R120" s="12">
        <f t="shared" si="148"/>
        <v>0</v>
      </c>
      <c r="S120" s="12">
        <f t="shared" si="148"/>
        <v>0</v>
      </c>
      <c r="T120" s="12">
        <f t="shared" si="148"/>
        <v>0</v>
      </c>
      <c r="U120" s="12">
        <f t="shared" si="148"/>
        <v>5.97</v>
      </c>
      <c r="V120" s="12">
        <f t="shared" si="148"/>
        <v>0</v>
      </c>
      <c r="W120" s="12">
        <f t="shared" si="148"/>
        <v>6.37</v>
      </c>
      <c r="X120" s="12">
        <f t="shared" si="148"/>
        <v>0</v>
      </c>
      <c r="Y120" s="12">
        <f t="shared" si="148"/>
        <v>0</v>
      </c>
      <c r="Z120" s="12">
        <f t="shared" si="148"/>
        <v>12.34</v>
      </c>
      <c r="AA120" s="22">
        <f t="shared" si="111"/>
        <v>1.0778773363362496E-4</v>
      </c>
      <c r="AC120" s="175">
        <f t="shared" si="112"/>
        <v>5.97</v>
      </c>
      <c r="AD120" s="175">
        <f t="shared" si="113"/>
        <v>6.37</v>
      </c>
      <c r="AE120" s="12">
        <f t="shared" si="116"/>
        <v>0</v>
      </c>
      <c r="AF120" s="89"/>
      <c r="AG120" s="12">
        <f t="shared" si="128"/>
        <v>12.34</v>
      </c>
      <c r="AH120" s="22">
        <f t="shared" si="118"/>
        <v>0.51620745542949753</v>
      </c>
      <c r="AJ120" s="5" t="s">
        <v>26</v>
      </c>
      <c r="AK120" s="175">
        <v>724.16999999999985</v>
      </c>
      <c r="AL120" s="207">
        <v>7164.5300000000007</v>
      </c>
      <c r="AM120" s="527">
        <f t="shared" si="137"/>
        <v>0.10107711182729359</v>
      </c>
    </row>
    <row r="121" spans="1:39" x14ac:dyDescent="0.35">
      <c r="A121" s="6" t="s">
        <v>47</v>
      </c>
      <c r="B121" s="12">
        <f t="shared" ref="B121:Z121" si="149">B425+B274</f>
        <v>0</v>
      </c>
      <c r="C121" s="12">
        <f t="shared" si="149"/>
        <v>0</v>
      </c>
      <c r="D121" s="12">
        <f t="shared" si="149"/>
        <v>0</v>
      </c>
      <c r="E121" s="12">
        <f t="shared" si="149"/>
        <v>0</v>
      </c>
      <c r="F121" s="12">
        <f t="shared" si="149"/>
        <v>0</v>
      </c>
      <c r="G121" s="12">
        <f t="shared" si="149"/>
        <v>0.24</v>
      </c>
      <c r="H121" s="12">
        <f t="shared" si="149"/>
        <v>0</v>
      </c>
      <c r="I121" s="12">
        <f t="shared" si="149"/>
        <v>0</v>
      </c>
      <c r="J121" s="12">
        <f t="shared" si="149"/>
        <v>0</v>
      </c>
      <c r="K121" s="12">
        <f t="shared" si="149"/>
        <v>0</v>
      </c>
      <c r="L121" s="12">
        <f t="shared" si="149"/>
        <v>0.18</v>
      </c>
      <c r="M121" s="12">
        <f t="shared" si="149"/>
        <v>0</v>
      </c>
      <c r="N121" s="12">
        <f t="shared" si="149"/>
        <v>0.1</v>
      </c>
      <c r="O121" s="12">
        <f t="shared" si="149"/>
        <v>0</v>
      </c>
      <c r="P121" s="12">
        <f t="shared" si="149"/>
        <v>0</v>
      </c>
      <c r="Q121" s="12">
        <f t="shared" si="149"/>
        <v>0</v>
      </c>
      <c r="R121" s="12">
        <f t="shared" si="149"/>
        <v>0</v>
      </c>
      <c r="S121" s="12">
        <f t="shared" si="149"/>
        <v>1.22</v>
      </c>
      <c r="T121" s="12">
        <f t="shared" si="149"/>
        <v>0</v>
      </c>
      <c r="U121" s="12">
        <f t="shared" si="149"/>
        <v>0.24</v>
      </c>
      <c r="V121" s="12">
        <f t="shared" si="149"/>
        <v>0.26</v>
      </c>
      <c r="W121" s="12">
        <f t="shared" si="149"/>
        <v>0</v>
      </c>
      <c r="X121" s="12">
        <f t="shared" si="149"/>
        <v>0.08</v>
      </c>
      <c r="Y121" s="12">
        <f t="shared" si="149"/>
        <v>0</v>
      </c>
      <c r="Z121" s="12">
        <f t="shared" si="149"/>
        <v>2.3200000000000003</v>
      </c>
      <c r="AA121" s="22">
        <f t="shared" si="111"/>
        <v>2.026479270907698E-5</v>
      </c>
      <c r="AC121" s="175">
        <f t="shared" si="112"/>
        <v>1.98</v>
      </c>
      <c r="AD121" s="175">
        <f t="shared" si="113"/>
        <v>0.34</v>
      </c>
      <c r="AE121" s="12">
        <f t="shared" si="116"/>
        <v>0</v>
      </c>
      <c r="AF121" s="89"/>
      <c r="AG121" s="12">
        <f t="shared" si="128"/>
        <v>2.3199999999999998</v>
      </c>
      <c r="AH121" s="22">
        <f t="shared" si="118"/>
        <v>0.14655172413793105</v>
      </c>
      <c r="AJ121" s="5" t="s">
        <v>40</v>
      </c>
      <c r="AK121" s="175">
        <v>673.31000000000017</v>
      </c>
      <c r="AL121" s="207">
        <v>3848.1599999999989</v>
      </c>
      <c r="AM121" s="527">
        <f t="shared" si="137"/>
        <v>0.17496933599434544</v>
      </c>
    </row>
    <row r="122" spans="1:39" x14ac:dyDescent="0.35">
      <c r="A122" s="6" t="s">
        <v>48</v>
      </c>
      <c r="B122" s="12">
        <f t="shared" ref="B122:Z122" si="150">B426+B275</f>
        <v>0</v>
      </c>
      <c r="C122" s="12">
        <f t="shared" si="150"/>
        <v>0</v>
      </c>
      <c r="D122" s="12">
        <f t="shared" si="150"/>
        <v>0</v>
      </c>
      <c r="E122" s="12">
        <f t="shared" si="150"/>
        <v>0</v>
      </c>
      <c r="F122" s="12">
        <f t="shared" si="150"/>
        <v>0</v>
      </c>
      <c r="G122" s="12">
        <f t="shared" si="150"/>
        <v>0</v>
      </c>
      <c r="H122" s="12">
        <f t="shared" si="150"/>
        <v>0</v>
      </c>
      <c r="I122" s="12">
        <f t="shared" si="150"/>
        <v>0</v>
      </c>
      <c r="J122" s="12">
        <f t="shared" si="150"/>
        <v>0</v>
      </c>
      <c r="K122" s="12">
        <f t="shared" si="150"/>
        <v>0</v>
      </c>
      <c r="L122" s="12">
        <f t="shared" si="150"/>
        <v>0</v>
      </c>
      <c r="M122" s="12">
        <f t="shared" si="150"/>
        <v>0</v>
      </c>
      <c r="N122" s="12">
        <f t="shared" si="150"/>
        <v>0</v>
      </c>
      <c r="O122" s="12">
        <f t="shared" si="150"/>
        <v>0</v>
      </c>
      <c r="P122" s="12">
        <f t="shared" si="150"/>
        <v>0</v>
      </c>
      <c r="Q122" s="12">
        <f t="shared" si="150"/>
        <v>0</v>
      </c>
      <c r="R122" s="12">
        <f t="shared" si="150"/>
        <v>12.66</v>
      </c>
      <c r="S122" s="12">
        <f t="shared" si="150"/>
        <v>0</v>
      </c>
      <c r="T122" s="12">
        <f t="shared" si="150"/>
        <v>0</v>
      </c>
      <c r="U122" s="12">
        <f t="shared" si="150"/>
        <v>12.45</v>
      </c>
      <c r="V122" s="12">
        <f t="shared" si="150"/>
        <v>3.2900000000000005</v>
      </c>
      <c r="W122" s="12">
        <f t="shared" si="150"/>
        <v>1.7000000000000002</v>
      </c>
      <c r="X122" s="12">
        <f t="shared" si="150"/>
        <v>29.21</v>
      </c>
      <c r="Y122" s="12">
        <f t="shared" si="150"/>
        <v>0</v>
      </c>
      <c r="Z122" s="12">
        <f t="shared" si="150"/>
        <v>59.31</v>
      </c>
      <c r="AA122" s="22">
        <f t="shared" si="111"/>
        <v>5.1806243774799813E-4</v>
      </c>
      <c r="AC122" s="175">
        <f t="shared" si="112"/>
        <v>25.11</v>
      </c>
      <c r="AD122" s="175">
        <f t="shared" si="113"/>
        <v>34.200000000000003</v>
      </c>
      <c r="AE122" s="12">
        <f t="shared" si="116"/>
        <v>0</v>
      </c>
      <c r="AF122" s="89"/>
      <c r="AG122" s="12">
        <f t="shared" si="128"/>
        <v>59.31</v>
      </c>
      <c r="AH122" s="22">
        <f t="shared" si="118"/>
        <v>0.57663125948406679</v>
      </c>
      <c r="AJ122" s="5" t="s">
        <v>32</v>
      </c>
      <c r="AK122" s="89">
        <v>554.04000000000008</v>
      </c>
      <c r="AL122" s="207">
        <v>1812.6499999999999</v>
      </c>
      <c r="AM122" s="527">
        <f t="shared" si="137"/>
        <v>0.30565194604584456</v>
      </c>
    </row>
    <row r="123" spans="1:39" x14ac:dyDescent="0.35">
      <c r="A123" s="6" t="s">
        <v>49</v>
      </c>
      <c r="B123" s="12">
        <f t="shared" ref="B123:Z123" si="151">B427+B276</f>
        <v>0</v>
      </c>
      <c r="C123" s="12">
        <f t="shared" si="151"/>
        <v>0</v>
      </c>
      <c r="D123" s="12">
        <f t="shared" si="151"/>
        <v>0</v>
      </c>
      <c r="E123" s="12">
        <f t="shared" si="151"/>
        <v>0</v>
      </c>
      <c r="F123" s="12">
        <f t="shared" si="151"/>
        <v>0</v>
      </c>
      <c r="G123" s="12">
        <f t="shared" si="151"/>
        <v>0</v>
      </c>
      <c r="H123" s="12">
        <f t="shared" si="151"/>
        <v>0</v>
      </c>
      <c r="I123" s="12">
        <f t="shared" si="151"/>
        <v>0</v>
      </c>
      <c r="J123" s="12">
        <f t="shared" si="151"/>
        <v>0</v>
      </c>
      <c r="K123" s="12">
        <f t="shared" si="151"/>
        <v>0</v>
      </c>
      <c r="L123" s="12">
        <f t="shared" si="151"/>
        <v>0</v>
      </c>
      <c r="M123" s="12">
        <f t="shared" si="151"/>
        <v>0</v>
      </c>
      <c r="N123" s="12">
        <f t="shared" si="151"/>
        <v>0</v>
      </c>
      <c r="O123" s="12">
        <f t="shared" si="151"/>
        <v>0</v>
      </c>
      <c r="P123" s="12">
        <f t="shared" si="151"/>
        <v>0</v>
      </c>
      <c r="Q123" s="12">
        <f t="shared" si="151"/>
        <v>0</v>
      </c>
      <c r="R123" s="12">
        <f t="shared" si="151"/>
        <v>0</v>
      </c>
      <c r="S123" s="12">
        <f t="shared" si="151"/>
        <v>0</v>
      </c>
      <c r="T123" s="12">
        <f t="shared" si="151"/>
        <v>0.14000000000000001</v>
      </c>
      <c r="U123" s="12">
        <f t="shared" si="151"/>
        <v>1.1399999999999999</v>
      </c>
      <c r="V123" s="12">
        <f t="shared" si="151"/>
        <v>8.0599999999999987</v>
      </c>
      <c r="W123" s="12">
        <f t="shared" si="151"/>
        <v>4.25</v>
      </c>
      <c r="X123" s="12">
        <f t="shared" si="151"/>
        <v>13.930000000000001</v>
      </c>
      <c r="Y123" s="12">
        <f t="shared" si="151"/>
        <v>0</v>
      </c>
      <c r="Z123" s="12">
        <f t="shared" si="151"/>
        <v>27.52</v>
      </c>
      <c r="AA123" s="22">
        <f t="shared" ref="AA123:AA141" si="152">Z123/$Z$141</f>
        <v>2.4038236868698207E-4</v>
      </c>
      <c r="AC123" s="175">
        <f t="shared" si="112"/>
        <v>1.2799999999999998</v>
      </c>
      <c r="AD123" s="175">
        <f t="shared" si="113"/>
        <v>26.240000000000002</v>
      </c>
      <c r="AE123" s="12">
        <f t="shared" si="116"/>
        <v>0</v>
      </c>
      <c r="AF123" s="89"/>
      <c r="AG123" s="12">
        <f t="shared" si="128"/>
        <v>27.520000000000003</v>
      </c>
      <c r="AH123" s="22">
        <f t="shared" si="118"/>
        <v>0.95348837209302317</v>
      </c>
      <c r="AJ123" s="5" t="s">
        <v>23</v>
      </c>
      <c r="AK123" s="175">
        <v>514.77</v>
      </c>
      <c r="AL123" s="207">
        <v>1902.06</v>
      </c>
      <c r="AM123" s="527">
        <f t="shared" si="137"/>
        <v>0.27063815021608151</v>
      </c>
    </row>
    <row r="124" spans="1:39" x14ac:dyDescent="0.35">
      <c r="A124" s="6" t="s">
        <v>50</v>
      </c>
      <c r="B124" s="12">
        <f t="shared" ref="B124:Z124" si="153">B428+B277</f>
        <v>0</v>
      </c>
      <c r="C124" s="12">
        <f t="shared" si="153"/>
        <v>0</v>
      </c>
      <c r="D124" s="12">
        <f t="shared" si="153"/>
        <v>0</v>
      </c>
      <c r="E124" s="12">
        <f t="shared" si="153"/>
        <v>0</v>
      </c>
      <c r="F124" s="12">
        <f t="shared" si="153"/>
        <v>0</v>
      </c>
      <c r="G124" s="12">
        <f t="shared" si="153"/>
        <v>0</v>
      </c>
      <c r="H124" s="12">
        <f t="shared" si="153"/>
        <v>0</v>
      </c>
      <c r="I124" s="12">
        <f t="shared" si="153"/>
        <v>0</v>
      </c>
      <c r="J124" s="12">
        <f t="shared" si="153"/>
        <v>0</v>
      </c>
      <c r="K124" s="12">
        <f t="shared" si="153"/>
        <v>0</v>
      </c>
      <c r="L124" s="12">
        <f t="shared" si="153"/>
        <v>0</v>
      </c>
      <c r="M124" s="12">
        <f t="shared" si="153"/>
        <v>0</v>
      </c>
      <c r="N124" s="12">
        <f t="shared" si="153"/>
        <v>0</v>
      </c>
      <c r="O124" s="12">
        <f t="shared" si="153"/>
        <v>0</v>
      </c>
      <c r="P124" s="12">
        <f t="shared" si="153"/>
        <v>0</v>
      </c>
      <c r="Q124" s="12">
        <f t="shared" si="153"/>
        <v>2.0299999999999998</v>
      </c>
      <c r="R124" s="12">
        <f t="shared" si="153"/>
        <v>0</v>
      </c>
      <c r="S124" s="12">
        <f t="shared" si="153"/>
        <v>0</v>
      </c>
      <c r="T124" s="12">
        <f t="shared" si="153"/>
        <v>13.29</v>
      </c>
      <c r="U124" s="12">
        <f t="shared" si="153"/>
        <v>25.34</v>
      </c>
      <c r="V124" s="12">
        <f t="shared" si="153"/>
        <v>22.07</v>
      </c>
      <c r="W124" s="12">
        <f t="shared" si="153"/>
        <v>0</v>
      </c>
      <c r="X124" s="12">
        <f t="shared" si="153"/>
        <v>0</v>
      </c>
      <c r="Y124" s="12">
        <f t="shared" si="153"/>
        <v>0</v>
      </c>
      <c r="Z124" s="12">
        <f t="shared" si="153"/>
        <v>62.73</v>
      </c>
      <c r="AA124" s="22">
        <f t="shared" si="152"/>
        <v>5.4793553734499949E-4</v>
      </c>
      <c r="AC124" s="175">
        <f t="shared" si="112"/>
        <v>40.659999999999997</v>
      </c>
      <c r="AD124" s="175">
        <f t="shared" si="113"/>
        <v>22.07</v>
      </c>
      <c r="AE124" s="12">
        <f t="shared" si="116"/>
        <v>0</v>
      </c>
      <c r="AF124" s="89"/>
      <c r="AG124" s="12">
        <f t="shared" si="128"/>
        <v>62.73</v>
      </c>
      <c r="AH124" s="22">
        <f t="shared" si="118"/>
        <v>0.35182528295871196</v>
      </c>
      <c r="AJ124" s="5" t="s">
        <v>7</v>
      </c>
      <c r="AK124" s="175">
        <v>447.13</v>
      </c>
      <c r="AL124" s="207">
        <v>811.49</v>
      </c>
      <c r="AM124" s="527">
        <f t="shared" si="137"/>
        <v>0.55099878002193492</v>
      </c>
    </row>
    <row r="125" spans="1:39" x14ac:dyDescent="0.35">
      <c r="A125" s="6" t="s">
        <v>52</v>
      </c>
      <c r="B125" s="12">
        <f t="shared" ref="B125:Z125" si="154">B429+B278</f>
        <v>6.3500000000000005</v>
      </c>
      <c r="C125" s="12">
        <f t="shared" si="154"/>
        <v>2.95</v>
      </c>
      <c r="D125" s="12">
        <f t="shared" si="154"/>
        <v>0</v>
      </c>
      <c r="E125" s="12">
        <f t="shared" si="154"/>
        <v>0</v>
      </c>
      <c r="F125" s="12">
        <f t="shared" si="154"/>
        <v>5.98</v>
      </c>
      <c r="G125" s="12">
        <f t="shared" si="154"/>
        <v>2.89</v>
      </c>
      <c r="H125" s="12">
        <f t="shared" si="154"/>
        <v>0</v>
      </c>
      <c r="I125" s="12">
        <f t="shared" si="154"/>
        <v>0</v>
      </c>
      <c r="J125" s="12">
        <f t="shared" si="154"/>
        <v>0</v>
      </c>
      <c r="K125" s="12">
        <f t="shared" si="154"/>
        <v>0.11</v>
      </c>
      <c r="L125" s="12">
        <f t="shared" si="154"/>
        <v>0</v>
      </c>
      <c r="M125" s="12">
        <f t="shared" si="154"/>
        <v>0.32</v>
      </c>
      <c r="N125" s="12">
        <f t="shared" si="154"/>
        <v>0</v>
      </c>
      <c r="O125" s="12">
        <f t="shared" si="154"/>
        <v>0</v>
      </c>
      <c r="P125" s="12">
        <f t="shared" si="154"/>
        <v>0</v>
      </c>
      <c r="Q125" s="12">
        <f t="shared" si="154"/>
        <v>0</v>
      </c>
      <c r="R125" s="12">
        <f t="shared" si="154"/>
        <v>2.35</v>
      </c>
      <c r="S125" s="12">
        <f t="shared" si="154"/>
        <v>0.26</v>
      </c>
      <c r="T125" s="12">
        <f t="shared" si="154"/>
        <v>2.3499999999999996</v>
      </c>
      <c r="U125" s="12">
        <f t="shared" si="154"/>
        <v>54.76</v>
      </c>
      <c r="V125" s="12">
        <f t="shared" si="154"/>
        <v>1.51</v>
      </c>
      <c r="W125" s="12">
        <f t="shared" si="154"/>
        <v>0</v>
      </c>
      <c r="X125" s="12">
        <f t="shared" si="154"/>
        <v>0.06</v>
      </c>
      <c r="Y125" s="12">
        <f t="shared" si="154"/>
        <v>0</v>
      </c>
      <c r="Z125" s="12">
        <f t="shared" si="154"/>
        <v>79.890000000000015</v>
      </c>
      <c r="AA125" s="22">
        <f t="shared" si="152"/>
        <v>6.9782512479662074E-4</v>
      </c>
      <c r="AC125" s="175">
        <f t="shared" si="112"/>
        <v>78.319999999999993</v>
      </c>
      <c r="AD125" s="175">
        <f t="shared" si="113"/>
        <v>1.57</v>
      </c>
      <c r="AE125" s="12">
        <f t="shared" si="116"/>
        <v>0</v>
      </c>
      <c r="AF125" s="89"/>
      <c r="AG125" s="12">
        <f t="shared" si="128"/>
        <v>79.889999999999986</v>
      </c>
      <c r="AH125" s="22">
        <f t="shared" si="118"/>
        <v>1.9652021529603207E-2</v>
      </c>
      <c r="AJ125" s="5" t="s">
        <v>34</v>
      </c>
      <c r="AK125" s="175">
        <v>370.42</v>
      </c>
      <c r="AL125" s="207">
        <v>4935.1698000000015</v>
      </c>
      <c r="AM125" s="527">
        <f t="shared" si="137"/>
        <v>7.505719458730678E-2</v>
      </c>
    </row>
    <row r="126" spans="1:39" x14ac:dyDescent="0.35">
      <c r="A126" s="6" t="s">
        <v>53</v>
      </c>
      <c r="B126" s="12">
        <f t="shared" ref="B126:Z126" si="155">B430+B279</f>
        <v>0.48</v>
      </c>
      <c r="C126" s="12">
        <f t="shared" si="155"/>
        <v>0.04</v>
      </c>
      <c r="D126" s="12">
        <f t="shared" si="155"/>
        <v>0</v>
      </c>
      <c r="E126" s="12">
        <f t="shared" si="155"/>
        <v>0</v>
      </c>
      <c r="F126" s="12">
        <f t="shared" si="155"/>
        <v>0</v>
      </c>
      <c r="G126" s="12">
        <f t="shared" si="155"/>
        <v>0</v>
      </c>
      <c r="H126" s="12">
        <f t="shared" si="155"/>
        <v>0</v>
      </c>
      <c r="I126" s="12">
        <f t="shared" si="155"/>
        <v>0</v>
      </c>
      <c r="J126" s="12">
        <f t="shared" si="155"/>
        <v>0.66</v>
      </c>
      <c r="K126" s="12">
        <f t="shared" si="155"/>
        <v>0.23</v>
      </c>
      <c r="L126" s="12">
        <f t="shared" si="155"/>
        <v>0</v>
      </c>
      <c r="M126" s="12">
        <f t="shared" si="155"/>
        <v>1.61</v>
      </c>
      <c r="N126" s="12">
        <f t="shared" si="155"/>
        <v>0</v>
      </c>
      <c r="O126" s="12">
        <f t="shared" si="155"/>
        <v>0</v>
      </c>
      <c r="P126" s="12">
        <f t="shared" si="155"/>
        <v>4.16</v>
      </c>
      <c r="Q126" s="12">
        <f t="shared" si="155"/>
        <v>6.99</v>
      </c>
      <c r="R126" s="12">
        <f t="shared" si="155"/>
        <v>27.67</v>
      </c>
      <c r="S126" s="12">
        <f t="shared" si="155"/>
        <v>84.579999999999984</v>
      </c>
      <c r="T126" s="12">
        <f t="shared" si="155"/>
        <v>40.260000000000005</v>
      </c>
      <c r="U126" s="12">
        <f t="shared" si="155"/>
        <v>26.509999999999998</v>
      </c>
      <c r="V126" s="12">
        <f t="shared" si="155"/>
        <v>80.150000000000006</v>
      </c>
      <c r="W126" s="12">
        <f t="shared" si="155"/>
        <v>85.86999999999999</v>
      </c>
      <c r="X126" s="12">
        <f t="shared" si="155"/>
        <v>34.790000000000006</v>
      </c>
      <c r="Y126" s="12">
        <f t="shared" si="155"/>
        <v>0.85</v>
      </c>
      <c r="Z126" s="12">
        <f t="shared" si="155"/>
        <v>394.85</v>
      </c>
      <c r="AA126" s="22">
        <f t="shared" si="152"/>
        <v>3.4489454315426919E-3</v>
      </c>
      <c r="AC126" s="175">
        <f t="shared" si="112"/>
        <v>193.19</v>
      </c>
      <c r="AD126" s="175">
        <f t="shared" si="113"/>
        <v>200.81</v>
      </c>
      <c r="AE126" s="12">
        <f t="shared" si="116"/>
        <v>0.85</v>
      </c>
      <c r="AF126" s="89"/>
      <c r="AG126" s="12">
        <f t="shared" si="128"/>
        <v>394.85</v>
      </c>
      <c r="AH126" s="22">
        <f t="shared" si="118"/>
        <v>0.50857287577561094</v>
      </c>
      <c r="AJ126" s="5" t="s">
        <v>43</v>
      </c>
      <c r="AK126" s="175">
        <v>355.34</v>
      </c>
      <c r="AL126" s="207">
        <v>1141.8900000000001</v>
      </c>
      <c r="AM126" s="527">
        <f t="shared" si="137"/>
        <v>0.31118584101796137</v>
      </c>
    </row>
    <row r="127" spans="1:39" x14ac:dyDescent="0.35">
      <c r="A127" s="6" t="s">
        <v>54</v>
      </c>
      <c r="B127" s="12">
        <f t="shared" ref="B127:Z127" si="156">B431+B280</f>
        <v>1.48</v>
      </c>
      <c r="C127" s="12">
        <f t="shared" si="156"/>
        <v>0</v>
      </c>
      <c r="D127" s="12">
        <f t="shared" si="156"/>
        <v>0</v>
      </c>
      <c r="E127" s="12">
        <f t="shared" si="156"/>
        <v>0</v>
      </c>
      <c r="F127" s="12">
        <f t="shared" si="156"/>
        <v>0</v>
      </c>
      <c r="G127" s="12">
        <f t="shared" si="156"/>
        <v>0</v>
      </c>
      <c r="H127" s="12">
        <f t="shared" si="156"/>
        <v>2.1800000000000002</v>
      </c>
      <c r="I127" s="12">
        <f t="shared" si="156"/>
        <v>0</v>
      </c>
      <c r="J127" s="12">
        <f t="shared" si="156"/>
        <v>0</v>
      </c>
      <c r="K127" s="12">
        <f t="shared" si="156"/>
        <v>0</v>
      </c>
      <c r="L127" s="12">
        <f t="shared" si="156"/>
        <v>0</v>
      </c>
      <c r="M127" s="12">
        <f t="shared" si="156"/>
        <v>0</v>
      </c>
      <c r="N127" s="12">
        <f t="shared" si="156"/>
        <v>0</v>
      </c>
      <c r="O127" s="12">
        <f t="shared" si="156"/>
        <v>2.73</v>
      </c>
      <c r="P127" s="12">
        <f t="shared" si="156"/>
        <v>0</v>
      </c>
      <c r="Q127" s="12">
        <f t="shared" si="156"/>
        <v>0</v>
      </c>
      <c r="R127" s="12">
        <f t="shared" si="156"/>
        <v>7.64</v>
      </c>
      <c r="S127" s="12">
        <f t="shared" si="156"/>
        <v>1.93</v>
      </c>
      <c r="T127" s="12">
        <f t="shared" si="156"/>
        <v>1.5799999999999998</v>
      </c>
      <c r="U127" s="12">
        <f t="shared" si="156"/>
        <v>5.57</v>
      </c>
      <c r="V127" s="12">
        <f t="shared" si="156"/>
        <v>8.3800000000000008</v>
      </c>
      <c r="W127" s="12">
        <f t="shared" si="156"/>
        <v>4.68</v>
      </c>
      <c r="X127" s="12">
        <f t="shared" si="156"/>
        <v>13.34</v>
      </c>
      <c r="Y127" s="12">
        <f t="shared" si="156"/>
        <v>0</v>
      </c>
      <c r="Z127" s="12">
        <f t="shared" si="156"/>
        <v>49.51</v>
      </c>
      <c r="AA127" s="22">
        <f t="shared" si="152"/>
        <v>4.3246115820103499E-4</v>
      </c>
      <c r="AC127" s="175">
        <f t="shared" si="112"/>
        <v>23.11</v>
      </c>
      <c r="AD127" s="175">
        <f t="shared" si="113"/>
        <v>26.4</v>
      </c>
      <c r="AE127" s="12">
        <f t="shared" si="116"/>
        <v>0</v>
      </c>
      <c r="AF127" s="89"/>
      <c r="AG127" s="12">
        <f t="shared" si="128"/>
        <v>49.51</v>
      </c>
      <c r="AH127" s="22">
        <f t="shared" si="118"/>
        <v>0.53322561098767929</v>
      </c>
      <c r="AJ127" s="5" t="s">
        <v>36</v>
      </c>
      <c r="AK127" s="89">
        <v>323.90000000000003</v>
      </c>
      <c r="AL127" s="207">
        <v>2687.9542999999999</v>
      </c>
      <c r="AM127" s="527">
        <f t="shared" si="137"/>
        <v>0.12050056059360832</v>
      </c>
    </row>
    <row r="128" spans="1:39" x14ac:dyDescent="0.35">
      <c r="A128" s="118" t="s">
        <v>18</v>
      </c>
      <c r="B128" s="119">
        <f t="shared" ref="B128:Z128" si="157">B432+B281</f>
        <v>114.04</v>
      </c>
      <c r="C128" s="119">
        <f t="shared" si="157"/>
        <v>2.72</v>
      </c>
      <c r="D128" s="119">
        <f t="shared" si="157"/>
        <v>21.11</v>
      </c>
      <c r="E128" s="119">
        <f t="shared" si="157"/>
        <v>3.65</v>
      </c>
      <c r="F128" s="119">
        <f t="shared" si="157"/>
        <v>4.88</v>
      </c>
      <c r="G128" s="119">
        <f t="shared" si="157"/>
        <v>10.53</v>
      </c>
      <c r="H128" s="119">
        <f t="shared" si="157"/>
        <v>12.68</v>
      </c>
      <c r="I128" s="119">
        <f t="shared" si="157"/>
        <v>7.39</v>
      </c>
      <c r="J128" s="119">
        <f t="shared" si="157"/>
        <v>0</v>
      </c>
      <c r="K128" s="119">
        <f t="shared" si="157"/>
        <v>0</v>
      </c>
      <c r="L128" s="119">
        <f t="shared" si="157"/>
        <v>0</v>
      </c>
      <c r="M128" s="119">
        <f t="shared" si="157"/>
        <v>1.35</v>
      </c>
      <c r="N128" s="119">
        <f t="shared" si="157"/>
        <v>0</v>
      </c>
      <c r="O128" s="119">
        <f t="shared" si="157"/>
        <v>0</v>
      </c>
      <c r="P128" s="119">
        <f t="shared" si="157"/>
        <v>0</v>
      </c>
      <c r="Q128" s="119">
        <f t="shared" si="157"/>
        <v>8.48</v>
      </c>
      <c r="R128" s="119">
        <f t="shared" si="157"/>
        <v>43.67</v>
      </c>
      <c r="S128" s="119">
        <f t="shared" si="157"/>
        <v>111.92999999999999</v>
      </c>
      <c r="T128" s="119">
        <f t="shared" si="157"/>
        <v>29.080000000000005</v>
      </c>
      <c r="U128" s="119">
        <f t="shared" si="157"/>
        <v>91.92</v>
      </c>
      <c r="V128" s="119">
        <f t="shared" si="157"/>
        <v>22.6</v>
      </c>
      <c r="W128" s="119">
        <f t="shared" si="157"/>
        <v>20.250000000000004</v>
      </c>
      <c r="X128" s="119">
        <f t="shared" si="157"/>
        <v>3.24</v>
      </c>
      <c r="Y128" s="119">
        <f t="shared" si="157"/>
        <v>0.21999999999999997</v>
      </c>
      <c r="Z128" s="119">
        <f t="shared" si="157"/>
        <v>509.74000000000007</v>
      </c>
      <c r="AA128" s="144">
        <f t="shared" si="152"/>
        <v>4.4524894118641812E-3</v>
      </c>
      <c r="AC128" s="119">
        <f t="shared" si="112"/>
        <v>463.43</v>
      </c>
      <c r="AD128" s="119">
        <f t="shared" si="113"/>
        <v>46.090000000000011</v>
      </c>
      <c r="AE128" s="119">
        <f t="shared" si="116"/>
        <v>0.21999999999999997</v>
      </c>
      <c r="AF128" s="119">
        <v>73.902699999999996</v>
      </c>
      <c r="AG128" s="119">
        <f t="shared" si="128"/>
        <v>583.6427000000001</v>
      </c>
      <c r="AH128" s="196">
        <f t="shared" si="118"/>
        <v>7.8969547635908063E-2</v>
      </c>
      <c r="AJ128" s="382"/>
    </row>
    <row r="129" spans="1:36" x14ac:dyDescent="0.35">
      <c r="A129" s="6" t="s">
        <v>18</v>
      </c>
      <c r="B129" s="12">
        <f t="shared" ref="B129:Z129" si="158">B433+B282</f>
        <v>114.04</v>
      </c>
      <c r="C129" s="12">
        <f t="shared" si="158"/>
        <v>2.72</v>
      </c>
      <c r="D129" s="12">
        <f t="shared" si="158"/>
        <v>21.11</v>
      </c>
      <c r="E129" s="12">
        <f t="shared" si="158"/>
        <v>3.65</v>
      </c>
      <c r="F129" s="12">
        <f t="shared" si="158"/>
        <v>4.88</v>
      </c>
      <c r="G129" s="12">
        <f t="shared" si="158"/>
        <v>10.53</v>
      </c>
      <c r="H129" s="12">
        <f t="shared" si="158"/>
        <v>12.68</v>
      </c>
      <c r="I129" s="12">
        <f t="shared" si="158"/>
        <v>7.39</v>
      </c>
      <c r="J129" s="12">
        <f t="shared" si="158"/>
        <v>0</v>
      </c>
      <c r="K129" s="12">
        <f t="shared" si="158"/>
        <v>0</v>
      </c>
      <c r="L129" s="12">
        <f t="shared" si="158"/>
        <v>0</v>
      </c>
      <c r="M129" s="12">
        <f t="shared" si="158"/>
        <v>1.35</v>
      </c>
      <c r="N129" s="12">
        <f t="shared" si="158"/>
        <v>0</v>
      </c>
      <c r="O129" s="12">
        <f t="shared" si="158"/>
        <v>0</v>
      </c>
      <c r="P129" s="12">
        <f t="shared" si="158"/>
        <v>0</v>
      </c>
      <c r="Q129" s="12">
        <f t="shared" si="158"/>
        <v>8.48</v>
      </c>
      <c r="R129" s="12">
        <f t="shared" si="158"/>
        <v>43.67</v>
      </c>
      <c r="S129" s="12">
        <f t="shared" si="158"/>
        <v>111.92999999999999</v>
      </c>
      <c r="T129" s="12">
        <f t="shared" si="158"/>
        <v>29.080000000000005</v>
      </c>
      <c r="U129" s="12">
        <f t="shared" si="158"/>
        <v>91.92</v>
      </c>
      <c r="V129" s="12">
        <f t="shared" si="158"/>
        <v>22.6</v>
      </c>
      <c r="W129" s="12">
        <f t="shared" si="158"/>
        <v>20.250000000000004</v>
      </c>
      <c r="X129" s="12">
        <f t="shared" si="158"/>
        <v>3.24</v>
      </c>
      <c r="Y129" s="12">
        <f t="shared" si="158"/>
        <v>0.21999999999999997</v>
      </c>
      <c r="Z129" s="12">
        <f t="shared" si="158"/>
        <v>509.74000000000007</v>
      </c>
      <c r="AA129" s="22">
        <f t="shared" si="152"/>
        <v>4.4524894118641812E-3</v>
      </c>
      <c r="AC129" s="175">
        <f t="shared" si="112"/>
        <v>463.43</v>
      </c>
      <c r="AD129" s="175">
        <f t="shared" si="113"/>
        <v>46.090000000000011</v>
      </c>
      <c r="AE129" s="12">
        <f t="shared" si="116"/>
        <v>0.21999999999999997</v>
      </c>
      <c r="AF129" s="89">
        <v>73.902699999999996</v>
      </c>
      <c r="AG129" s="12">
        <f t="shared" si="128"/>
        <v>583.6427000000001</v>
      </c>
      <c r="AH129" s="22">
        <f t="shared" si="118"/>
        <v>7.8969547635908063E-2</v>
      </c>
      <c r="AJ129" s="382"/>
    </row>
    <row r="130" spans="1:36" x14ac:dyDescent="0.35">
      <c r="A130" s="118" t="s">
        <v>17</v>
      </c>
      <c r="B130" s="119">
        <f t="shared" ref="B130:Z130" si="159">B434+B283</f>
        <v>132.5</v>
      </c>
      <c r="C130" s="119">
        <f t="shared" si="159"/>
        <v>5.01</v>
      </c>
      <c r="D130" s="119">
        <f t="shared" si="159"/>
        <v>0</v>
      </c>
      <c r="E130" s="119">
        <f t="shared" si="159"/>
        <v>0.26</v>
      </c>
      <c r="F130" s="119">
        <f t="shared" si="159"/>
        <v>0</v>
      </c>
      <c r="G130" s="119">
        <f t="shared" si="159"/>
        <v>0</v>
      </c>
      <c r="H130" s="119">
        <f t="shared" si="159"/>
        <v>11.74</v>
      </c>
      <c r="I130" s="119">
        <f t="shared" si="159"/>
        <v>176</v>
      </c>
      <c r="J130" s="119">
        <f t="shared" si="159"/>
        <v>17.39</v>
      </c>
      <c r="K130" s="119">
        <f t="shared" si="159"/>
        <v>43.31</v>
      </c>
      <c r="L130" s="119">
        <f t="shared" si="159"/>
        <v>12.75</v>
      </c>
      <c r="M130" s="119">
        <f t="shared" si="159"/>
        <v>146.91000000000003</v>
      </c>
      <c r="N130" s="119">
        <f t="shared" si="159"/>
        <v>52.44</v>
      </c>
      <c r="O130" s="119">
        <f t="shared" si="159"/>
        <v>51.160000000000004</v>
      </c>
      <c r="P130" s="119">
        <f t="shared" si="159"/>
        <v>78.48</v>
      </c>
      <c r="Q130" s="119">
        <f t="shared" si="159"/>
        <v>157.66999999999999</v>
      </c>
      <c r="R130" s="119">
        <f t="shared" si="159"/>
        <v>751.72000000000014</v>
      </c>
      <c r="S130" s="119">
        <f t="shared" si="159"/>
        <v>895.88000000000011</v>
      </c>
      <c r="T130" s="119">
        <f t="shared" si="159"/>
        <v>1156.26</v>
      </c>
      <c r="U130" s="119">
        <f t="shared" si="159"/>
        <v>1087.7599999999998</v>
      </c>
      <c r="V130" s="119">
        <f t="shared" si="159"/>
        <v>944.06</v>
      </c>
      <c r="W130" s="119">
        <f t="shared" si="159"/>
        <v>1999.34</v>
      </c>
      <c r="X130" s="119">
        <f t="shared" si="159"/>
        <v>729.21999999999991</v>
      </c>
      <c r="Y130" s="119">
        <f t="shared" si="159"/>
        <v>2.95</v>
      </c>
      <c r="Z130" s="119">
        <f t="shared" si="159"/>
        <v>8452.8100000000013</v>
      </c>
      <c r="AA130" s="144">
        <f t="shared" si="152"/>
        <v>7.3833811404833194E-2</v>
      </c>
      <c r="AC130" s="119">
        <f t="shared" si="112"/>
        <v>4777.24</v>
      </c>
      <c r="AD130" s="119">
        <f t="shared" si="113"/>
        <v>3672.6199999999994</v>
      </c>
      <c r="AE130" s="119">
        <f t="shared" si="116"/>
        <v>2.95</v>
      </c>
      <c r="AF130" s="131">
        <v>0.18</v>
      </c>
      <c r="AG130" s="119">
        <f t="shared" si="128"/>
        <v>8452.99</v>
      </c>
      <c r="AH130" s="196">
        <f t="shared" si="118"/>
        <v>0.43447584819099511</v>
      </c>
      <c r="AJ130" s="382"/>
    </row>
    <row r="131" spans="1:36" x14ac:dyDescent="0.35">
      <c r="A131" s="6" t="s">
        <v>55</v>
      </c>
      <c r="B131" s="12">
        <f t="shared" ref="B131:Z131" si="160">B435+B284</f>
        <v>132.44</v>
      </c>
      <c r="C131" s="12">
        <f t="shared" si="160"/>
        <v>4.91</v>
      </c>
      <c r="D131" s="12">
        <f t="shared" si="160"/>
        <v>0</v>
      </c>
      <c r="E131" s="12">
        <f t="shared" si="160"/>
        <v>0</v>
      </c>
      <c r="F131" s="12">
        <f t="shared" si="160"/>
        <v>0</v>
      </c>
      <c r="G131" s="12">
        <f t="shared" si="160"/>
        <v>0</v>
      </c>
      <c r="H131" s="12">
        <f t="shared" si="160"/>
        <v>7.2900000000000009</v>
      </c>
      <c r="I131" s="12">
        <f t="shared" si="160"/>
        <v>175.79</v>
      </c>
      <c r="J131" s="12">
        <f t="shared" si="160"/>
        <v>15.18</v>
      </c>
      <c r="K131" s="12">
        <f t="shared" si="160"/>
        <v>14.610000000000001</v>
      </c>
      <c r="L131" s="12">
        <f t="shared" si="160"/>
        <v>12.75</v>
      </c>
      <c r="M131" s="12">
        <f t="shared" si="160"/>
        <v>85.04000000000002</v>
      </c>
      <c r="N131" s="12">
        <f t="shared" si="160"/>
        <v>52.44</v>
      </c>
      <c r="O131" s="12">
        <f t="shared" si="160"/>
        <v>16.760000000000002</v>
      </c>
      <c r="P131" s="12">
        <f t="shared" si="160"/>
        <v>56.12</v>
      </c>
      <c r="Q131" s="12">
        <f t="shared" si="160"/>
        <v>134.07</v>
      </c>
      <c r="R131" s="12">
        <f t="shared" si="160"/>
        <v>471.41</v>
      </c>
      <c r="S131" s="12">
        <f t="shared" si="160"/>
        <v>641.15</v>
      </c>
      <c r="T131" s="12">
        <f t="shared" si="160"/>
        <v>620.87</v>
      </c>
      <c r="U131" s="12">
        <f t="shared" si="160"/>
        <v>903.15999999999985</v>
      </c>
      <c r="V131" s="12">
        <f t="shared" si="160"/>
        <v>499.48</v>
      </c>
      <c r="W131" s="12">
        <f t="shared" si="160"/>
        <v>1407.06</v>
      </c>
      <c r="X131" s="12">
        <f t="shared" si="160"/>
        <v>572.80999999999995</v>
      </c>
      <c r="Y131" s="12">
        <f t="shared" si="160"/>
        <v>2.31</v>
      </c>
      <c r="Z131" s="12">
        <f t="shared" si="160"/>
        <v>5825.6500000000005</v>
      </c>
      <c r="AA131" s="22">
        <f t="shared" si="152"/>
        <v>5.0886030019669959E-2</v>
      </c>
      <c r="AC131" s="175">
        <f t="shared" si="112"/>
        <v>3343.99</v>
      </c>
      <c r="AD131" s="175">
        <f t="shared" si="113"/>
        <v>2479.35</v>
      </c>
      <c r="AE131" s="12">
        <f t="shared" si="116"/>
        <v>2.31</v>
      </c>
      <c r="AF131" s="89">
        <v>0.18</v>
      </c>
      <c r="AG131" s="12">
        <f t="shared" si="128"/>
        <v>5825.8300000000008</v>
      </c>
      <c r="AH131" s="22">
        <f t="shared" si="118"/>
        <v>0.42557884455948758</v>
      </c>
      <c r="AJ131" s="382"/>
    </row>
    <row r="132" spans="1:36" x14ac:dyDescent="0.35">
      <c r="A132" s="6" t="s">
        <v>56</v>
      </c>
      <c r="B132" s="12">
        <f t="shared" ref="B132:Z132" si="161">B436+B285</f>
        <v>0.06</v>
      </c>
      <c r="C132" s="12">
        <f t="shared" si="161"/>
        <v>0.1</v>
      </c>
      <c r="D132" s="12">
        <f t="shared" si="161"/>
        <v>0</v>
      </c>
      <c r="E132" s="12">
        <f t="shared" si="161"/>
        <v>0.26</v>
      </c>
      <c r="F132" s="12">
        <f t="shared" si="161"/>
        <v>0</v>
      </c>
      <c r="G132" s="12">
        <f t="shared" si="161"/>
        <v>0</v>
      </c>
      <c r="H132" s="12">
        <f t="shared" si="161"/>
        <v>4.45</v>
      </c>
      <c r="I132" s="12">
        <f t="shared" si="161"/>
        <v>0.21</v>
      </c>
      <c r="J132" s="12">
        <f t="shared" si="161"/>
        <v>2.21</v>
      </c>
      <c r="K132" s="12">
        <f t="shared" si="161"/>
        <v>28.7</v>
      </c>
      <c r="L132" s="12">
        <f t="shared" si="161"/>
        <v>0</v>
      </c>
      <c r="M132" s="12">
        <f t="shared" si="161"/>
        <v>61.870000000000005</v>
      </c>
      <c r="N132" s="12">
        <f t="shared" si="161"/>
        <v>0</v>
      </c>
      <c r="O132" s="12">
        <f t="shared" si="161"/>
        <v>34.400000000000006</v>
      </c>
      <c r="P132" s="12">
        <f t="shared" si="161"/>
        <v>22.36</v>
      </c>
      <c r="Q132" s="12">
        <f t="shared" si="161"/>
        <v>23.599999999999998</v>
      </c>
      <c r="R132" s="12">
        <f t="shared" si="161"/>
        <v>280.31000000000006</v>
      </c>
      <c r="S132" s="12">
        <f t="shared" si="161"/>
        <v>254.73</v>
      </c>
      <c r="T132" s="12">
        <f t="shared" si="161"/>
        <v>535.38999999999987</v>
      </c>
      <c r="U132" s="12">
        <f t="shared" si="161"/>
        <v>184.6</v>
      </c>
      <c r="V132" s="12">
        <f t="shared" si="161"/>
        <v>444.58</v>
      </c>
      <c r="W132" s="12">
        <f t="shared" si="161"/>
        <v>592.28</v>
      </c>
      <c r="X132" s="12">
        <f t="shared" si="161"/>
        <v>156.41</v>
      </c>
      <c r="Y132" s="12">
        <f t="shared" si="161"/>
        <v>0.64</v>
      </c>
      <c r="Z132" s="12">
        <f t="shared" si="161"/>
        <v>2627.16</v>
      </c>
      <c r="AA132" s="22">
        <f t="shared" si="152"/>
        <v>2.2947781385163221E-2</v>
      </c>
      <c r="AC132" s="175">
        <f t="shared" si="112"/>
        <v>1433.25</v>
      </c>
      <c r="AD132" s="175">
        <f t="shared" si="113"/>
        <v>1193.27</v>
      </c>
      <c r="AE132" s="12">
        <f t="shared" si="116"/>
        <v>0.64</v>
      </c>
      <c r="AF132" s="89"/>
      <c r="AG132" s="12">
        <f t="shared" si="128"/>
        <v>2627.16</v>
      </c>
      <c r="AH132" s="22">
        <f t="shared" si="118"/>
        <v>0.45420530154234995</v>
      </c>
      <c r="AJ132" s="382"/>
    </row>
    <row r="133" spans="1:36" x14ac:dyDescent="0.35">
      <c r="A133" s="118" t="s">
        <v>20</v>
      </c>
      <c r="B133" s="119">
        <f t="shared" ref="B133:Z133" si="162">B437+B286</f>
        <v>134.57000000000002</v>
      </c>
      <c r="C133" s="119">
        <f t="shared" si="162"/>
        <v>35.409999999999997</v>
      </c>
      <c r="D133" s="119">
        <f t="shared" si="162"/>
        <v>1.4900000000000002</v>
      </c>
      <c r="E133" s="119">
        <f t="shared" si="162"/>
        <v>1.88</v>
      </c>
      <c r="F133" s="119">
        <f t="shared" si="162"/>
        <v>21.619999999999997</v>
      </c>
      <c r="G133" s="119">
        <f t="shared" si="162"/>
        <v>9.92</v>
      </c>
      <c r="H133" s="119">
        <f t="shared" si="162"/>
        <v>16.16</v>
      </c>
      <c r="I133" s="119">
        <f t="shared" si="162"/>
        <v>12.91</v>
      </c>
      <c r="J133" s="119">
        <f t="shared" si="162"/>
        <v>15.950000000000001</v>
      </c>
      <c r="K133" s="119">
        <f t="shared" si="162"/>
        <v>5.54</v>
      </c>
      <c r="L133" s="119">
        <f t="shared" si="162"/>
        <v>8.74</v>
      </c>
      <c r="M133" s="119">
        <f t="shared" si="162"/>
        <v>11.73</v>
      </c>
      <c r="N133" s="119">
        <f t="shared" si="162"/>
        <v>16.57</v>
      </c>
      <c r="O133" s="119">
        <f t="shared" si="162"/>
        <v>9.8899999999999988</v>
      </c>
      <c r="P133" s="119">
        <f t="shared" si="162"/>
        <v>36.470000000000006</v>
      </c>
      <c r="Q133" s="119">
        <f t="shared" si="162"/>
        <v>29.42</v>
      </c>
      <c r="R133" s="119">
        <f t="shared" si="162"/>
        <v>61.629999999999995</v>
      </c>
      <c r="S133" s="119">
        <f t="shared" si="162"/>
        <v>46.910000000000004</v>
      </c>
      <c r="T133" s="119">
        <f t="shared" si="162"/>
        <v>54.3</v>
      </c>
      <c r="U133" s="119">
        <f t="shared" si="162"/>
        <v>63.000000000000007</v>
      </c>
      <c r="V133" s="119">
        <f t="shared" si="162"/>
        <v>75.570000000000007</v>
      </c>
      <c r="W133" s="119">
        <f t="shared" si="162"/>
        <v>114.91999999999999</v>
      </c>
      <c r="X133" s="119">
        <f t="shared" si="162"/>
        <v>94.859999999999985</v>
      </c>
      <c r="Y133" s="119">
        <f t="shared" si="162"/>
        <v>5.73</v>
      </c>
      <c r="Z133" s="119">
        <f t="shared" si="162"/>
        <v>885.19</v>
      </c>
      <c r="AA133" s="144">
        <f t="shared" si="152"/>
        <v>7.7319792492016601E-3</v>
      </c>
      <c r="AC133" s="119">
        <f t="shared" si="112"/>
        <v>594.11</v>
      </c>
      <c r="AD133" s="119">
        <f t="shared" si="113"/>
        <v>285.35000000000002</v>
      </c>
      <c r="AE133" s="119">
        <f t="shared" si="116"/>
        <v>5.73</v>
      </c>
      <c r="AF133" s="119"/>
      <c r="AG133" s="119">
        <f t="shared" si="128"/>
        <v>885.19</v>
      </c>
      <c r="AH133" s="196">
        <f t="shared" si="118"/>
        <v>0.32236017126266675</v>
      </c>
      <c r="AJ133" s="382"/>
    </row>
    <row r="134" spans="1:36" x14ac:dyDescent="0.35">
      <c r="A134" s="6" t="s">
        <v>20</v>
      </c>
      <c r="B134" s="12">
        <f t="shared" ref="B134:Z134" si="163">B438+B287</f>
        <v>134.57000000000002</v>
      </c>
      <c r="C134" s="12">
        <f t="shared" si="163"/>
        <v>35.409999999999997</v>
      </c>
      <c r="D134" s="12">
        <f t="shared" si="163"/>
        <v>1.4900000000000002</v>
      </c>
      <c r="E134" s="12">
        <f t="shared" si="163"/>
        <v>1.88</v>
      </c>
      <c r="F134" s="12">
        <f t="shared" si="163"/>
        <v>21.619999999999997</v>
      </c>
      <c r="G134" s="12">
        <f t="shared" si="163"/>
        <v>9.92</v>
      </c>
      <c r="H134" s="12">
        <f t="shared" si="163"/>
        <v>16.16</v>
      </c>
      <c r="I134" s="12">
        <f t="shared" si="163"/>
        <v>12.91</v>
      </c>
      <c r="J134" s="12">
        <f t="shared" si="163"/>
        <v>15.950000000000001</v>
      </c>
      <c r="K134" s="12">
        <f t="shared" si="163"/>
        <v>5.54</v>
      </c>
      <c r="L134" s="12">
        <f t="shared" si="163"/>
        <v>8.74</v>
      </c>
      <c r="M134" s="12">
        <f t="shared" si="163"/>
        <v>11.73</v>
      </c>
      <c r="N134" s="12">
        <f t="shared" si="163"/>
        <v>16.57</v>
      </c>
      <c r="O134" s="12">
        <f t="shared" si="163"/>
        <v>9.8899999999999988</v>
      </c>
      <c r="P134" s="12">
        <f t="shared" si="163"/>
        <v>36.470000000000006</v>
      </c>
      <c r="Q134" s="12">
        <f t="shared" si="163"/>
        <v>29.42</v>
      </c>
      <c r="R134" s="12">
        <f t="shared" si="163"/>
        <v>61.629999999999995</v>
      </c>
      <c r="S134" s="12">
        <f t="shared" si="163"/>
        <v>46.910000000000004</v>
      </c>
      <c r="T134" s="12">
        <f t="shared" si="163"/>
        <v>54.3</v>
      </c>
      <c r="U134" s="12">
        <f t="shared" si="163"/>
        <v>63.000000000000007</v>
      </c>
      <c r="V134" s="12">
        <f t="shared" si="163"/>
        <v>75.570000000000007</v>
      </c>
      <c r="W134" s="12">
        <f t="shared" si="163"/>
        <v>114.91999999999999</v>
      </c>
      <c r="X134" s="12">
        <f t="shared" si="163"/>
        <v>94.859999999999985</v>
      </c>
      <c r="Y134" s="12">
        <f t="shared" si="163"/>
        <v>5.73</v>
      </c>
      <c r="Z134" s="12">
        <f t="shared" si="163"/>
        <v>885.19</v>
      </c>
      <c r="AA134" s="22">
        <f t="shared" si="152"/>
        <v>7.7319792492016601E-3</v>
      </c>
      <c r="AC134" s="175">
        <f t="shared" si="112"/>
        <v>594.11</v>
      </c>
      <c r="AD134" s="175">
        <f t="shared" si="113"/>
        <v>285.35000000000002</v>
      </c>
      <c r="AE134" s="12">
        <f t="shared" si="116"/>
        <v>5.73</v>
      </c>
      <c r="AF134" s="89"/>
      <c r="AG134" s="12">
        <f t="shared" si="128"/>
        <v>885.19</v>
      </c>
      <c r="AH134" s="22">
        <f t="shared" si="118"/>
        <v>0.32236017126266675</v>
      </c>
    </row>
    <row r="135" spans="1:36" x14ac:dyDescent="0.35">
      <c r="A135" s="118" t="s">
        <v>21</v>
      </c>
      <c r="B135" s="119">
        <f t="shared" ref="B135:Z135" si="164">B439+B288</f>
        <v>0</v>
      </c>
      <c r="C135" s="119">
        <f t="shared" si="164"/>
        <v>0.17</v>
      </c>
      <c r="D135" s="119">
        <f t="shared" si="164"/>
        <v>0</v>
      </c>
      <c r="E135" s="119">
        <f t="shared" si="164"/>
        <v>0</v>
      </c>
      <c r="F135" s="119">
        <f t="shared" si="164"/>
        <v>0</v>
      </c>
      <c r="G135" s="119">
        <f t="shared" si="164"/>
        <v>0.19</v>
      </c>
      <c r="H135" s="119">
        <f t="shared" si="164"/>
        <v>0</v>
      </c>
      <c r="I135" s="119">
        <f t="shared" si="164"/>
        <v>0</v>
      </c>
      <c r="J135" s="119">
        <f t="shared" si="164"/>
        <v>0</v>
      </c>
      <c r="K135" s="119">
        <f t="shared" si="164"/>
        <v>0</v>
      </c>
      <c r="L135" s="119">
        <f t="shared" si="164"/>
        <v>0</v>
      </c>
      <c r="M135" s="119">
        <f t="shared" si="164"/>
        <v>0</v>
      </c>
      <c r="N135" s="119">
        <f t="shared" si="164"/>
        <v>0</v>
      </c>
      <c r="O135" s="119">
        <f t="shared" si="164"/>
        <v>0</v>
      </c>
      <c r="P135" s="119">
        <f t="shared" si="164"/>
        <v>0</v>
      </c>
      <c r="Q135" s="119">
        <f t="shared" si="164"/>
        <v>0.34</v>
      </c>
      <c r="R135" s="119">
        <f t="shared" si="164"/>
        <v>0</v>
      </c>
      <c r="S135" s="119">
        <f t="shared" si="164"/>
        <v>6.81</v>
      </c>
      <c r="T135" s="119">
        <f t="shared" si="164"/>
        <v>3.84</v>
      </c>
      <c r="U135" s="119">
        <f t="shared" si="164"/>
        <v>10.44</v>
      </c>
      <c r="V135" s="119">
        <f t="shared" si="164"/>
        <v>26.08</v>
      </c>
      <c r="W135" s="119">
        <f t="shared" si="164"/>
        <v>11.49</v>
      </c>
      <c r="X135" s="119">
        <f t="shared" si="164"/>
        <v>73.400000000000006</v>
      </c>
      <c r="Y135" s="119">
        <f t="shared" si="164"/>
        <v>0.13</v>
      </c>
      <c r="Z135" s="119">
        <f t="shared" si="164"/>
        <v>132.88999999999999</v>
      </c>
      <c r="AA135" s="144">
        <f t="shared" si="152"/>
        <v>1.1607708203057066E-3</v>
      </c>
      <c r="AC135" s="119">
        <f t="shared" si="112"/>
        <v>21.79</v>
      </c>
      <c r="AD135" s="119">
        <f t="shared" si="113"/>
        <v>110.97</v>
      </c>
      <c r="AE135" s="119">
        <f t="shared" si="116"/>
        <v>0.13</v>
      </c>
      <c r="AF135" s="119"/>
      <c r="AG135" s="119">
        <f t="shared" si="128"/>
        <v>132.88999999999999</v>
      </c>
      <c r="AH135" s="196">
        <f t="shared" si="118"/>
        <v>0.83505154639175261</v>
      </c>
    </row>
    <row r="136" spans="1:36" x14ac:dyDescent="0.35">
      <c r="A136" s="6" t="s">
        <v>21</v>
      </c>
      <c r="B136" s="12">
        <f t="shared" ref="B136:Z136" si="165">B440+B289</f>
        <v>0</v>
      </c>
      <c r="C136" s="12">
        <f t="shared" si="165"/>
        <v>0.17</v>
      </c>
      <c r="D136" s="12">
        <f t="shared" si="165"/>
        <v>0</v>
      </c>
      <c r="E136" s="12">
        <f t="shared" si="165"/>
        <v>0</v>
      </c>
      <c r="F136" s="12">
        <f t="shared" si="165"/>
        <v>0</v>
      </c>
      <c r="G136" s="12">
        <f t="shared" si="165"/>
        <v>0.19</v>
      </c>
      <c r="H136" s="12">
        <f t="shared" si="165"/>
        <v>0</v>
      </c>
      <c r="I136" s="12">
        <f t="shared" si="165"/>
        <v>0</v>
      </c>
      <c r="J136" s="12">
        <f t="shared" si="165"/>
        <v>0</v>
      </c>
      <c r="K136" s="12">
        <f t="shared" si="165"/>
        <v>0</v>
      </c>
      <c r="L136" s="12">
        <f t="shared" si="165"/>
        <v>0</v>
      </c>
      <c r="M136" s="12">
        <f t="shared" si="165"/>
        <v>0</v>
      </c>
      <c r="N136" s="12">
        <f t="shared" si="165"/>
        <v>0</v>
      </c>
      <c r="O136" s="12">
        <f t="shared" si="165"/>
        <v>0</v>
      </c>
      <c r="P136" s="12">
        <f t="shared" si="165"/>
        <v>0</v>
      </c>
      <c r="Q136" s="12">
        <f t="shared" si="165"/>
        <v>0.34</v>
      </c>
      <c r="R136" s="12">
        <f t="shared" si="165"/>
        <v>0</v>
      </c>
      <c r="S136" s="12">
        <f t="shared" si="165"/>
        <v>6.81</v>
      </c>
      <c r="T136" s="12">
        <f t="shared" si="165"/>
        <v>3.84</v>
      </c>
      <c r="U136" s="12">
        <f t="shared" si="165"/>
        <v>10.44</v>
      </c>
      <c r="V136" s="12">
        <f t="shared" si="165"/>
        <v>26.08</v>
      </c>
      <c r="W136" s="12">
        <f t="shared" si="165"/>
        <v>11.49</v>
      </c>
      <c r="X136" s="12">
        <f t="shared" si="165"/>
        <v>73.400000000000006</v>
      </c>
      <c r="Y136" s="12">
        <f t="shared" si="165"/>
        <v>0.13</v>
      </c>
      <c r="Z136" s="12">
        <f t="shared" si="165"/>
        <v>132.88999999999999</v>
      </c>
      <c r="AA136" s="22">
        <f t="shared" si="152"/>
        <v>1.1607708203057066E-3</v>
      </c>
      <c r="AC136" s="175">
        <f t="shared" si="112"/>
        <v>21.79</v>
      </c>
      <c r="AD136" s="175">
        <f t="shared" si="113"/>
        <v>110.97</v>
      </c>
      <c r="AE136" s="12">
        <f t="shared" si="116"/>
        <v>0.13</v>
      </c>
      <c r="AF136" s="89"/>
      <c r="AG136" s="12">
        <f t="shared" si="128"/>
        <v>132.88999999999999</v>
      </c>
      <c r="AH136" s="22">
        <f t="shared" si="118"/>
        <v>0.83505154639175261</v>
      </c>
    </row>
    <row r="137" spans="1:36" x14ac:dyDescent="0.35">
      <c r="A137" s="118" t="s">
        <v>22</v>
      </c>
      <c r="B137" s="119">
        <f t="shared" ref="B137:Z137" si="166">B441+B290</f>
        <v>2333.0599999999995</v>
      </c>
      <c r="C137" s="119">
        <f t="shared" si="166"/>
        <v>409.33</v>
      </c>
      <c r="D137" s="119">
        <f t="shared" si="166"/>
        <v>50.44</v>
      </c>
      <c r="E137" s="119">
        <f t="shared" si="166"/>
        <v>64.930000000000007</v>
      </c>
      <c r="F137" s="119">
        <f t="shared" si="166"/>
        <v>23.869999999999997</v>
      </c>
      <c r="G137" s="119">
        <f t="shared" si="166"/>
        <v>69.27</v>
      </c>
      <c r="H137" s="119">
        <f t="shared" si="166"/>
        <v>128.20999999999998</v>
      </c>
      <c r="I137" s="119">
        <f t="shared" si="166"/>
        <v>66.38</v>
      </c>
      <c r="J137" s="119">
        <f t="shared" si="166"/>
        <v>123.86</v>
      </c>
      <c r="K137" s="119">
        <f t="shared" si="166"/>
        <v>77.52000000000001</v>
      </c>
      <c r="L137" s="119">
        <f t="shared" si="166"/>
        <v>141.16</v>
      </c>
      <c r="M137" s="119">
        <f t="shared" si="166"/>
        <v>152.38000000000002</v>
      </c>
      <c r="N137" s="119">
        <f t="shared" si="166"/>
        <v>53.710000000000008</v>
      </c>
      <c r="O137" s="119">
        <f t="shared" si="166"/>
        <v>239.63000000000002</v>
      </c>
      <c r="P137" s="119">
        <f t="shared" si="166"/>
        <v>106.75999999999999</v>
      </c>
      <c r="Q137" s="119">
        <f t="shared" si="166"/>
        <v>183.62</v>
      </c>
      <c r="R137" s="119">
        <f t="shared" si="166"/>
        <v>578.65</v>
      </c>
      <c r="S137" s="119">
        <f t="shared" si="166"/>
        <v>539.31999999999994</v>
      </c>
      <c r="T137" s="119">
        <f t="shared" si="166"/>
        <v>380.06999999999994</v>
      </c>
      <c r="U137" s="119">
        <f t="shared" si="166"/>
        <v>390.68</v>
      </c>
      <c r="V137" s="119">
        <f t="shared" si="166"/>
        <v>290.45</v>
      </c>
      <c r="W137" s="119">
        <f t="shared" si="166"/>
        <v>259.48999999999995</v>
      </c>
      <c r="X137" s="119">
        <f t="shared" si="166"/>
        <v>295.73</v>
      </c>
      <c r="Y137" s="119">
        <f t="shared" si="166"/>
        <v>14.179999999999996</v>
      </c>
      <c r="Z137" s="119">
        <f t="shared" si="166"/>
        <v>6972.7</v>
      </c>
      <c r="AA137" s="144">
        <f t="shared" si="152"/>
        <v>6.0905310397664239E-2</v>
      </c>
      <c r="AC137" s="119">
        <f t="shared" si="112"/>
        <v>6112.8499999999985</v>
      </c>
      <c r="AD137" s="119">
        <f t="shared" si="113"/>
        <v>845.67</v>
      </c>
      <c r="AE137" s="119">
        <f t="shared" si="116"/>
        <v>14.179999999999996</v>
      </c>
      <c r="AF137" s="119">
        <v>1.42</v>
      </c>
      <c r="AG137" s="119">
        <f t="shared" si="128"/>
        <v>6974.119999999999</v>
      </c>
      <c r="AH137" s="196">
        <f t="shared" si="118"/>
        <v>0.12125830929206841</v>
      </c>
    </row>
    <row r="138" spans="1:36" x14ac:dyDescent="0.35">
      <c r="A138" s="6" t="s">
        <v>22</v>
      </c>
      <c r="B138" s="12">
        <f t="shared" ref="B138:Z138" si="167">B442+B291</f>
        <v>2333.0599999999995</v>
      </c>
      <c r="C138" s="12">
        <f t="shared" si="167"/>
        <v>409.33</v>
      </c>
      <c r="D138" s="12">
        <f t="shared" si="167"/>
        <v>50.44</v>
      </c>
      <c r="E138" s="12">
        <f t="shared" si="167"/>
        <v>64.930000000000007</v>
      </c>
      <c r="F138" s="12">
        <f t="shared" si="167"/>
        <v>23.869999999999997</v>
      </c>
      <c r="G138" s="12">
        <f t="shared" si="167"/>
        <v>69.27</v>
      </c>
      <c r="H138" s="12">
        <f t="shared" si="167"/>
        <v>128.20999999999998</v>
      </c>
      <c r="I138" s="12">
        <f t="shared" si="167"/>
        <v>66.38</v>
      </c>
      <c r="J138" s="12">
        <f t="shared" si="167"/>
        <v>123.86</v>
      </c>
      <c r="K138" s="12">
        <f t="shared" si="167"/>
        <v>77.52000000000001</v>
      </c>
      <c r="L138" s="12">
        <f t="shared" si="167"/>
        <v>141.16</v>
      </c>
      <c r="M138" s="12">
        <f t="shared" si="167"/>
        <v>152.38000000000002</v>
      </c>
      <c r="N138" s="12">
        <f t="shared" si="167"/>
        <v>53.710000000000008</v>
      </c>
      <c r="O138" s="12">
        <f t="shared" si="167"/>
        <v>239.63000000000002</v>
      </c>
      <c r="P138" s="12">
        <f t="shared" si="167"/>
        <v>106.75999999999999</v>
      </c>
      <c r="Q138" s="12">
        <f t="shared" si="167"/>
        <v>183.62</v>
      </c>
      <c r="R138" s="12">
        <f t="shared" si="167"/>
        <v>578.65</v>
      </c>
      <c r="S138" s="12">
        <f t="shared" si="167"/>
        <v>539.31999999999994</v>
      </c>
      <c r="T138" s="12">
        <f t="shared" si="167"/>
        <v>380.06999999999994</v>
      </c>
      <c r="U138" s="12">
        <f t="shared" si="167"/>
        <v>390.68</v>
      </c>
      <c r="V138" s="12">
        <f t="shared" si="167"/>
        <v>290.45</v>
      </c>
      <c r="W138" s="12">
        <f t="shared" si="167"/>
        <v>259.48999999999995</v>
      </c>
      <c r="X138" s="12">
        <f t="shared" si="167"/>
        <v>295.73</v>
      </c>
      <c r="Y138" s="12">
        <f t="shared" si="167"/>
        <v>14.179999999999996</v>
      </c>
      <c r="Z138" s="12">
        <f t="shared" si="167"/>
        <v>6972.7</v>
      </c>
      <c r="AA138" s="22">
        <f t="shared" si="152"/>
        <v>6.0905310397664239E-2</v>
      </c>
      <c r="AC138" s="175">
        <f t="shared" si="112"/>
        <v>6112.8499999999985</v>
      </c>
      <c r="AD138" s="175">
        <f t="shared" si="113"/>
        <v>845.67</v>
      </c>
      <c r="AE138" s="12">
        <f t="shared" si="116"/>
        <v>14.179999999999996</v>
      </c>
      <c r="AF138" s="89">
        <v>1.42</v>
      </c>
      <c r="AG138" s="12">
        <f t="shared" si="128"/>
        <v>6974.119999999999</v>
      </c>
      <c r="AH138" s="22">
        <f t="shared" si="118"/>
        <v>0.12125830929206841</v>
      </c>
    </row>
    <row r="139" spans="1:36" x14ac:dyDescent="0.35">
      <c r="A139" s="118" t="s">
        <v>23</v>
      </c>
      <c r="B139" s="119">
        <f t="shared" ref="B139:Z139" si="168">B443+B292</f>
        <v>434.44000000000011</v>
      </c>
      <c r="C139" s="119">
        <f t="shared" si="168"/>
        <v>40.520000000000003</v>
      </c>
      <c r="D139" s="119">
        <f t="shared" si="168"/>
        <v>5.8599999999999994</v>
      </c>
      <c r="E139" s="119">
        <f t="shared" si="168"/>
        <v>2.79</v>
      </c>
      <c r="F139" s="119">
        <f t="shared" si="168"/>
        <v>11.25</v>
      </c>
      <c r="G139" s="119">
        <f t="shared" si="168"/>
        <v>28.56</v>
      </c>
      <c r="H139" s="119">
        <f t="shared" si="168"/>
        <v>9.8899999999999988</v>
      </c>
      <c r="I139" s="119">
        <f t="shared" si="168"/>
        <v>12.91</v>
      </c>
      <c r="J139" s="119">
        <f t="shared" si="168"/>
        <v>13.33</v>
      </c>
      <c r="K139" s="119">
        <f t="shared" si="168"/>
        <v>67.33</v>
      </c>
      <c r="L139" s="119">
        <f t="shared" si="168"/>
        <v>29.68</v>
      </c>
      <c r="M139" s="119">
        <f t="shared" si="168"/>
        <v>35.650000000000006</v>
      </c>
      <c r="N139" s="119">
        <f t="shared" si="168"/>
        <v>13.810000000000002</v>
      </c>
      <c r="O139" s="119">
        <f t="shared" si="168"/>
        <v>17.82</v>
      </c>
      <c r="P139" s="119">
        <f t="shared" si="168"/>
        <v>21.36</v>
      </c>
      <c r="Q139" s="119">
        <f t="shared" si="168"/>
        <v>74.679999999999993</v>
      </c>
      <c r="R139" s="119">
        <f t="shared" si="168"/>
        <v>107.03000000000002</v>
      </c>
      <c r="S139" s="119">
        <f t="shared" si="168"/>
        <v>182.42000000000002</v>
      </c>
      <c r="T139" s="119">
        <f t="shared" si="168"/>
        <v>170.37000000000003</v>
      </c>
      <c r="U139" s="119">
        <f t="shared" si="168"/>
        <v>103.28999999999999</v>
      </c>
      <c r="V139" s="119">
        <f t="shared" si="168"/>
        <v>144.32</v>
      </c>
      <c r="W139" s="119">
        <f t="shared" si="168"/>
        <v>220.34</v>
      </c>
      <c r="X139" s="119">
        <f t="shared" si="168"/>
        <v>150.11000000000001</v>
      </c>
      <c r="Y139" s="119">
        <f t="shared" si="168"/>
        <v>3.71</v>
      </c>
      <c r="Z139" s="119">
        <f t="shared" si="168"/>
        <v>1901.47</v>
      </c>
      <c r="AA139" s="144">
        <f t="shared" si="152"/>
        <v>1.6609006634710606E-2</v>
      </c>
      <c r="AC139" s="119">
        <f t="shared" si="112"/>
        <v>1382.99</v>
      </c>
      <c r="AD139" s="119">
        <f t="shared" si="113"/>
        <v>514.77</v>
      </c>
      <c r="AE139" s="119">
        <f t="shared" si="116"/>
        <v>3.71</v>
      </c>
      <c r="AF139" s="119">
        <v>0.59</v>
      </c>
      <c r="AG139" s="119">
        <f t="shared" si="128"/>
        <v>1902.06</v>
      </c>
      <c r="AH139" s="196">
        <f t="shared" si="118"/>
        <v>0.27063815021608151</v>
      </c>
    </row>
    <row r="140" spans="1:36" x14ac:dyDescent="0.35">
      <c r="A140" s="6" t="s">
        <v>23</v>
      </c>
      <c r="B140" s="12">
        <f t="shared" ref="B140:Z140" si="169">B444+B293</f>
        <v>434.44000000000011</v>
      </c>
      <c r="C140" s="12">
        <f t="shared" si="169"/>
        <v>40.520000000000003</v>
      </c>
      <c r="D140" s="12">
        <f t="shared" si="169"/>
        <v>5.8599999999999994</v>
      </c>
      <c r="E140" s="12">
        <f t="shared" si="169"/>
        <v>2.79</v>
      </c>
      <c r="F140" s="12">
        <f t="shared" si="169"/>
        <v>11.25</v>
      </c>
      <c r="G140" s="12">
        <f t="shared" si="169"/>
        <v>28.56</v>
      </c>
      <c r="H140" s="12">
        <f t="shared" si="169"/>
        <v>9.8899999999999988</v>
      </c>
      <c r="I140" s="12">
        <f t="shared" si="169"/>
        <v>12.91</v>
      </c>
      <c r="J140" s="12">
        <f t="shared" si="169"/>
        <v>13.33</v>
      </c>
      <c r="K140" s="12">
        <f t="shared" si="169"/>
        <v>67.33</v>
      </c>
      <c r="L140" s="12">
        <f t="shared" si="169"/>
        <v>29.68</v>
      </c>
      <c r="M140" s="12">
        <f t="shared" si="169"/>
        <v>35.650000000000006</v>
      </c>
      <c r="N140" s="12">
        <f t="shared" si="169"/>
        <v>13.810000000000002</v>
      </c>
      <c r="O140" s="12">
        <f t="shared" si="169"/>
        <v>17.82</v>
      </c>
      <c r="P140" s="12">
        <f t="shared" si="169"/>
        <v>21.36</v>
      </c>
      <c r="Q140" s="12">
        <f t="shared" si="169"/>
        <v>74.679999999999993</v>
      </c>
      <c r="R140" s="12">
        <f t="shared" si="169"/>
        <v>107.03000000000002</v>
      </c>
      <c r="S140" s="12">
        <f t="shared" si="169"/>
        <v>182.42000000000002</v>
      </c>
      <c r="T140" s="12">
        <f t="shared" si="169"/>
        <v>170.37000000000003</v>
      </c>
      <c r="U140" s="12">
        <f t="shared" si="169"/>
        <v>103.28999999999999</v>
      </c>
      <c r="V140" s="12">
        <f t="shared" si="169"/>
        <v>144.32</v>
      </c>
      <c r="W140" s="12">
        <f t="shared" si="169"/>
        <v>220.34</v>
      </c>
      <c r="X140" s="12">
        <f t="shared" si="169"/>
        <v>150.11000000000001</v>
      </c>
      <c r="Y140" s="12">
        <f t="shared" si="169"/>
        <v>3.71</v>
      </c>
      <c r="Z140" s="12">
        <f t="shared" si="169"/>
        <v>1901.47</v>
      </c>
      <c r="AA140" s="22">
        <f t="shared" si="152"/>
        <v>1.6609006634710606E-2</v>
      </c>
      <c r="AC140" s="175">
        <f t="shared" si="112"/>
        <v>1382.99</v>
      </c>
      <c r="AD140" s="175">
        <f t="shared" si="113"/>
        <v>514.77</v>
      </c>
      <c r="AE140" s="12">
        <f t="shared" si="116"/>
        <v>3.71</v>
      </c>
      <c r="AF140" s="89">
        <v>0.59</v>
      </c>
      <c r="AG140" s="12">
        <f t="shared" si="128"/>
        <v>1902.06</v>
      </c>
      <c r="AH140" s="22">
        <f t="shared" si="118"/>
        <v>0.27063815021608151</v>
      </c>
    </row>
    <row r="141" spans="1:36" ht="15.5" x14ac:dyDescent="0.35">
      <c r="A141" s="180" t="s">
        <v>25</v>
      </c>
      <c r="B141" s="142">
        <f t="shared" ref="B141:Z141" si="170">B445+B294</f>
        <v>14784.89</v>
      </c>
      <c r="C141" s="142">
        <f t="shared" si="170"/>
        <v>2988.1900000000005</v>
      </c>
      <c r="D141" s="142">
        <f t="shared" si="170"/>
        <v>512.69000000000005</v>
      </c>
      <c r="E141" s="142">
        <f t="shared" si="170"/>
        <v>430.64</v>
      </c>
      <c r="F141" s="142">
        <f t="shared" si="170"/>
        <v>520.89</v>
      </c>
      <c r="G141" s="142">
        <f t="shared" si="170"/>
        <v>723.17</v>
      </c>
      <c r="H141" s="142">
        <f t="shared" si="170"/>
        <v>1230.47</v>
      </c>
      <c r="I141" s="142">
        <f t="shared" si="170"/>
        <v>1099.71</v>
      </c>
      <c r="J141" s="142">
        <f t="shared" si="170"/>
        <v>1235.02</v>
      </c>
      <c r="K141" s="142">
        <f t="shared" si="170"/>
        <v>1574.7000000000003</v>
      </c>
      <c r="L141" s="142">
        <f t="shared" si="170"/>
        <v>1215.3000000000002</v>
      </c>
      <c r="M141" s="142">
        <f t="shared" si="170"/>
        <v>1525.3200000000002</v>
      </c>
      <c r="N141" s="142">
        <f t="shared" si="170"/>
        <v>1123.5300000000002</v>
      </c>
      <c r="O141" s="142">
        <f t="shared" si="170"/>
        <v>1462.3700000000001</v>
      </c>
      <c r="P141" s="142">
        <f t="shared" si="170"/>
        <v>2143.6400000000003</v>
      </c>
      <c r="Q141" s="142">
        <f t="shared" si="170"/>
        <v>3879.81</v>
      </c>
      <c r="R141" s="142">
        <f t="shared" si="170"/>
        <v>8731.49</v>
      </c>
      <c r="S141" s="142">
        <f t="shared" si="170"/>
        <v>14109.73</v>
      </c>
      <c r="T141" s="142">
        <f t="shared" si="170"/>
        <v>14083.499999999998</v>
      </c>
      <c r="U141" s="142">
        <f t="shared" si="170"/>
        <v>9032.9600000000009</v>
      </c>
      <c r="V141" s="142">
        <f t="shared" si="170"/>
        <v>8369.74</v>
      </c>
      <c r="W141" s="142">
        <f t="shared" si="170"/>
        <v>13855.849999999999</v>
      </c>
      <c r="X141" s="142">
        <f t="shared" si="170"/>
        <v>9765.09</v>
      </c>
      <c r="Y141" s="142">
        <f t="shared" si="170"/>
        <v>85.57</v>
      </c>
      <c r="Z141" s="142">
        <f t="shared" si="170"/>
        <v>114484.26999999999</v>
      </c>
      <c r="AA141" s="142">
        <f t="shared" si="152"/>
        <v>1</v>
      </c>
      <c r="AC141" s="142">
        <f t="shared" si="112"/>
        <v>82408.02</v>
      </c>
      <c r="AD141" s="142">
        <f t="shared" si="113"/>
        <v>31990.679999999997</v>
      </c>
      <c r="AE141" s="142">
        <f t="shared" si="116"/>
        <v>85.57</v>
      </c>
      <c r="AF141" s="142">
        <v>213.49459999999999</v>
      </c>
      <c r="AG141" s="142">
        <f t="shared" si="128"/>
        <v>114697.76460000001</v>
      </c>
      <c r="AH141" s="197">
        <f t="shared" si="118"/>
        <v>0.27891284639735686</v>
      </c>
    </row>
    <row r="142" spans="1:36" x14ac:dyDescent="0.35">
      <c r="A142" s="378" t="s">
        <v>253</v>
      </c>
      <c r="B142" s="379"/>
      <c r="C142" s="379">
        <f>C141+B141</f>
        <v>17773.080000000002</v>
      </c>
      <c r="D142" s="379">
        <f>D141+C142</f>
        <v>18285.77</v>
      </c>
      <c r="E142" s="379">
        <f>E141+D142</f>
        <v>18716.41</v>
      </c>
      <c r="F142" s="379">
        <f t="shared" ref="F142" si="171">F141+E142</f>
        <v>19237.3</v>
      </c>
      <c r="G142" s="379">
        <f t="shared" ref="G142" si="172">G141+F142</f>
        <v>19960.469999999998</v>
      </c>
      <c r="H142" s="379">
        <f t="shared" ref="H142" si="173">H141+G142</f>
        <v>21190.94</v>
      </c>
      <c r="I142" s="379">
        <f t="shared" ref="I142" si="174">I141+H142</f>
        <v>22290.649999999998</v>
      </c>
      <c r="J142" s="379">
        <f t="shared" ref="J142" si="175">J141+I142</f>
        <v>23525.67</v>
      </c>
      <c r="K142" s="379">
        <f t="shared" ref="K142" si="176">K141+J142</f>
        <v>25100.37</v>
      </c>
      <c r="L142" s="379">
        <f t="shared" ref="L142" si="177">L141+K142</f>
        <v>26315.67</v>
      </c>
      <c r="M142" s="379">
        <f t="shared" ref="M142" si="178">M141+L142</f>
        <v>27840.989999999998</v>
      </c>
      <c r="N142" s="379">
        <f t="shared" ref="N142" si="179">N141+M142</f>
        <v>28964.519999999997</v>
      </c>
      <c r="O142" s="379">
        <f t="shared" ref="O142" si="180">O141+N142</f>
        <v>30426.889999999996</v>
      </c>
      <c r="P142" s="379">
        <f t="shared" ref="P142" si="181">P141+O142</f>
        <v>32570.529999999995</v>
      </c>
      <c r="Q142" s="379">
        <f t="shared" ref="Q142" si="182">Q141+P142</f>
        <v>36450.339999999997</v>
      </c>
      <c r="R142" s="379">
        <f t="shared" ref="R142" si="183">R141+Q142</f>
        <v>45181.829999999994</v>
      </c>
      <c r="S142" s="379">
        <f t="shared" ref="S142" si="184">S141+R142</f>
        <v>59291.56</v>
      </c>
      <c r="T142" s="379">
        <f t="shared" ref="T142" si="185">T141+S142</f>
        <v>73375.06</v>
      </c>
      <c r="U142" s="379">
        <f t="shared" ref="U142" si="186">U141+T142</f>
        <v>82408.02</v>
      </c>
      <c r="V142" s="379">
        <f t="shared" ref="V142" si="187">V141+U142</f>
        <v>90777.760000000009</v>
      </c>
      <c r="W142" s="379">
        <f t="shared" ref="W142" si="188">W141+V142</f>
        <v>104633.61000000002</v>
      </c>
      <c r="X142" s="379">
        <f t="shared" ref="X142" si="189">X141+W142</f>
        <v>114398.70000000001</v>
      </c>
    </row>
    <row r="143" spans="1:36" x14ac:dyDescent="0.35">
      <c r="A143" s="380" t="s">
        <v>254</v>
      </c>
      <c r="B143" s="379"/>
      <c r="C143" s="381"/>
      <c r="D143" s="381">
        <f t="shared" ref="D143:X143" si="190">D142/C142-1</f>
        <v>2.8846435170493789E-2</v>
      </c>
      <c r="E143" s="381">
        <f t="shared" si="190"/>
        <v>2.3550553244408023E-2</v>
      </c>
      <c r="F143" s="381">
        <f t="shared" si="190"/>
        <v>2.7830657695572913E-2</v>
      </c>
      <c r="G143" s="381">
        <f t="shared" si="190"/>
        <v>3.7592073731760545E-2</v>
      </c>
      <c r="H143" s="381">
        <f t="shared" si="190"/>
        <v>6.1645342018499694E-2</v>
      </c>
      <c r="I143" s="381">
        <f t="shared" si="190"/>
        <v>5.1895291100819474E-2</v>
      </c>
      <c r="J143" s="381">
        <f t="shared" si="190"/>
        <v>5.5405293250757603E-2</v>
      </c>
      <c r="K143" s="381">
        <f t="shared" si="190"/>
        <v>6.6935394401094639E-2</v>
      </c>
      <c r="L143" s="381">
        <f t="shared" si="190"/>
        <v>4.8417612967458279E-2</v>
      </c>
      <c r="M143" s="381">
        <f t="shared" si="190"/>
        <v>5.7962423149401143E-2</v>
      </c>
      <c r="N143" s="381">
        <f t="shared" si="190"/>
        <v>4.0355245988019872E-2</v>
      </c>
      <c r="O143" s="381">
        <f t="shared" si="190"/>
        <v>5.0488321574118977E-2</v>
      </c>
      <c r="P143" s="381">
        <f t="shared" si="190"/>
        <v>7.0452155971247876E-2</v>
      </c>
      <c r="Q143" s="381">
        <f t="shared" si="190"/>
        <v>0.11912025994050457</v>
      </c>
      <c r="R143" s="381">
        <f t="shared" si="190"/>
        <v>0.23954481631721403</v>
      </c>
      <c r="S143" s="381">
        <f t="shared" si="190"/>
        <v>0.31228770503540915</v>
      </c>
      <c r="T143" s="381">
        <f t="shared" si="190"/>
        <v>0.23752959105815408</v>
      </c>
      <c r="U143" s="381">
        <f t="shared" si="190"/>
        <v>0.12310667957205079</v>
      </c>
      <c r="V143" s="381">
        <f t="shared" si="190"/>
        <v>0.10156462926787957</v>
      </c>
      <c r="W143" s="381">
        <f t="shared" si="190"/>
        <v>0.15263485241319019</v>
      </c>
      <c r="X143" s="381">
        <f t="shared" si="190"/>
        <v>9.3326513344994977E-2</v>
      </c>
      <c r="Y143" s="379">
        <f>SUM(R141:X141)</f>
        <v>77948.359999999986</v>
      </c>
    </row>
    <row r="144" spans="1:36" s="210" customFormat="1" x14ac:dyDescent="0.35">
      <c r="A144" s="522" t="s">
        <v>313</v>
      </c>
      <c r="B144" s="523">
        <f>B139+B137+B135+B133+B130+B128+B119+B113+B108+B104+B100+B91</f>
        <v>14784.889999999998</v>
      </c>
      <c r="C144" s="523">
        <f t="shared" ref="C144:Z144" si="191">C139+C137+C135+C133+C130+C128+C119+C113+C108+C104+C100+C91</f>
        <v>2988.1900000000005</v>
      </c>
      <c r="D144" s="523">
        <f t="shared" si="191"/>
        <v>512.69000000000005</v>
      </c>
      <c r="E144" s="523">
        <f t="shared" si="191"/>
        <v>430.64</v>
      </c>
      <c r="F144" s="523">
        <f t="shared" si="191"/>
        <v>520.89</v>
      </c>
      <c r="G144" s="523">
        <f t="shared" si="191"/>
        <v>723.17</v>
      </c>
      <c r="H144" s="523">
        <f t="shared" si="191"/>
        <v>1230.47</v>
      </c>
      <c r="I144" s="523">
        <f t="shared" si="191"/>
        <v>1099.71</v>
      </c>
      <c r="J144" s="523">
        <f t="shared" si="191"/>
        <v>1235.02</v>
      </c>
      <c r="K144" s="523">
        <f t="shared" si="191"/>
        <v>1574.7</v>
      </c>
      <c r="L144" s="523">
        <f t="shared" si="191"/>
        <v>1215.3000000000002</v>
      </c>
      <c r="M144" s="523">
        <f t="shared" si="191"/>
        <v>1525.3200000000002</v>
      </c>
      <c r="N144" s="523">
        <f t="shared" si="191"/>
        <v>1123.5300000000002</v>
      </c>
      <c r="O144" s="523">
        <f t="shared" si="191"/>
        <v>1462.3700000000001</v>
      </c>
      <c r="P144" s="523">
        <f t="shared" si="191"/>
        <v>2143.6400000000003</v>
      </c>
      <c r="Q144" s="523">
        <f t="shared" si="191"/>
        <v>3879.8100000000004</v>
      </c>
      <c r="R144" s="523">
        <f t="shared" si="191"/>
        <v>8731.49</v>
      </c>
      <c r="S144" s="523">
        <f t="shared" si="191"/>
        <v>14109.73</v>
      </c>
      <c r="T144" s="523">
        <f t="shared" si="191"/>
        <v>14083.5</v>
      </c>
      <c r="U144" s="523">
        <f t="shared" si="191"/>
        <v>9032.9599999999991</v>
      </c>
      <c r="V144" s="523">
        <f t="shared" si="191"/>
        <v>8369.74</v>
      </c>
      <c r="W144" s="523">
        <f t="shared" si="191"/>
        <v>13855.849999999999</v>
      </c>
      <c r="X144" s="523">
        <f t="shared" si="191"/>
        <v>9765.09</v>
      </c>
      <c r="Y144" s="523">
        <f t="shared" si="191"/>
        <v>85.570000000000007</v>
      </c>
      <c r="Z144" s="523">
        <f t="shared" si="191"/>
        <v>114484.26999999999</v>
      </c>
      <c r="AC144" s="523">
        <f t="shared" ref="AC144:AE144" si="192">AC139+AC137+AC135+AC133+AC130+AC128+AC119+AC113+AC108+AC104+AC100+AC91</f>
        <v>82408.01999999999</v>
      </c>
      <c r="AD144" s="523">
        <f t="shared" si="192"/>
        <v>31990.68</v>
      </c>
      <c r="AE144" s="523">
        <f t="shared" si="192"/>
        <v>85.570000000000007</v>
      </c>
      <c r="AF144" s="523">
        <f t="shared" ref="AF144" si="193">AF139+AF137+AF135+AF133+AF130+AF128+AF119+AF113+AF108+AF104+AF100+AF91</f>
        <v>213.49459999999999</v>
      </c>
      <c r="AG144" s="523">
        <f t="shared" ref="AG144" si="194">AG139+AG137+AG135+AG133+AG130+AG128+AG119+AG113+AG108+AG104+AG100+AG91</f>
        <v>114697.76459999999</v>
      </c>
    </row>
    <row r="147" spans="1:25" ht="15.5" x14ac:dyDescent="0.35">
      <c r="A147" s="146" t="s">
        <v>99</v>
      </c>
      <c r="B147" s="147" t="s">
        <v>134</v>
      </c>
      <c r="C147" s="147">
        <v>2000</v>
      </c>
      <c r="D147" s="147">
        <v>2001</v>
      </c>
      <c r="E147" s="147">
        <v>2002</v>
      </c>
      <c r="F147" s="147">
        <v>2003</v>
      </c>
      <c r="G147" s="147">
        <v>2004</v>
      </c>
      <c r="H147" s="147">
        <v>2005</v>
      </c>
      <c r="I147" s="147">
        <v>2006</v>
      </c>
      <c r="J147" s="147">
        <v>2007</v>
      </c>
      <c r="K147" s="147">
        <v>2008</v>
      </c>
      <c r="L147" s="147">
        <v>2009</v>
      </c>
      <c r="M147" s="147">
        <v>2010</v>
      </c>
      <c r="N147" s="147">
        <v>2011</v>
      </c>
      <c r="O147" s="147">
        <v>2012</v>
      </c>
      <c r="P147" s="147">
        <v>2013</v>
      </c>
      <c r="Q147" s="147">
        <v>2014</v>
      </c>
      <c r="R147" s="147">
        <v>2015</v>
      </c>
      <c r="S147" s="147">
        <v>2016</v>
      </c>
      <c r="T147" s="147">
        <v>2017</v>
      </c>
      <c r="U147" s="147">
        <v>2018</v>
      </c>
      <c r="V147" s="147">
        <v>2019</v>
      </c>
      <c r="W147" s="147">
        <v>2020</v>
      </c>
      <c r="X147" s="147">
        <v>2021</v>
      </c>
      <c r="Y147" s="148" t="s">
        <v>90</v>
      </c>
    </row>
    <row r="148" spans="1:25" x14ac:dyDescent="0.35">
      <c r="A148" s="145" t="s">
        <v>5</v>
      </c>
      <c r="B148" s="22">
        <f t="shared" ref="B148:Y148" si="195">B91/$Z$91</f>
        <v>5.6642941874258619E-2</v>
      </c>
      <c r="C148" s="22">
        <f t="shared" si="195"/>
        <v>1.5899778782341063E-2</v>
      </c>
      <c r="D148" s="22">
        <f t="shared" si="195"/>
        <v>3.0822993812317664E-3</v>
      </c>
      <c r="E148" s="22">
        <f t="shared" si="195"/>
        <v>2.2112147734923539E-3</v>
      </c>
      <c r="F148" s="22">
        <f t="shared" si="195"/>
        <v>4.007886890449168E-3</v>
      </c>
      <c r="G148" s="22">
        <f t="shared" si="195"/>
        <v>5.1578981116347667E-3</v>
      </c>
      <c r="H148" s="22">
        <f t="shared" si="195"/>
        <v>5.4028405629829119E-3</v>
      </c>
      <c r="I148" s="22">
        <f t="shared" si="195"/>
        <v>5.3271777115193502E-3</v>
      </c>
      <c r="J148" s="22">
        <f t="shared" si="195"/>
        <v>6.1790260010900584E-3</v>
      </c>
      <c r="K148" s="22">
        <f t="shared" si="195"/>
        <v>1.1459074733096089E-2</v>
      </c>
      <c r="L148" s="22">
        <f t="shared" si="195"/>
        <v>6.624987977301146E-3</v>
      </c>
      <c r="M148" s="22">
        <f t="shared" si="195"/>
        <v>7.2597864768683285E-3</v>
      </c>
      <c r="N148" s="22">
        <f t="shared" si="195"/>
        <v>7.2751755314032895E-3</v>
      </c>
      <c r="O148" s="22">
        <f t="shared" si="195"/>
        <v>5.6564393575069746E-3</v>
      </c>
      <c r="P148" s="22">
        <f t="shared" si="195"/>
        <v>1.8452758808630697E-2</v>
      </c>
      <c r="Q148" s="22">
        <f t="shared" si="195"/>
        <v>2.8885575967426507E-2</v>
      </c>
      <c r="R148" s="22">
        <f t="shared" si="195"/>
        <v>6.7145009778461731E-2</v>
      </c>
      <c r="S148" s="22">
        <f t="shared" si="195"/>
        <v>0.15752877432592735</v>
      </c>
      <c r="T148" s="22">
        <f t="shared" si="195"/>
        <v>0.14598281555576928</v>
      </c>
      <c r="U148" s="22">
        <f t="shared" si="195"/>
        <v>7.5270430572921682E-2</v>
      </c>
      <c r="V148" s="22">
        <f t="shared" si="195"/>
        <v>7.9412971690551767E-2</v>
      </c>
      <c r="W148" s="22">
        <f t="shared" si="195"/>
        <v>0.16043762623833802</v>
      </c>
      <c r="X148" s="22">
        <f t="shared" si="195"/>
        <v>0.12428937834631786</v>
      </c>
      <c r="Y148" s="384">
        <f t="shared" si="195"/>
        <v>4.0813055047930508E-4</v>
      </c>
    </row>
    <row r="149" spans="1:25" x14ac:dyDescent="0.35">
      <c r="A149" s="145" t="s">
        <v>12</v>
      </c>
      <c r="B149" s="22">
        <f t="shared" ref="B149:Y149" si="196">B100/$Z$100</f>
        <v>0.11699431792802154</v>
      </c>
      <c r="C149" s="22">
        <f t="shared" si="196"/>
        <v>3.2880403874253027E-2</v>
      </c>
      <c r="D149" s="22">
        <f t="shared" si="196"/>
        <v>8.1503356792583439E-3</v>
      </c>
      <c r="E149" s="22">
        <f t="shared" si="196"/>
        <v>6.0873093024530218E-3</v>
      </c>
      <c r="F149" s="22">
        <f t="shared" si="196"/>
        <v>8.8751578928948534E-3</v>
      </c>
      <c r="G149" s="22">
        <f t="shared" si="196"/>
        <v>5.8496928715531223E-3</v>
      </c>
      <c r="H149" s="22">
        <f t="shared" si="196"/>
        <v>1.8405602958600865E-2</v>
      </c>
      <c r="I149" s="22">
        <f t="shared" si="196"/>
        <v>1.2747937318995914E-2</v>
      </c>
      <c r="J149" s="22">
        <f t="shared" si="196"/>
        <v>1.7222586270651562E-2</v>
      </c>
      <c r="K149" s="22">
        <f t="shared" si="196"/>
        <v>2.1108259611607658E-2</v>
      </c>
      <c r="L149" s="22">
        <f t="shared" si="196"/>
        <v>1.5303234945088041E-2</v>
      </c>
      <c r="M149" s="22">
        <f t="shared" si="196"/>
        <v>2.1447185373511382E-2</v>
      </c>
      <c r="N149" s="22">
        <f t="shared" si="196"/>
        <v>1.3119097868037232E-2</v>
      </c>
      <c r="O149" s="22">
        <f t="shared" si="196"/>
        <v>2.0308376393636488E-2</v>
      </c>
      <c r="P149" s="22">
        <f t="shared" si="196"/>
        <v>2.3704080970101314E-2</v>
      </c>
      <c r="Q149" s="22">
        <f t="shared" si="196"/>
        <v>3.3198146776037767E-2</v>
      </c>
      <c r="R149" s="22">
        <f t="shared" si="196"/>
        <v>5.7789144889381729E-2</v>
      </c>
      <c r="S149" s="22">
        <f t="shared" si="196"/>
        <v>6.2317671985253051E-2</v>
      </c>
      <c r="T149" s="22">
        <f t="shared" si="196"/>
        <v>0.1224300240333363</v>
      </c>
      <c r="U149" s="22">
        <f t="shared" si="196"/>
        <v>7.9332113630387655E-2</v>
      </c>
      <c r="V149" s="22">
        <f t="shared" si="196"/>
        <v>7.3694249360024361E-2</v>
      </c>
      <c r="W149" s="22">
        <f t="shared" si="196"/>
        <v>0.12610709225181632</v>
      </c>
      <c r="X149" s="22">
        <f t="shared" si="196"/>
        <v>0.10203000874483727</v>
      </c>
      <c r="Y149" s="383">
        <f t="shared" si="196"/>
        <v>8.9796907026124439E-4</v>
      </c>
    </row>
    <row r="150" spans="1:25" x14ac:dyDescent="0.35">
      <c r="A150" s="145" t="s">
        <v>13</v>
      </c>
      <c r="B150" s="22">
        <f t="shared" ref="B150:Y150" si="197">B104/$Z$104</f>
        <v>0.38125140390402085</v>
      </c>
      <c r="C150" s="22">
        <f t="shared" si="197"/>
        <v>5.5575695168790962E-2</v>
      </c>
      <c r="D150" s="22">
        <f t="shared" si="197"/>
        <v>4.0165555034149614E-3</v>
      </c>
      <c r="E150" s="22">
        <f t="shared" si="197"/>
        <v>1.641316700731031E-3</v>
      </c>
      <c r="F150" s="22">
        <f t="shared" si="197"/>
        <v>3.7029706053078137E-3</v>
      </c>
      <c r="G150" s="22">
        <f t="shared" si="197"/>
        <v>8.1309672870903092E-3</v>
      </c>
      <c r="H150" s="22">
        <f t="shared" si="197"/>
        <v>1.6601095545537643E-2</v>
      </c>
      <c r="I150" s="22">
        <f t="shared" si="197"/>
        <v>6.92555583479191E-3</v>
      </c>
      <c r="J150" s="22">
        <f t="shared" si="197"/>
        <v>5.5533439047769423E-3</v>
      </c>
      <c r="K150" s="22">
        <f t="shared" si="197"/>
        <v>1.2375483443384582E-2</v>
      </c>
      <c r="L150" s="22">
        <f t="shared" si="197"/>
        <v>2.119922871459104E-2</v>
      </c>
      <c r="M150" s="22">
        <f t="shared" si="197"/>
        <v>1.642095102960375E-2</v>
      </c>
      <c r="N150" s="22">
        <f t="shared" si="197"/>
        <v>1.0299373497405697E-2</v>
      </c>
      <c r="O150" s="22">
        <f t="shared" si="197"/>
        <v>9.3919788986275635E-3</v>
      </c>
      <c r="P150" s="22">
        <f t="shared" si="197"/>
        <v>9.8890443222229372E-3</v>
      </c>
      <c r="Q150" s="22">
        <f t="shared" si="197"/>
        <v>3.3238887196172927E-2</v>
      </c>
      <c r="R150" s="22">
        <f t="shared" si="197"/>
        <v>4.8607883212977522E-2</v>
      </c>
      <c r="S150" s="22">
        <f t="shared" si="197"/>
        <v>9.4088813470361757E-2</v>
      </c>
      <c r="T150" s="22">
        <f t="shared" si="197"/>
        <v>7.9469307600096947E-2</v>
      </c>
      <c r="U150" s="22">
        <f t="shared" si="197"/>
        <v>8.6578343960377099E-2</v>
      </c>
      <c r="V150" s="22">
        <f t="shared" si="197"/>
        <v>3.7545675530814719E-2</v>
      </c>
      <c r="W150" s="22">
        <f t="shared" si="197"/>
        <v>3.5834302629442726E-2</v>
      </c>
      <c r="X150" s="22">
        <f t="shared" si="197"/>
        <v>2.0091673542553021E-2</v>
      </c>
      <c r="Y150" s="383">
        <f t="shared" si="197"/>
        <v>1.5701484969052951E-3</v>
      </c>
    </row>
    <row r="151" spans="1:25" x14ac:dyDescent="0.35">
      <c r="A151" s="145" t="s">
        <v>14</v>
      </c>
      <c r="B151" s="22">
        <f t="shared" ref="B151:Y151" si="198">B108/$Z$108</f>
        <v>0.19771357907753828</v>
      </c>
      <c r="C151" s="22">
        <f t="shared" si="198"/>
        <v>1.8264179405548104E-2</v>
      </c>
      <c r="D151" s="22">
        <f t="shared" si="198"/>
        <v>1.954026012752037E-3</v>
      </c>
      <c r="E151" s="22">
        <f t="shared" si="198"/>
        <v>1.5365590549109376E-3</v>
      </c>
      <c r="F151" s="22">
        <f t="shared" si="198"/>
        <v>4.2597416265424794E-3</v>
      </c>
      <c r="G151" s="22">
        <f t="shared" si="198"/>
        <v>3.2739583059261017E-3</v>
      </c>
      <c r="H151" s="22">
        <f t="shared" si="198"/>
        <v>6.5198516062830534E-3</v>
      </c>
      <c r="I151" s="22">
        <f t="shared" si="198"/>
        <v>4.3614772717306474E-3</v>
      </c>
      <c r="J151" s="22">
        <f t="shared" si="198"/>
        <v>7.4819550784504607E-3</v>
      </c>
      <c r="K151" s="22">
        <f t="shared" si="198"/>
        <v>1.6373299655326651E-2</v>
      </c>
      <c r="L151" s="22">
        <f t="shared" si="198"/>
        <v>7.9117004762280663E-3</v>
      </c>
      <c r="M151" s="22">
        <f t="shared" si="198"/>
        <v>9.0027275677287532E-3</v>
      </c>
      <c r="N151" s="22">
        <f t="shared" si="198"/>
        <v>1.2498574823935942E-2</v>
      </c>
      <c r="O151" s="22">
        <f t="shared" si="198"/>
        <v>9.1149875900053516E-3</v>
      </c>
      <c r="P151" s="22">
        <f t="shared" si="198"/>
        <v>2.5151507178502206E-2</v>
      </c>
      <c r="Q151" s="22">
        <f t="shared" si="198"/>
        <v>4.2294840424132396E-2</v>
      </c>
      <c r="R151" s="22">
        <f t="shared" si="198"/>
        <v>7.0305470044991727E-2</v>
      </c>
      <c r="S151" s="22">
        <f t="shared" si="198"/>
        <v>0.11554801308530888</v>
      </c>
      <c r="T151" s="22">
        <f t="shared" si="198"/>
        <v>0.14469001324317454</v>
      </c>
      <c r="U151" s="22">
        <f t="shared" si="198"/>
        <v>7.1790284245884531E-2</v>
      </c>
      <c r="V151" s="22">
        <f t="shared" si="198"/>
        <v>6.7159558326974872E-2</v>
      </c>
      <c r="W151" s="22">
        <f t="shared" si="198"/>
        <v>0.10874663439191028</v>
      </c>
      <c r="X151" s="22">
        <f t="shared" si="198"/>
        <v>5.4040045254821492E-2</v>
      </c>
      <c r="Y151" s="385">
        <f t="shared" si="198"/>
        <v>7.0162513922873863E-6</v>
      </c>
    </row>
    <row r="152" spans="1:25" x14ac:dyDescent="0.35">
      <c r="A152" s="145" t="s">
        <v>15</v>
      </c>
      <c r="B152" s="22">
        <f t="shared" ref="B152:Y152" si="199">B113/$Z$113</f>
        <v>7.5683531697894366E-2</v>
      </c>
      <c r="C152" s="22">
        <f t="shared" si="199"/>
        <v>2.6528400675617916E-2</v>
      </c>
      <c r="D152" s="22">
        <f t="shared" si="199"/>
        <v>4.7256284240126262E-3</v>
      </c>
      <c r="E152" s="22">
        <f t="shared" si="199"/>
        <v>5.7159493425202575E-3</v>
      </c>
      <c r="F152" s="22">
        <f t="shared" si="199"/>
        <v>2.4806545452865027E-3</v>
      </c>
      <c r="G152" s="22">
        <f t="shared" si="199"/>
        <v>9.3907192650460169E-3</v>
      </c>
      <c r="H152" s="22">
        <f t="shared" si="199"/>
        <v>1.1912040278288037E-2</v>
      </c>
      <c r="I152" s="22">
        <f t="shared" si="199"/>
        <v>1.243654529112339E-2</v>
      </c>
      <c r="J152" s="22">
        <f t="shared" si="199"/>
        <v>1.6721774351935934E-2</v>
      </c>
      <c r="K152" s="22">
        <f t="shared" si="199"/>
        <v>1.2333030645418439E-2</v>
      </c>
      <c r="L152" s="22">
        <f t="shared" si="199"/>
        <v>9.3800905291030971E-3</v>
      </c>
      <c r="M152" s="22">
        <f t="shared" si="199"/>
        <v>1.0761364082728537E-2</v>
      </c>
      <c r="N152" s="22">
        <f t="shared" si="199"/>
        <v>1.1089006421142869E-2</v>
      </c>
      <c r="O152" s="22">
        <f t="shared" si="199"/>
        <v>1.5495310647913879E-2</v>
      </c>
      <c r="P152" s="22">
        <f t="shared" si="199"/>
        <v>1.988913766292582E-2</v>
      </c>
      <c r="Q152" s="22">
        <f t="shared" si="199"/>
        <v>4.6837142348812026E-2</v>
      </c>
      <c r="R152" s="22">
        <f t="shared" si="199"/>
        <v>0.11786205287102954</v>
      </c>
      <c r="S152" s="22">
        <f t="shared" si="199"/>
        <v>0.17597998100691103</v>
      </c>
      <c r="T152" s="22">
        <f t="shared" si="199"/>
        <v>0.1227175367211274</v>
      </c>
      <c r="U152" s="22">
        <f t="shared" si="199"/>
        <v>6.8681967425234941E-2</v>
      </c>
      <c r="V152" s="22">
        <f t="shared" si="199"/>
        <v>7.2194533594892682E-2</v>
      </c>
      <c r="W152" s="22">
        <f t="shared" si="199"/>
        <v>8.4209626399931611E-2</v>
      </c>
      <c r="X152" s="22">
        <f t="shared" si="199"/>
        <v>6.6448546520359808E-2</v>
      </c>
      <c r="Y152" s="383">
        <f t="shared" si="199"/>
        <v>5.2542925074343394E-4</v>
      </c>
    </row>
    <row r="153" spans="1:25" x14ac:dyDescent="0.35">
      <c r="A153" s="145" t="s">
        <v>16</v>
      </c>
      <c r="B153" s="22">
        <f t="shared" ref="B153:Y153" si="200">B119/$Z$119</f>
        <v>1.2070242712100745E-2</v>
      </c>
      <c r="C153" s="22">
        <f t="shared" si="200"/>
        <v>4.3429633825729516E-3</v>
      </c>
      <c r="D153" s="22">
        <f t="shared" si="200"/>
        <v>0</v>
      </c>
      <c r="E153" s="22">
        <f t="shared" si="200"/>
        <v>0</v>
      </c>
      <c r="F153" s="22">
        <f t="shared" si="200"/>
        <v>8.6859267651459033E-3</v>
      </c>
      <c r="G153" s="22">
        <f t="shared" si="200"/>
        <v>4.5463128386131566E-3</v>
      </c>
      <c r="H153" s="22">
        <f t="shared" si="200"/>
        <v>3.1664415297689079E-3</v>
      </c>
      <c r="I153" s="22">
        <f t="shared" si="200"/>
        <v>0</v>
      </c>
      <c r="J153" s="22">
        <f t="shared" si="200"/>
        <v>9.586474356181097E-4</v>
      </c>
      <c r="K153" s="22">
        <f t="shared" si="200"/>
        <v>4.9384867895478385E-4</v>
      </c>
      <c r="L153" s="22">
        <f t="shared" si="200"/>
        <v>2.6144930062312082E-4</v>
      </c>
      <c r="M153" s="22">
        <f t="shared" si="200"/>
        <v>2.8033175011256844E-3</v>
      </c>
      <c r="N153" s="22">
        <f t="shared" si="200"/>
        <v>1.4524961145728936E-4</v>
      </c>
      <c r="O153" s="22">
        <f t="shared" si="200"/>
        <v>3.9653143927839991E-3</v>
      </c>
      <c r="P153" s="22">
        <f t="shared" si="200"/>
        <v>6.042383836623237E-3</v>
      </c>
      <c r="Q153" s="22">
        <f t="shared" si="200"/>
        <v>1.3101514953447498E-2</v>
      </c>
      <c r="R153" s="22">
        <f t="shared" si="200"/>
        <v>7.3089604485308005E-2</v>
      </c>
      <c r="S153" s="22">
        <f t="shared" si="200"/>
        <v>0.1278051331212689</v>
      </c>
      <c r="T153" s="22">
        <f t="shared" si="200"/>
        <v>8.3692826121690114E-2</v>
      </c>
      <c r="U153" s="22">
        <f t="shared" si="200"/>
        <v>0.19170043720133045</v>
      </c>
      <c r="V153" s="22">
        <f t="shared" si="200"/>
        <v>0.17970281929495835</v>
      </c>
      <c r="W153" s="22">
        <f t="shared" si="200"/>
        <v>0.14941827530611354</v>
      </c>
      <c r="X153" s="22">
        <f t="shared" si="200"/>
        <v>0.1327726698331082</v>
      </c>
      <c r="Y153" s="383">
        <f t="shared" si="200"/>
        <v>1.2346216973869594E-3</v>
      </c>
    </row>
    <row r="154" spans="1:25" x14ac:dyDescent="0.35">
      <c r="A154" s="145" t="s">
        <v>18</v>
      </c>
      <c r="B154" s="22">
        <f t="shared" ref="B154:Y154" si="201">B128/$Z$128</f>
        <v>0.22372189743790952</v>
      </c>
      <c r="C154" s="22">
        <f t="shared" si="201"/>
        <v>5.3360536744222545E-3</v>
      </c>
      <c r="D154" s="22">
        <f t="shared" si="201"/>
        <v>4.1413269509946241E-2</v>
      </c>
      <c r="E154" s="22">
        <f t="shared" si="201"/>
        <v>7.160513202809274E-3</v>
      </c>
      <c r="F154" s="22">
        <f t="shared" si="201"/>
        <v>9.5735080629340431E-3</v>
      </c>
      <c r="G154" s="22">
        <f t="shared" si="201"/>
        <v>2.0657590143994972E-2</v>
      </c>
      <c r="H154" s="22">
        <f t="shared" si="201"/>
        <v>2.4875426688115505E-2</v>
      </c>
      <c r="I154" s="22">
        <f t="shared" si="201"/>
        <v>1.4497587005139872E-2</v>
      </c>
      <c r="J154" s="22">
        <f t="shared" si="201"/>
        <v>0</v>
      </c>
      <c r="K154" s="22">
        <f t="shared" si="201"/>
        <v>0</v>
      </c>
      <c r="L154" s="22">
        <f t="shared" si="201"/>
        <v>0</v>
      </c>
      <c r="M154" s="22">
        <f t="shared" si="201"/>
        <v>2.648408992819869E-3</v>
      </c>
      <c r="N154" s="22">
        <f t="shared" si="201"/>
        <v>0</v>
      </c>
      <c r="O154" s="22">
        <f t="shared" si="201"/>
        <v>0</v>
      </c>
      <c r="P154" s="22">
        <f t="shared" si="201"/>
        <v>0</v>
      </c>
      <c r="Q154" s="22">
        <f t="shared" si="201"/>
        <v>1.6635932043787029E-2</v>
      </c>
      <c r="R154" s="22">
        <f t="shared" si="201"/>
        <v>8.5671126456624933E-2</v>
      </c>
      <c r="S154" s="22">
        <f t="shared" si="201"/>
        <v>0.21958253227135399</v>
      </c>
      <c r="T154" s="22">
        <f t="shared" si="201"/>
        <v>5.7048691489779105E-2</v>
      </c>
      <c r="U154" s="22">
        <f t="shared" si="201"/>
        <v>0.18032722564444617</v>
      </c>
      <c r="V154" s="22">
        <f t="shared" si="201"/>
        <v>4.433632832424373E-2</v>
      </c>
      <c r="W154" s="22">
        <f t="shared" si="201"/>
        <v>3.9726134892298037E-2</v>
      </c>
      <c r="X154" s="22">
        <f t="shared" si="201"/>
        <v>6.3561815827676855E-3</v>
      </c>
      <c r="Y154" s="384">
        <f t="shared" si="201"/>
        <v>4.3159257660768224E-4</v>
      </c>
    </row>
    <row r="155" spans="1:25" x14ac:dyDescent="0.35">
      <c r="A155" s="145" t="s">
        <v>17</v>
      </c>
      <c r="B155" s="22">
        <f t="shared" ref="B155:Y155" si="202">B130/$Z$130</f>
        <v>1.5675260652966289E-2</v>
      </c>
      <c r="C155" s="22">
        <f t="shared" si="202"/>
        <v>5.9270230846310268E-4</v>
      </c>
      <c r="D155" s="22">
        <f t="shared" si="202"/>
        <v>0</v>
      </c>
      <c r="E155" s="22">
        <f t="shared" si="202"/>
        <v>3.0759002036009322E-5</v>
      </c>
      <c r="F155" s="22">
        <f t="shared" si="202"/>
        <v>0</v>
      </c>
      <c r="G155" s="22">
        <f t="shared" si="202"/>
        <v>0</v>
      </c>
      <c r="H155" s="22">
        <f t="shared" si="202"/>
        <v>1.3888872457798057E-3</v>
      </c>
      <c r="I155" s="22">
        <f t="shared" si="202"/>
        <v>2.0821478301298619E-2</v>
      </c>
      <c r="J155" s="22">
        <f t="shared" si="202"/>
        <v>2.057304020793085E-3</v>
      </c>
      <c r="K155" s="22">
        <f t="shared" si="202"/>
        <v>5.1237399160752456E-3</v>
      </c>
      <c r="L155" s="22">
        <f t="shared" si="202"/>
        <v>1.5083741383043034E-3</v>
      </c>
      <c r="M155" s="22">
        <f t="shared" si="202"/>
        <v>1.7380019188885116E-2</v>
      </c>
      <c r="N155" s="22">
        <f t="shared" si="202"/>
        <v>6.2038541029551105E-3</v>
      </c>
      <c r="O155" s="22">
        <f t="shared" si="202"/>
        <v>6.052425169854758E-3</v>
      </c>
      <c r="P155" s="22">
        <f t="shared" si="202"/>
        <v>9.2844864607154291E-3</v>
      </c>
      <c r="Q155" s="22">
        <f t="shared" si="202"/>
        <v>1.865296865775996E-2</v>
      </c>
      <c r="R155" s="22">
        <f t="shared" si="202"/>
        <v>8.8931373117342047E-2</v>
      </c>
      <c r="S155" s="22">
        <f t="shared" si="202"/>
        <v>0.10598605670776937</v>
      </c>
      <c r="T155" s="22">
        <f t="shared" si="202"/>
        <v>0.13679001420829284</v>
      </c>
      <c r="U155" s="22">
        <f t="shared" si="202"/>
        <v>0.12868620021034421</v>
      </c>
      <c r="V155" s="22">
        <f t="shared" si="202"/>
        <v>0.11168593639274985</v>
      </c>
      <c r="W155" s="22">
        <f t="shared" si="202"/>
        <v>0.2365296274256726</v>
      </c>
      <c r="X155" s="22">
        <f t="shared" si="202"/>
        <v>8.6269536402687363E-2</v>
      </c>
      <c r="Y155" s="384">
        <f t="shared" si="202"/>
        <v>3.4899636925472116E-4</v>
      </c>
    </row>
    <row r="156" spans="1:25" x14ac:dyDescent="0.35">
      <c r="A156" s="145" t="s">
        <v>20</v>
      </c>
      <c r="B156" s="22">
        <f t="shared" ref="B156:Y156" si="203">B133/$Z$133</f>
        <v>0.15202385928444742</v>
      </c>
      <c r="C156" s="22">
        <f t="shared" si="203"/>
        <v>4.0002711282323564E-2</v>
      </c>
      <c r="D156" s="22">
        <f t="shared" si="203"/>
        <v>1.6832544425490574E-3</v>
      </c>
      <c r="E156" s="22">
        <f t="shared" si="203"/>
        <v>2.1238378201290115E-3</v>
      </c>
      <c r="F156" s="22">
        <f t="shared" si="203"/>
        <v>2.4424134931483633E-2</v>
      </c>
      <c r="G156" s="22">
        <f t="shared" si="203"/>
        <v>1.1206633604084998E-2</v>
      </c>
      <c r="H156" s="22">
        <f t="shared" si="203"/>
        <v>1.825596764536427E-2</v>
      </c>
      <c r="I156" s="22">
        <f t="shared" si="203"/>
        <v>1.458443949886465E-2</v>
      </c>
      <c r="J156" s="22">
        <f t="shared" si="203"/>
        <v>1.8018730442051989E-2</v>
      </c>
      <c r="K156" s="22">
        <f t="shared" si="203"/>
        <v>6.2585433635716625E-3</v>
      </c>
      <c r="L156" s="22">
        <f t="shared" si="203"/>
        <v>9.8735864616635981E-3</v>
      </c>
      <c r="M156" s="22">
        <f t="shared" si="203"/>
        <v>1.3251392356443249E-2</v>
      </c>
      <c r="N156" s="22">
        <f t="shared" si="203"/>
        <v>1.87191450423073E-2</v>
      </c>
      <c r="O156" s="22">
        <f t="shared" si="203"/>
        <v>1.1172742575040384E-2</v>
      </c>
      <c r="P156" s="22">
        <f t="shared" si="203"/>
        <v>4.1200194308566529E-2</v>
      </c>
      <c r="Q156" s="22">
        <f t="shared" si="203"/>
        <v>3.3235802483082728E-2</v>
      </c>
      <c r="R156" s="22">
        <f t="shared" si="203"/>
        <v>6.9623470667314349E-2</v>
      </c>
      <c r="S156" s="22">
        <f t="shared" si="203"/>
        <v>5.2994272416091462E-2</v>
      </c>
      <c r="T156" s="22">
        <f t="shared" si="203"/>
        <v>6.1342762570747514E-2</v>
      </c>
      <c r="U156" s="22">
        <f t="shared" si="203"/>
        <v>7.1171160993684979E-2</v>
      </c>
      <c r="V156" s="22">
        <f t="shared" si="203"/>
        <v>8.5371502163377355E-2</v>
      </c>
      <c r="W156" s="22">
        <f t="shared" si="203"/>
        <v>0.1298252352602266</v>
      </c>
      <c r="X156" s="22">
        <f t="shared" si="203"/>
        <v>0.10716343383906278</v>
      </c>
      <c r="Y156" s="383">
        <f t="shared" si="203"/>
        <v>6.4731865475208712E-3</v>
      </c>
    </row>
    <row r="157" spans="1:25" x14ac:dyDescent="0.35">
      <c r="A157" s="145" t="s">
        <v>21</v>
      </c>
      <c r="B157" s="22">
        <f t="shared" ref="B157:Y157" si="204">B135/$Z$135</f>
        <v>0</v>
      </c>
      <c r="C157" s="22">
        <f t="shared" si="204"/>
        <v>1.2792535179471747E-3</v>
      </c>
      <c r="D157" s="22">
        <f t="shared" si="204"/>
        <v>0</v>
      </c>
      <c r="E157" s="22">
        <f t="shared" si="204"/>
        <v>0</v>
      </c>
      <c r="F157" s="22">
        <f t="shared" si="204"/>
        <v>0</v>
      </c>
      <c r="G157" s="22">
        <f t="shared" si="204"/>
        <v>1.4297539318233127E-3</v>
      </c>
      <c r="H157" s="22">
        <f t="shared" si="204"/>
        <v>0</v>
      </c>
      <c r="I157" s="22">
        <f t="shared" si="204"/>
        <v>0</v>
      </c>
      <c r="J157" s="22">
        <f t="shared" si="204"/>
        <v>0</v>
      </c>
      <c r="K157" s="22">
        <f t="shared" si="204"/>
        <v>0</v>
      </c>
      <c r="L157" s="22">
        <f t="shared" si="204"/>
        <v>0</v>
      </c>
      <c r="M157" s="22">
        <f t="shared" si="204"/>
        <v>0</v>
      </c>
      <c r="N157" s="22">
        <f t="shared" si="204"/>
        <v>0</v>
      </c>
      <c r="O157" s="22">
        <f t="shared" si="204"/>
        <v>0</v>
      </c>
      <c r="P157" s="22">
        <f t="shared" si="204"/>
        <v>0</v>
      </c>
      <c r="Q157" s="22">
        <f t="shared" si="204"/>
        <v>2.5585070358943494E-3</v>
      </c>
      <c r="R157" s="22">
        <f t="shared" si="204"/>
        <v>0</v>
      </c>
      <c r="S157" s="22">
        <f t="shared" si="204"/>
        <v>5.1245390924825045E-2</v>
      </c>
      <c r="T157" s="22">
        <f t="shared" si="204"/>
        <v>2.889607946421853E-2</v>
      </c>
      <c r="U157" s="22">
        <f t="shared" si="204"/>
        <v>7.8561216043344123E-2</v>
      </c>
      <c r="V157" s="22">
        <f t="shared" si="204"/>
        <v>0.19625253969448417</v>
      </c>
      <c r="W157" s="22">
        <f t="shared" si="204"/>
        <v>8.6462487771841387E-2</v>
      </c>
      <c r="X157" s="22">
        <f t="shared" si="204"/>
        <v>0.55233651892542712</v>
      </c>
      <c r="Y157" s="383">
        <f t="shared" si="204"/>
        <v>9.7825269019489818E-4</v>
      </c>
    </row>
    <row r="158" spans="1:25" x14ac:dyDescent="0.35">
      <c r="A158" s="145" t="s">
        <v>22</v>
      </c>
      <c r="B158" s="22">
        <f t="shared" ref="B158:Y158" si="205">B137/$Z$137</f>
        <v>0.33459922268274839</v>
      </c>
      <c r="C158" s="22">
        <f t="shared" si="205"/>
        <v>5.8704662469344727E-2</v>
      </c>
      <c r="D158" s="22">
        <f t="shared" si="205"/>
        <v>7.2339265994521493E-3</v>
      </c>
      <c r="E158" s="22">
        <f t="shared" si="205"/>
        <v>9.3120312074232367E-3</v>
      </c>
      <c r="F158" s="22">
        <f t="shared" si="205"/>
        <v>3.4233510691697618E-3</v>
      </c>
      <c r="G158" s="22">
        <f t="shared" si="205"/>
        <v>9.9344586745450103E-3</v>
      </c>
      <c r="H158" s="22">
        <f t="shared" si="205"/>
        <v>1.8387425244166533E-2</v>
      </c>
      <c r="I158" s="22">
        <f t="shared" si="205"/>
        <v>9.5199850846874236E-3</v>
      </c>
      <c r="J158" s="22">
        <f t="shared" si="205"/>
        <v>1.7763563612373974E-2</v>
      </c>
      <c r="K158" s="22">
        <f t="shared" si="205"/>
        <v>1.11176445279447E-2</v>
      </c>
      <c r="L158" s="22">
        <f t="shared" si="205"/>
        <v>2.0244668492836349E-2</v>
      </c>
      <c r="M158" s="22">
        <f t="shared" si="205"/>
        <v>2.1853801253459926E-2</v>
      </c>
      <c r="N158" s="22">
        <f t="shared" si="205"/>
        <v>7.7028984467996629E-3</v>
      </c>
      <c r="O158" s="22">
        <f t="shared" si="205"/>
        <v>3.4366888006080863E-2</v>
      </c>
      <c r="P158" s="22">
        <f t="shared" si="205"/>
        <v>1.5311142025327348E-2</v>
      </c>
      <c r="Q158" s="22">
        <f t="shared" si="205"/>
        <v>2.6334131685000074E-2</v>
      </c>
      <c r="R158" s="22">
        <f t="shared" si="205"/>
        <v>8.298793867511868E-2</v>
      </c>
      <c r="S158" s="22">
        <f t="shared" si="205"/>
        <v>7.7347369024911433E-2</v>
      </c>
      <c r="T158" s="22">
        <f t="shared" si="205"/>
        <v>5.4508296642620496E-2</v>
      </c>
      <c r="U158" s="22">
        <f t="shared" si="205"/>
        <v>5.6029945358326047E-2</v>
      </c>
      <c r="V158" s="22">
        <f t="shared" si="205"/>
        <v>4.1655312863022931E-2</v>
      </c>
      <c r="W158" s="22">
        <f t="shared" si="205"/>
        <v>3.7215139042264825E-2</v>
      </c>
      <c r="X158" s="22">
        <f t="shared" si="205"/>
        <v>4.2412551809198736E-2</v>
      </c>
      <c r="Y158" s="383">
        <f t="shared" si="205"/>
        <v>2.0336455031766741E-3</v>
      </c>
    </row>
    <row r="159" spans="1:25" x14ac:dyDescent="0.35">
      <c r="A159" s="145" t="s">
        <v>23</v>
      </c>
      <c r="B159" s="22">
        <f t="shared" ref="B159:Y159" si="206">B139/$Z$139</f>
        <v>0.22847586341094001</v>
      </c>
      <c r="C159" s="22">
        <f t="shared" si="206"/>
        <v>2.1309828711470601E-2</v>
      </c>
      <c r="D159" s="22">
        <f t="shared" si="206"/>
        <v>3.0818261660715126E-3</v>
      </c>
      <c r="E159" s="22">
        <f t="shared" si="206"/>
        <v>1.4672858367473587E-3</v>
      </c>
      <c r="F159" s="22">
        <f t="shared" si="206"/>
        <v>5.9164751481748327E-3</v>
      </c>
      <c r="G159" s="22">
        <f t="shared" si="206"/>
        <v>1.5019958242833175E-2</v>
      </c>
      <c r="H159" s="22">
        <f t="shared" si="206"/>
        <v>5.2012390413732528E-3</v>
      </c>
      <c r="I159" s="22">
        <f t="shared" si="206"/>
        <v>6.7894839255944082E-3</v>
      </c>
      <c r="J159" s="22">
        <f t="shared" si="206"/>
        <v>7.0103656644596021E-3</v>
      </c>
      <c r="K159" s="22">
        <f t="shared" si="206"/>
        <v>3.5409446375698803E-2</v>
      </c>
      <c r="L159" s="22">
        <f t="shared" si="206"/>
        <v>1.560897621314036E-2</v>
      </c>
      <c r="M159" s="22">
        <f t="shared" si="206"/>
        <v>1.8748652358438474E-2</v>
      </c>
      <c r="N159" s="22">
        <f t="shared" si="206"/>
        <v>7.262801937448396E-3</v>
      </c>
      <c r="O159" s="22">
        <f t="shared" si="206"/>
        <v>9.3716966347089353E-3</v>
      </c>
      <c r="P159" s="22">
        <f t="shared" si="206"/>
        <v>1.1233414148001282E-2</v>
      </c>
      <c r="Q159" s="22">
        <f t="shared" si="206"/>
        <v>3.9274876805839687E-2</v>
      </c>
      <c r="R159" s="22">
        <f t="shared" si="206"/>
        <v>5.6288029787480223E-2</v>
      </c>
      <c r="S159" s="22">
        <f t="shared" si="206"/>
        <v>9.5936301913782496E-2</v>
      </c>
      <c r="T159" s="22">
        <f t="shared" si="206"/>
        <v>8.9599099643959693E-2</v>
      </c>
      <c r="U159" s="22">
        <f t="shared" si="206"/>
        <v>5.4321130493775863E-2</v>
      </c>
      <c r="V159" s="22">
        <f t="shared" si="206"/>
        <v>7.5899172745297061E-2</v>
      </c>
      <c r="W159" s="22">
        <f t="shared" si="206"/>
        <v>0.11587876747989713</v>
      </c>
      <c r="X159" s="22">
        <f t="shared" si="206"/>
        <v>7.8944185288224375E-2</v>
      </c>
      <c r="Y159" s="383">
        <f t="shared" si="206"/>
        <v>1.951122026642545E-3</v>
      </c>
    </row>
    <row r="160" spans="1:25" x14ac:dyDescent="0.35">
      <c r="A160" s="145" t="s">
        <v>25</v>
      </c>
      <c r="B160" s="22">
        <f t="shared" ref="B160:Y160" si="207">B141/$Z$141</f>
        <v>0.12914341856745909</v>
      </c>
      <c r="C160" s="22">
        <f t="shared" si="207"/>
        <v>2.6101315054024458E-2</v>
      </c>
      <c r="D160" s="22">
        <f t="shared" si="207"/>
        <v>4.4782571439727055E-3</v>
      </c>
      <c r="E160" s="22">
        <f t="shared" si="207"/>
        <v>3.7615647983779781E-3</v>
      </c>
      <c r="F160" s="22">
        <f t="shared" si="207"/>
        <v>4.5498827044099599E-3</v>
      </c>
      <c r="G160" s="22">
        <f t="shared" si="207"/>
        <v>6.3167629928548262E-3</v>
      </c>
      <c r="H160" s="22">
        <f t="shared" si="207"/>
        <v>1.0747939433076703E-2</v>
      </c>
      <c r="I160" s="22">
        <f t="shared" si="207"/>
        <v>9.605773788835795E-3</v>
      </c>
      <c r="J160" s="22">
        <f t="shared" si="207"/>
        <v>1.0787682884294936E-2</v>
      </c>
      <c r="K160" s="22">
        <f t="shared" si="207"/>
        <v>1.3754728051286001E-2</v>
      </c>
      <c r="L160" s="22">
        <f t="shared" si="207"/>
        <v>1.0615432146267782E-2</v>
      </c>
      <c r="M160" s="22">
        <f t="shared" si="207"/>
        <v>1.3323402420262628E-2</v>
      </c>
      <c r="N160" s="22">
        <f t="shared" si="207"/>
        <v>9.8138373070815778E-3</v>
      </c>
      <c r="O160" s="22">
        <f t="shared" si="207"/>
        <v>1.2773545221540044E-2</v>
      </c>
      <c r="P160" s="22">
        <f t="shared" si="207"/>
        <v>1.8724319070209387E-2</v>
      </c>
      <c r="Q160" s="22">
        <f t="shared" si="207"/>
        <v>3.3889459224398254E-2</v>
      </c>
      <c r="R160" s="22">
        <f t="shared" si="207"/>
        <v>7.6268032280766618E-2</v>
      </c>
      <c r="S160" s="22">
        <f t="shared" si="207"/>
        <v>0.12324601449613996</v>
      </c>
      <c r="T160" s="22">
        <f t="shared" si="207"/>
        <v>0.12301690005098516</v>
      </c>
      <c r="U160" s="22">
        <f t="shared" si="207"/>
        <v>7.8901319805768963E-2</v>
      </c>
      <c r="V160" s="22">
        <f t="shared" si="207"/>
        <v>7.3108209538306004E-2</v>
      </c>
      <c r="W160" s="22">
        <f t="shared" si="207"/>
        <v>0.12102841726640699</v>
      </c>
      <c r="X160" s="22">
        <f t="shared" si="207"/>
        <v>8.529634682563815E-2</v>
      </c>
      <c r="Y160" s="383">
        <f t="shared" si="207"/>
        <v>7.4743892763608482E-4</v>
      </c>
    </row>
    <row r="161" spans="1:34" s="136" customFormat="1" x14ac:dyDescent="0.35">
      <c r="A161" s="510"/>
      <c r="B161" s="381"/>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511"/>
    </row>
    <row r="162" spans="1:34" ht="23.5" x14ac:dyDescent="0.35">
      <c r="A162" s="289" t="s">
        <v>11</v>
      </c>
      <c r="B162" s="289"/>
      <c r="C162" s="120"/>
      <c r="D162" s="120"/>
    </row>
    <row r="163" spans="1:34" ht="15.5" x14ac:dyDescent="0.35">
      <c r="A163" s="290" t="s">
        <v>109</v>
      </c>
    </row>
    <row r="164" spans="1:34" ht="18.5" x14ac:dyDescent="0.45">
      <c r="A164" s="108"/>
      <c r="D164" s="109"/>
      <c r="AA164" s="110"/>
      <c r="AB164" s="111"/>
    </row>
    <row r="165" spans="1:34" ht="70" customHeight="1" x14ac:dyDescent="0.35">
      <c r="A165" s="114" t="s">
        <v>88</v>
      </c>
      <c r="B165" s="195" t="s">
        <v>89</v>
      </c>
      <c r="C165" s="195">
        <v>2000</v>
      </c>
      <c r="D165" s="195">
        <v>2001</v>
      </c>
      <c r="E165" s="195">
        <v>2002</v>
      </c>
      <c r="F165" s="195">
        <v>2003</v>
      </c>
      <c r="G165" s="195">
        <v>2004</v>
      </c>
      <c r="H165" s="195">
        <v>2005</v>
      </c>
      <c r="I165" s="195">
        <v>2006</v>
      </c>
      <c r="J165" s="195">
        <v>2007</v>
      </c>
      <c r="K165" s="195">
        <v>2008</v>
      </c>
      <c r="L165" s="195">
        <v>2009</v>
      </c>
      <c r="M165" s="195">
        <v>2010</v>
      </c>
      <c r="N165" s="195">
        <v>2011</v>
      </c>
      <c r="O165" s="195">
        <v>2012</v>
      </c>
      <c r="P165" s="195">
        <v>2013</v>
      </c>
      <c r="Q165" s="195">
        <v>2014</v>
      </c>
      <c r="R165" s="195">
        <v>2015</v>
      </c>
      <c r="S165" s="195">
        <v>2016</v>
      </c>
      <c r="T165" s="195">
        <v>2017</v>
      </c>
      <c r="U165" s="195">
        <v>2018</v>
      </c>
      <c r="V165" s="195">
        <v>2019</v>
      </c>
      <c r="W165" s="195">
        <v>2020</v>
      </c>
      <c r="X165" s="195">
        <v>2021</v>
      </c>
      <c r="Y165" s="195" t="s">
        <v>90</v>
      </c>
      <c r="Z165" s="195" t="s">
        <v>91</v>
      </c>
      <c r="AA165" s="187" t="s">
        <v>92</v>
      </c>
      <c r="AB165" s="112"/>
      <c r="AC165" s="200" t="s">
        <v>93</v>
      </c>
      <c r="AD165" s="200" t="s">
        <v>107</v>
      </c>
      <c r="AE165" s="200" t="s">
        <v>94</v>
      </c>
      <c r="AF165" s="200" t="s">
        <v>95</v>
      </c>
      <c r="AG165" s="200" t="s">
        <v>96</v>
      </c>
      <c r="AH165" s="201" t="s">
        <v>97</v>
      </c>
    </row>
    <row r="166" spans="1:34" x14ac:dyDescent="0.35">
      <c r="A166" s="116" t="s">
        <v>5</v>
      </c>
      <c r="B166" s="117">
        <f>SUM(B167:B174)</f>
        <v>56163.330000000024</v>
      </c>
      <c r="C166" s="117">
        <f t="shared" ref="C166:Y166" si="208">SUM(C167:C174)</f>
        <v>7393.9400000000005</v>
      </c>
      <c r="D166" s="117">
        <f t="shared" si="208"/>
        <v>732.69999999999993</v>
      </c>
      <c r="E166" s="117">
        <f t="shared" si="208"/>
        <v>1162.0900000000001</v>
      </c>
      <c r="F166" s="117">
        <f t="shared" si="208"/>
        <v>779.81</v>
      </c>
      <c r="G166" s="117">
        <f t="shared" si="208"/>
        <v>1773.33</v>
      </c>
      <c r="H166" s="117">
        <f t="shared" si="208"/>
        <v>1897.4699999999998</v>
      </c>
      <c r="I166" s="117">
        <f t="shared" si="208"/>
        <v>1050.0699999999997</v>
      </c>
      <c r="J166" s="117">
        <f t="shared" si="208"/>
        <v>1695.12</v>
      </c>
      <c r="K166" s="117">
        <f t="shared" si="208"/>
        <v>914.04</v>
      </c>
      <c r="L166" s="117">
        <f t="shared" si="208"/>
        <v>1424.7400000000002</v>
      </c>
      <c r="M166" s="117">
        <f t="shared" si="208"/>
        <v>1247.8700000000003</v>
      </c>
      <c r="N166" s="117">
        <f t="shared" si="208"/>
        <v>372.31000000000006</v>
      </c>
      <c r="O166" s="117">
        <f t="shared" si="208"/>
        <v>891.6400000000001</v>
      </c>
      <c r="P166" s="117">
        <f t="shared" si="208"/>
        <v>855.05999999999983</v>
      </c>
      <c r="Q166" s="117">
        <f t="shared" si="208"/>
        <v>2331.7200000000003</v>
      </c>
      <c r="R166" s="117">
        <f t="shared" si="208"/>
        <v>4313.4299999999994</v>
      </c>
      <c r="S166" s="117">
        <f t="shared" si="208"/>
        <v>5196.0700000000006</v>
      </c>
      <c r="T166" s="117">
        <f t="shared" si="208"/>
        <v>5497.8400000000011</v>
      </c>
      <c r="U166" s="117">
        <f t="shared" si="208"/>
        <v>3682.58</v>
      </c>
      <c r="V166" s="117">
        <f t="shared" si="208"/>
        <v>3635.0800000000004</v>
      </c>
      <c r="W166" s="117">
        <f t="shared" si="208"/>
        <v>4541.2199999999984</v>
      </c>
      <c r="X166" s="117">
        <f t="shared" si="208"/>
        <v>2954.77</v>
      </c>
      <c r="Y166" s="117">
        <f t="shared" si="208"/>
        <v>75.739999999999938</v>
      </c>
      <c r="Z166" s="117">
        <f>SUM(B166:Y166)</f>
        <v>110581.97000000002</v>
      </c>
      <c r="AA166" s="151">
        <f t="shared" ref="AA166:AA197" si="209">Z166/$Z$219</f>
        <v>0.28283470728753446</v>
      </c>
      <c r="AB166" s="113"/>
      <c r="AC166" s="117">
        <v>95692.580000000031</v>
      </c>
      <c r="AD166" s="117">
        <v>14813.65</v>
      </c>
      <c r="AE166" s="117">
        <v>75.739999999999938</v>
      </c>
      <c r="AF166" s="117">
        <v>326.75139999999999</v>
      </c>
      <c r="AG166" s="117">
        <v>110908.72140000002</v>
      </c>
      <c r="AH166" s="185">
        <f>AD166/AG166</f>
        <v>0.13356614171552425</v>
      </c>
    </row>
    <row r="167" spans="1:34" x14ac:dyDescent="0.35">
      <c r="A167" s="6" t="s">
        <v>6</v>
      </c>
      <c r="B167" s="12">
        <v>20571.900000000009</v>
      </c>
      <c r="C167" s="12">
        <v>3404.2300000000005</v>
      </c>
      <c r="D167" s="12">
        <v>308.90000000000003</v>
      </c>
      <c r="E167" s="12">
        <v>382.08</v>
      </c>
      <c r="F167" s="12">
        <v>317.27000000000004</v>
      </c>
      <c r="G167" s="12">
        <v>688.72</v>
      </c>
      <c r="H167" s="12">
        <v>744.11</v>
      </c>
      <c r="I167" s="12">
        <v>288.04999999999995</v>
      </c>
      <c r="J167" s="12">
        <v>539.28</v>
      </c>
      <c r="K167" s="12">
        <v>238.15</v>
      </c>
      <c r="L167" s="12">
        <v>663.17000000000019</v>
      </c>
      <c r="M167" s="12">
        <v>469.44000000000005</v>
      </c>
      <c r="N167" s="12">
        <v>94.759999999999991</v>
      </c>
      <c r="O167" s="12">
        <v>228.16000000000003</v>
      </c>
      <c r="P167" s="12">
        <v>215.20999999999992</v>
      </c>
      <c r="Q167" s="12">
        <v>554.54</v>
      </c>
      <c r="R167" s="12">
        <v>831.6099999999999</v>
      </c>
      <c r="S167" s="12">
        <v>1109.8700000000001</v>
      </c>
      <c r="T167" s="12">
        <v>941.11999999999989</v>
      </c>
      <c r="U167" s="12">
        <v>896.99000000000012</v>
      </c>
      <c r="V167" s="12">
        <v>941.98000000000025</v>
      </c>
      <c r="W167" s="12">
        <v>611.24999999999989</v>
      </c>
      <c r="X167" s="12">
        <v>288.63</v>
      </c>
      <c r="Y167" s="12">
        <v>32.309999999999974</v>
      </c>
      <c r="Z167" s="12">
        <f>SUM(B167:Y167)</f>
        <v>35361.73000000001</v>
      </c>
      <c r="AA167" s="150">
        <f t="shared" si="209"/>
        <v>9.0444441835597855E-2</v>
      </c>
      <c r="AC167" s="175">
        <v>32590.570000000011</v>
      </c>
      <c r="AD167" s="175">
        <v>2738.8500000000004</v>
      </c>
      <c r="AE167" s="175">
        <v>32.309999999999974</v>
      </c>
      <c r="AF167" s="175">
        <v>71.527299999999997</v>
      </c>
      <c r="AG167" s="175">
        <v>35433.257300000012</v>
      </c>
      <c r="AH167" s="202">
        <v>7.7296026634277273E-2</v>
      </c>
    </row>
    <row r="168" spans="1:34" x14ac:dyDescent="0.35">
      <c r="A168" s="6" t="s">
        <v>7</v>
      </c>
      <c r="B168" s="12">
        <v>10.600000000000001</v>
      </c>
      <c r="C168" s="12">
        <v>6.4399999999999995</v>
      </c>
      <c r="D168" s="12">
        <v>0</v>
      </c>
      <c r="E168" s="12">
        <v>1.38</v>
      </c>
      <c r="F168" s="12">
        <v>0</v>
      </c>
      <c r="G168" s="12">
        <v>0</v>
      </c>
      <c r="H168" s="12">
        <v>0.03</v>
      </c>
      <c r="I168" s="12">
        <v>0</v>
      </c>
      <c r="J168" s="12">
        <v>27.38</v>
      </c>
      <c r="K168" s="12">
        <v>4.34</v>
      </c>
      <c r="L168" s="12">
        <v>0.54</v>
      </c>
      <c r="M168" s="12">
        <v>8.9400000000000013</v>
      </c>
      <c r="N168" s="12">
        <v>0.3</v>
      </c>
      <c r="O168" s="12">
        <v>0.21</v>
      </c>
      <c r="P168" s="12">
        <v>13.53</v>
      </c>
      <c r="Q168" s="12">
        <v>22.96</v>
      </c>
      <c r="R168" s="12">
        <v>79.919999999999987</v>
      </c>
      <c r="S168" s="12">
        <v>66.92</v>
      </c>
      <c r="T168" s="12">
        <v>144.76</v>
      </c>
      <c r="U168" s="12">
        <v>44.570000000000007</v>
      </c>
      <c r="V168" s="12">
        <v>69.920000000000016</v>
      </c>
      <c r="W168" s="12">
        <v>230.10999999999999</v>
      </c>
      <c r="X168" s="12">
        <v>285.05</v>
      </c>
      <c r="Y168" s="12">
        <v>0.60000000000000009</v>
      </c>
      <c r="Z168" s="12">
        <f t="shared" ref="Z168:Z174" si="210">SUM(B168:Y168)</f>
        <v>1018.5000000000001</v>
      </c>
      <c r="AA168" s="150">
        <f t="shared" si="209"/>
        <v>2.6050101058278652E-3</v>
      </c>
      <c r="AC168" s="175">
        <v>388.25</v>
      </c>
      <c r="AD168" s="175">
        <v>629.65000000000009</v>
      </c>
      <c r="AE168" s="175">
        <v>0.60000000000000009</v>
      </c>
      <c r="AF168" s="175">
        <v>0.1275</v>
      </c>
      <c r="AG168" s="175">
        <v>1018.6275000000002</v>
      </c>
      <c r="AH168" s="202">
        <v>0.6181356776643081</v>
      </c>
    </row>
    <row r="169" spans="1:34" x14ac:dyDescent="0.35">
      <c r="A169" s="6" t="s">
        <v>8</v>
      </c>
      <c r="B169" s="12">
        <v>252.64999999999998</v>
      </c>
      <c r="C169" s="12">
        <v>7.6700000000000008</v>
      </c>
      <c r="D169" s="12">
        <v>4.57</v>
      </c>
      <c r="E169" s="12">
        <v>1.28</v>
      </c>
      <c r="F169" s="12">
        <v>0</v>
      </c>
      <c r="G169" s="12">
        <v>2.62</v>
      </c>
      <c r="H169" s="12">
        <v>1.05</v>
      </c>
      <c r="I169" s="12">
        <v>0.77</v>
      </c>
      <c r="J169" s="12">
        <v>28.18</v>
      </c>
      <c r="K169" s="12">
        <v>0</v>
      </c>
      <c r="L169" s="12">
        <v>0.1</v>
      </c>
      <c r="M169" s="12">
        <v>15.93</v>
      </c>
      <c r="N169" s="12">
        <v>22.63</v>
      </c>
      <c r="O169" s="12">
        <v>0</v>
      </c>
      <c r="P169" s="12">
        <v>40.11</v>
      </c>
      <c r="Q169" s="12">
        <v>44.05</v>
      </c>
      <c r="R169" s="12">
        <v>255.67000000000002</v>
      </c>
      <c r="S169" s="12">
        <v>309.79000000000002</v>
      </c>
      <c r="T169" s="12">
        <v>299.08</v>
      </c>
      <c r="U169" s="12">
        <v>283.7</v>
      </c>
      <c r="V169" s="12">
        <v>1063.53</v>
      </c>
      <c r="W169" s="12">
        <v>1662.9699999999996</v>
      </c>
      <c r="X169" s="12">
        <v>483.7999999999999</v>
      </c>
      <c r="Y169" s="12">
        <v>1.27</v>
      </c>
      <c r="Z169" s="12">
        <f t="shared" si="210"/>
        <v>4781.42</v>
      </c>
      <c r="AA169" s="150">
        <f t="shared" si="209"/>
        <v>1.222940345626654E-2</v>
      </c>
      <c r="AC169" s="175">
        <v>1286.1499999999999</v>
      </c>
      <c r="AD169" s="175">
        <v>3493.9999999999995</v>
      </c>
      <c r="AE169" s="175">
        <v>1.27</v>
      </c>
      <c r="AF169" s="175">
        <v>24</v>
      </c>
      <c r="AG169" s="175">
        <v>4805.42</v>
      </c>
      <c r="AH169" s="202">
        <v>0.72709565449013813</v>
      </c>
    </row>
    <row r="170" spans="1:34" x14ac:dyDescent="0.35">
      <c r="A170" s="6" t="s">
        <v>26</v>
      </c>
      <c r="B170" s="12">
        <v>29275.610000000022</v>
      </c>
      <c r="C170" s="12">
        <v>3680.5699999999997</v>
      </c>
      <c r="D170" s="12">
        <v>398.99999999999989</v>
      </c>
      <c r="E170" s="12">
        <v>735.11000000000013</v>
      </c>
      <c r="F170" s="12">
        <v>439.27999999999992</v>
      </c>
      <c r="G170" s="12">
        <v>899.12000000000012</v>
      </c>
      <c r="H170" s="12">
        <v>1092.03</v>
      </c>
      <c r="I170" s="12">
        <v>714.14999999999975</v>
      </c>
      <c r="J170" s="12">
        <v>1007.8300000000003</v>
      </c>
      <c r="K170" s="12">
        <v>539.49</v>
      </c>
      <c r="L170" s="12">
        <v>642.00999999999988</v>
      </c>
      <c r="M170" s="12">
        <v>694.92000000000019</v>
      </c>
      <c r="N170" s="12">
        <v>235.94000000000005</v>
      </c>
      <c r="O170" s="12">
        <v>616.09000000000015</v>
      </c>
      <c r="P170" s="12">
        <v>540.61999999999989</v>
      </c>
      <c r="Q170" s="12">
        <v>1462.1100000000006</v>
      </c>
      <c r="R170" s="12">
        <v>2503.0699999999997</v>
      </c>
      <c r="S170" s="12">
        <v>2732.2599999999998</v>
      </c>
      <c r="T170" s="12">
        <v>3288.3500000000013</v>
      </c>
      <c r="U170" s="12">
        <v>1976.9499999999998</v>
      </c>
      <c r="V170" s="12">
        <v>1146.4200000000003</v>
      </c>
      <c r="W170" s="12">
        <v>1127.7899999999995</v>
      </c>
      <c r="X170" s="12">
        <v>536.65000000000009</v>
      </c>
      <c r="Y170" s="12">
        <v>31.719999999999978</v>
      </c>
      <c r="Z170" s="12">
        <f t="shared" si="210"/>
        <v>56317.090000000026</v>
      </c>
      <c r="AA170" s="150">
        <f t="shared" si="209"/>
        <v>0.14404181500325722</v>
      </c>
      <c r="AC170" s="175">
        <v>51497.560000000027</v>
      </c>
      <c r="AD170" s="175">
        <v>4787.8099999999995</v>
      </c>
      <c r="AE170" s="175">
        <v>31.719999999999978</v>
      </c>
      <c r="AF170" s="175">
        <v>61.968400000000003</v>
      </c>
      <c r="AG170" s="175">
        <v>56379.058400000024</v>
      </c>
      <c r="AH170" s="202">
        <v>8.4921780105500971E-2</v>
      </c>
    </row>
    <row r="171" spans="1:34" x14ac:dyDescent="0.35">
      <c r="A171" s="6" t="s">
        <v>27</v>
      </c>
      <c r="B171" s="12">
        <v>71.19</v>
      </c>
      <c r="C171" s="12">
        <v>11.02</v>
      </c>
      <c r="D171" s="12">
        <v>2.94</v>
      </c>
      <c r="E171" s="12">
        <v>0</v>
      </c>
      <c r="F171" s="12">
        <v>0</v>
      </c>
      <c r="G171" s="12">
        <v>0</v>
      </c>
      <c r="H171" s="12">
        <v>1.38</v>
      </c>
      <c r="I171" s="12">
        <v>0</v>
      </c>
      <c r="J171" s="12">
        <v>20.329999999999998</v>
      </c>
      <c r="K171" s="12">
        <v>3.22</v>
      </c>
      <c r="L171" s="12">
        <v>31.89</v>
      </c>
      <c r="M171" s="12">
        <v>0.19</v>
      </c>
      <c r="N171" s="12">
        <v>0</v>
      </c>
      <c r="O171" s="12">
        <v>5.7700000000000005</v>
      </c>
      <c r="P171" s="12">
        <v>5.84</v>
      </c>
      <c r="Q171" s="12">
        <v>77.970000000000013</v>
      </c>
      <c r="R171" s="12">
        <v>32.049999999999997</v>
      </c>
      <c r="S171" s="12">
        <v>33.520000000000003</v>
      </c>
      <c r="T171" s="12">
        <v>105.75</v>
      </c>
      <c r="U171" s="12">
        <v>25.43</v>
      </c>
      <c r="V171" s="12">
        <v>9.5399999999999991</v>
      </c>
      <c r="W171" s="12">
        <v>60.75</v>
      </c>
      <c r="X171" s="12">
        <v>150.80000000000001</v>
      </c>
      <c r="Y171" s="54">
        <v>0.27999999999999997</v>
      </c>
      <c r="Z171" s="12">
        <f t="shared" si="210"/>
        <v>649.86</v>
      </c>
      <c r="AA171" s="150">
        <f t="shared" si="209"/>
        <v>1.6621422360071638E-3</v>
      </c>
      <c r="AC171" s="175">
        <v>403.06</v>
      </c>
      <c r="AD171" s="175">
        <v>246.52</v>
      </c>
      <c r="AE171" s="175">
        <v>0.27999999999999997</v>
      </c>
      <c r="AF171" s="175">
        <v>0</v>
      </c>
      <c r="AG171" s="175">
        <v>649.86</v>
      </c>
      <c r="AH171" s="202">
        <v>0.37934324316006524</v>
      </c>
    </row>
    <row r="172" spans="1:34" x14ac:dyDescent="0.35">
      <c r="A172" s="6" t="s">
        <v>28</v>
      </c>
      <c r="B172" s="12">
        <v>1106.06</v>
      </c>
      <c r="C172" s="12">
        <v>120.54999999999998</v>
      </c>
      <c r="D172" s="12">
        <v>6.6300000000000008</v>
      </c>
      <c r="E172" s="12">
        <v>15.95</v>
      </c>
      <c r="F172" s="12">
        <v>11.51</v>
      </c>
      <c r="G172" s="12">
        <v>35.349999999999994</v>
      </c>
      <c r="H172" s="12">
        <v>37.800000000000004</v>
      </c>
      <c r="I172" s="12">
        <v>3.4299999999999997</v>
      </c>
      <c r="J172" s="12">
        <v>18.32</v>
      </c>
      <c r="K172" s="12">
        <v>64.540000000000006</v>
      </c>
      <c r="L172" s="12">
        <v>13.68</v>
      </c>
      <c r="M172" s="12">
        <v>34.370000000000005</v>
      </c>
      <c r="N172" s="12">
        <v>1.25</v>
      </c>
      <c r="O172" s="12">
        <v>15.59</v>
      </c>
      <c r="P172" s="12">
        <v>2.99</v>
      </c>
      <c r="Q172" s="54">
        <v>33.150000000000006</v>
      </c>
      <c r="R172" s="12">
        <v>224.51999999999998</v>
      </c>
      <c r="S172" s="12">
        <v>316.08999999999997</v>
      </c>
      <c r="T172" s="12">
        <v>207.29000000000005</v>
      </c>
      <c r="U172" s="12">
        <v>88.379999999999981</v>
      </c>
      <c r="V172" s="12">
        <v>88.469999999999985</v>
      </c>
      <c r="W172" s="12">
        <v>145.66</v>
      </c>
      <c r="X172" s="12">
        <v>223.56</v>
      </c>
      <c r="Y172" s="58">
        <v>2.35</v>
      </c>
      <c r="Z172" s="12">
        <f t="shared" si="210"/>
        <v>2817.49</v>
      </c>
      <c r="AA172" s="150">
        <f t="shared" si="209"/>
        <v>7.2062738567196371E-3</v>
      </c>
      <c r="AC172" s="175">
        <v>2269.0700000000002</v>
      </c>
      <c r="AD172" s="175">
        <v>546.06999999999994</v>
      </c>
      <c r="AE172" s="175">
        <v>2.35</v>
      </c>
      <c r="AF172" s="175">
        <v>29.472000000000001</v>
      </c>
      <c r="AG172" s="175">
        <v>2846.9620000000004</v>
      </c>
      <c r="AH172" s="202">
        <v>0.19180796933713898</v>
      </c>
    </row>
    <row r="173" spans="1:34" x14ac:dyDescent="0.35">
      <c r="A173" s="6" t="s">
        <v>29</v>
      </c>
      <c r="B173" s="12">
        <v>4627.1199999999972</v>
      </c>
      <c r="C173" s="12">
        <v>133.30000000000001</v>
      </c>
      <c r="D173" s="12">
        <v>10.66</v>
      </c>
      <c r="E173" s="12">
        <v>26.29</v>
      </c>
      <c r="F173" s="12">
        <v>11.75</v>
      </c>
      <c r="G173" s="12">
        <v>137.99</v>
      </c>
      <c r="H173" s="12">
        <v>1.58</v>
      </c>
      <c r="I173" s="12">
        <v>7.75</v>
      </c>
      <c r="J173" s="54">
        <v>2.96</v>
      </c>
      <c r="K173" s="12">
        <v>55.160000000000004</v>
      </c>
      <c r="L173" s="12">
        <v>15.299999999999997</v>
      </c>
      <c r="M173" s="12">
        <v>8.23</v>
      </c>
      <c r="N173" s="12">
        <v>8.02</v>
      </c>
      <c r="O173" s="12">
        <v>23.76</v>
      </c>
      <c r="P173" s="12">
        <v>13.42</v>
      </c>
      <c r="Q173" s="12">
        <v>63.490000000000009</v>
      </c>
      <c r="R173" s="12">
        <v>135.45000000000002</v>
      </c>
      <c r="S173" s="12">
        <v>97.749999999999986</v>
      </c>
      <c r="T173" s="12">
        <v>159.22999999999999</v>
      </c>
      <c r="U173" s="12">
        <v>123.71000000000001</v>
      </c>
      <c r="V173" s="12">
        <v>32.049999999999997</v>
      </c>
      <c r="W173" s="12">
        <v>211.12</v>
      </c>
      <c r="X173" s="12">
        <v>69.900000000000006</v>
      </c>
      <c r="Y173" s="54">
        <v>5.2700000000000014</v>
      </c>
      <c r="Z173" s="12">
        <f t="shared" si="210"/>
        <v>5981.2599999999966</v>
      </c>
      <c r="AA173" s="150">
        <f t="shared" si="209"/>
        <v>1.5298225572492849E-2</v>
      </c>
      <c r="AC173" s="175">
        <v>5539.2099999999964</v>
      </c>
      <c r="AD173" s="175">
        <v>436.78</v>
      </c>
      <c r="AE173" s="175">
        <v>5.2700000000000014</v>
      </c>
      <c r="AF173" s="175">
        <v>138.1892</v>
      </c>
      <c r="AG173" s="175">
        <v>6119.4491999999964</v>
      </c>
      <c r="AH173" s="202">
        <v>7.1375704859188996E-2</v>
      </c>
    </row>
    <row r="174" spans="1:34" x14ac:dyDescent="0.35">
      <c r="A174" s="6" t="s">
        <v>30</v>
      </c>
      <c r="B174" s="12">
        <v>248.19999999999996</v>
      </c>
      <c r="C174" s="12">
        <v>30.16</v>
      </c>
      <c r="D174" s="12">
        <v>0</v>
      </c>
      <c r="E174" s="12">
        <v>0</v>
      </c>
      <c r="F174" s="12">
        <v>0</v>
      </c>
      <c r="G174" s="12">
        <v>9.5299999999999994</v>
      </c>
      <c r="H174" s="12">
        <v>19.490000000000002</v>
      </c>
      <c r="I174" s="12">
        <v>35.92</v>
      </c>
      <c r="J174" s="12">
        <v>50.84</v>
      </c>
      <c r="K174" s="55">
        <v>9.14</v>
      </c>
      <c r="L174" s="12">
        <v>58.05</v>
      </c>
      <c r="M174" s="12">
        <v>15.849999999999998</v>
      </c>
      <c r="N174" s="12">
        <v>9.41</v>
      </c>
      <c r="O174" s="12">
        <v>2.06</v>
      </c>
      <c r="P174" s="12">
        <v>23.34</v>
      </c>
      <c r="Q174" s="12">
        <v>73.45</v>
      </c>
      <c r="R174" s="12">
        <v>251.14000000000001</v>
      </c>
      <c r="S174" s="12">
        <v>529.87000000000012</v>
      </c>
      <c r="T174" s="12">
        <v>352.26</v>
      </c>
      <c r="U174" s="12">
        <v>242.85</v>
      </c>
      <c r="V174" s="12">
        <v>283.16999999999996</v>
      </c>
      <c r="W174" s="12">
        <v>491.57</v>
      </c>
      <c r="X174" s="12">
        <v>916.37999999999988</v>
      </c>
      <c r="Y174" s="55">
        <v>1.9400000000000004</v>
      </c>
      <c r="Z174" s="12">
        <f t="shared" si="210"/>
        <v>3654.6200000000003</v>
      </c>
      <c r="AA174" s="150">
        <f t="shared" si="209"/>
        <v>9.3473952213653736E-3</v>
      </c>
      <c r="AC174" s="175">
        <v>1718.7100000000003</v>
      </c>
      <c r="AD174" s="175">
        <v>1933.9699999999998</v>
      </c>
      <c r="AE174" s="175">
        <v>1.9400000000000004</v>
      </c>
      <c r="AF174" s="175">
        <v>1.4670000000000001</v>
      </c>
      <c r="AG174" s="175">
        <v>3656.0870000000004</v>
      </c>
      <c r="AH174" s="202">
        <v>0.52897264206240158</v>
      </c>
    </row>
    <row r="175" spans="1:34" x14ac:dyDescent="0.35">
      <c r="A175" s="116" t="s">
        <v>12</v>
      </c>
      <c r="B175" s="117">
        <f>SUM(B176:B178)</f>
        <v>32602.140000000025</v>
      </c>
      <c r="C175" s="117">
        <f t="shared" ref="C175:Y175" si="211">SUM(C176:C178)</f>
        <v>2269.56</v>
      </c>
      <c r="D175" s="117">
        <f t="shared" si="211"/>
        <v>315.8</v>
      </c>
      <c r="E175" s="117">
        <f t="shared" si="211"/>
        <v>487.11</v>
      </c>
      <c r="F175" s="117">
        <f t="shared" si="211"/>
        <v>379.30999999999995</v>
      </c>
      <c r="G175" s="117">
        <f t="shared" si="211"/>
        <v>425.58999999999992</v>
      </c>
      <c r="H175" s="117">
        <f t="shared" si="211"/>
        <v>890.73</v>
      </c>
      <c r="I175" s="117">
        <f t="shared" si="211"/>
        <v>555.5</v>
      </c>
      <c r="J175" s="117">
        <f t="shared" si="211"/>
        <v>456.31999999999988</v>
      </c>
      <c r="K175" s="117">
        <f t="shared" si="211"/>
        <v>590.2700000000001</v>
      </c>
      <c r="L175" s="117">
        <f t="shared" si="211"/>
        <v>660.62000000000012</v>
      </c>
      <c r="M175" s="117">
        <f t="shared" si="211"/>
        <v>787.94999999999982</v>
      </c>
      <c r="N175" s="117">
        <f t="shared" si="211"/>
        <v>460.51</v>
      </c>
      <c r="O175" s="117">
        <f t="shared" si="211"/>
        <v>634.39</v>
      </c>
      <c r="P175" s="117">
        <f t="shared" si="211"/>
        <v>577.08000000000015</v>
      </c>
      <c r="Q175" s="117">
        <f t="shared" si="211"/>
        <v>989.35999999999967</v>
      </c>
      <c r="R175" s="117">
        <f t="shared" si="211"/>
        <v>1220.2199999999998</v>
      </c>
      <c r="S175" s="117">
        <f t="shared" si="211"/>
        <v>1399.8599999999992</v>
      </c>
      <c r="T175" s="117">
        <f t="shared" si="211"/>
        <v>1600.7</v>
      </c>
      <c r="U175" s="117">
        <f t="shared" si="211"/>
        <v>1319.9899999999998</v>
      </c>
      <c r="V175" s="117">
        <f t="shared" si="211"/>
        <v>1395.93</v>
      </c>
      <c r="W175" s="117">
        <f t="shared" si="211"/>
        <v>1293.7300000000002</v>
      </c>
      <c r="X175" s="117">
        <f t="shared" si="211"/>
        <v>983.62999999999988</v>
      </c>
      <c r="Y175" s="117">
        <f t="shared" si="211"/>
        <v>55.219999999999985</v>
      </c>
      <c r="Z175" s="117">
        <f t="shared" ref="Z175:Z180" si="212">SUM(B175:Y175)</f>
        <v>52351.520000000026</v>
      </c>
      <c r="AA175" s="151">
        <f t="shared" si="209"/>
        <v>0.13389910520908166</v>
      </c>
      <c r="AB175" s="136"/>
      <c r="AC175" s="177">
        <v>47303.020000000026</v>
      </c>
      <c r="AD175" s="177">
        <v>4993.2800000000007</v>
      </c>
      <c r="AE175" s="117">
        <v>55.219999999999985</v>
      </c>
      <c r="AF175" s="117">
        <v>3.95</v>
      </c>
      <c r="AG175" s="117">
        <v>52355.470000000023</v>
      </c>
      <c r="AH175" s="185">
        <v>9.5372651606412825E-2</v>
      </c>
    </row>
    <row r="176" spans="1:34" x14ac:dyDescent="0.35">
      <c r="A176" s="6" t="s">
        <v>31</v>
      </c>
      <c r="B176" s="12">
        <v>4835.0900000000011</v>
      </c>
      <c r="C176" s="12">
        <v>206.4</v>
      </c>
      <c r="D176" s="12">
        <v>29.680000000000003</v>
      </c>
      <c r="E176" s="12">
        <v>202.7</v>
      </c>
      <c r="F176" s="12">
        <v>108.15999999999998</v>
      </c>
      <c r="G176" s="12">
        <v>78.19</v>
      </c>
      <c r="H176" s="12">
        <v>172.64</v>
      </c>
      <c r="I176" s="12">
        <v>191.20000000000002</v>
      </c>
      <c r="J176" s="12">
        <v>78.23</v>
      </c>
      <c r="K176" s="12">
        <v>71.23</v>
      </c>
      <c r="L176" s="12">
        <v>82.759999999999991</v>
      </c>
      <c r="M176" s="12">
        <v>106.72</v>
      </c>
      <c r="N176" s="12">
        <v>63.61999999999999</v>
      </c>
      <c r="O176" s="12">
        <v>132.63</v>
      </c>
      <c r="P176" s="12">
        <v>116.47000000000001</v>
      </c>
      <c r="Q176" s="12">
        <v>103.49000000000001</v>
      </c>
      <c r="R176" s="12">
        <v>214.05</v>
      </c>
      <c r="S176" s="12">
        <v>293.85000000000002</v>
      </c>
      <c r="T176" s="12">
        <v>321.05000000000007</v>
      </c>
      <c r="U176" s="12">
        <v>302.60000000000002</v>
      </c>
      <c r="V176" s="12">
        <v>274.41999999999996</v>
      </c>
      <c r="W176" s="12">
        <v>298.81</v>
      </c>
      <c r="X176" s="12">
        <v>160.88999999999999</v>
      </c>
      <c r="Y176" s="12">
        <v>7.379999999999999</v>
      </c>
      <c r="Z176" s="12">
        <f t="shared" si="212"/>
        <v>8452.26</v>
      </c>
      <c r="AA176" s="150">
        <f t="shared" si="209"/>
        <v>2.1618284454673176E-2</v>
      </c>
      <c r="AC176" s="175">
        <v>7408.1600000000008</v>
      </c>
      <c r="AD176" s="175">
        <v>1036.7199999999998</v>
      </c>
      <c r="AE176" s="175">
        <v>7.379999999999999</v>
      </c>
      <c r="AF176" s="175">
        <v>0.48</v>
      </c>
      <c r="AG176" s="175">
        <v>8452.74</v>
      </c>
      <c r="AH176" s="202">
        <v>0.12264898719231869</v>
      </c>
    </row>
    <row r="177" spans="1:44" x14ac:dyDescent="0.35">
      <c r="A177" s="6" t="s">
        <v>32</v>
      </c>
      <c r="B177" s="12">
        <v>11047.740000000011</v>
      </c>
      <c r="C177" s="12">
        <v>729.28999999999962</v>
      </c>
      <c r="D177" s="12">
        <v>69.179999999999993</v>
      </c>
      <c r="E177" s="12">
        <v>93.08</v>
      </c>
      <c r="F177" s="12">
        <v>96.13</v>
      </c>
      <c r="G177" s="12">
        <v>82.27000000000001</v>
      </c>
      <c r="H177" s="12">
        <v>233.38000000000005</v>
      </c>
      <c r="I177" s="12">
        <v>50.83</v>
      </c>
      <c r="J177" s="12">
        <v>68.16</v>
      </c>
      <c r="K177" s="12">
        <v>126.83999999999999</v>
      </c>
      <c r="L177" s="12">
        <v>128.36999999999998</v>
      </c>
      <c r="M177" s="12">
        <v>166.09999999999997</v>
      </c>
      <c r="N177" s="12">
        <v>66.540000000000006</v>
      </c>
      <c r="O177" s="12">
        <v>115.49000000000001</v>
      </c>
      <c r="P177" s="12">
        <v>75.63</v>
      </c>
      <c r="Q177" s="12">
        <v>178.42000000000002</v>
      </c>
      <c r="R177" s="12">
        <v>213.76000000000005</v>
      </c>
      <c r="S177" s="12">
        <v>204.64000000000001</v>
      </c>
      <c r="T177" s="12">
        <v>224.61999999999998</v>
      </c>
      <c r="U177" s="12">
        <v>169.74000000000004</v>
      </c>
      <c r="V177" s="12">
        <v>166.28</v>
      </c>
      <c r="W177" s="12">
        <v>211.46999999999997</v>
      </c>
      <c r="X177" s="12">
        <v>119.71999999999998</v>
      </c>
      <c r="Y177" s="12">
        <v>13.79</v>
      </c>
      <c r="Z177" s="12">
        <f t="shared" si="212"/>
        <v>14651.47000000001</v>
      </c>
      <c r="AA177" s="150">
        <f t="shared" si="209"/>
        <v>3.7473959170578122E-2</v>
      </c>
      <c r="AC177" s="175">
        <v>13970.47000000001</v>
      </c>
      <c r="AD177" s="175">
        <v>667.21</v>
      </c>
      <c r="AE177" s="175">
        <v>13.79</v>
      </c>
      <c r="AF177" s="175">
        <v>1.48</v>
      </c>
      <c r="AG177" s="175">
        <v>14652.950000000012</v>
      </c>
      <c r="AH177" s="202">
        <v>4.553417571205795E-2</v>
      </c>
    </row>
    <row r="178" spans="1:44" x14ac:dyDescent="0.35">
      <c r="A178" s="6" t="s">
        <v>33</v>
      </c>
      <c r="B178" s="12">
        <v>16719.310000000012</v>
      </c>
      <c r="C178" s="12">
        <v>1333.8700000000003</v>
      </c>
      <c r="D178" s="12">
        <v>216.94000000000003</v>
      </c>
      <c r="E178" s="12">
        <v>191.33</v>
      </c>
      <c r="F178" s="12">
        <v>175.02</v>
      </c>
      <c r="G178" s="12">
        <v>265.12999999999994</v>
      </c>
      <c r="H178" s="12">
        <v>484.71000000000004</v>
      </c>
      <c r="I178" s="12">
        <v>313.46999999999997</v>
      </c>
      <c r="J178" s="12">
        <v>309.92999999999989</v>
      </c>
      <c r="K178" s="12">
        <v>392.2000000000001</v>
      </c>
      <c r="L178" s="12">
        <v>449.49000000000012</v>
      </c>
      <c r="M178" s="12">
        <v>515.12999999999988</v>
      </c>
      <c r="N178" s="12">
        <v>330.34999999999997</v>
      </c>
      <c r="O178" s="12">
        <v>386.27</v>
      </c>
      <c r="P178" s="12">
        <v>384.98000000000008</v>
      </c>
      <c r="Q178" s="12">
        <v>707.4499999999997</v>
      </c>
      <c r="R178" s="12">
        <v>792.40999999999985</v>
      </c>
      <c r="S178" s="12">
        <v>901.3699999999991</v>
      </c>
      <c r="T178" s="12">
        <v>1055.03</v>
      </c>
      <c r="U178" s="12">
        <v>847.64999999999986</v>
      </c>
      <c r="V178" s="12">
        <v>955.23000000000013</v>
      </c>
      <c r="W178" s="12">
        <v>783.45000000000027</v>
      </c>
      <c r="X178" s="12">
        <v>703.02</v>
      </c>
      <c r="Y178" s="12">
        <v>34.049999999999983</v>
      </c>
      <c r="Z178" s="12">
        <f t="shared" si="212"/>
        <v>29247.790000000015</v>
      </c>
      <c r="AA178" s="150">
        <f t="shared" si="209"/>
        <v>7.4806861583830347E-2</v>
      </c>
      <c r="AC178" s="175">
        <v>25924.390000000014</v>
      </c>
      <c r="AD178" s="137">
        <v>3289.3500000000004</v>
      </c>
      <c r="AE178" s="137">
        <v>34.049999999999983</v>
      </c>
      <c r="AF178" s="175">
        <v>1.99</v>
      </c>
      <c r="AG178" s="175">
        <v>29249.780000000013</v>
      </c>
      <c r="AH178" s="202">
        <v>0.11245725608876371</v>
      </c>
    </row>
    <row r="179" spans="1:44" x14ac:dyDescent="0.35">
      <c r="A179" s="116" t="s">
        <v>13</v>
      </c>
      <c r="B179" s="117">
        <f>SUM(B180:B182)</f>
        <v>30469.849999999977</v>
      </c>
      <c r="C179" s="117">
        <f t="shared" ref="C179:Y179" si="213">SUM(C180:C182)</f>
        <v>3410.4</v>
      </c>
      <c r="D179" s="117">
        <f t="shared" si="213"/>
        <v>197.98</v>
      </c>
      <c r="E179" s="117">
        <f t="shared" si="213"/>
        <v>219.25</v>
      </c>
      <c r="F179" s="117">
        <f t="shared" si="213"/>
        <v>136.54999999999998</v>
      </c>
      <c r="G179" s="117">
        <f t="shared" si="213"/>
        <v>345.11</v>
      </c>
      <c r="H179" s="117">
        <f t="shared" si="213"/>
        <v>472.45</v>
      </c>
      <c r="I179" s="117">
        <f t="shared" si="213"/>
        <v>227.11</v>
      </c>
      <c r="J179" s="117">
        <f t="shared" si="213"/>
        <v>211.49</v>
      </c>
      <c r="K179" s="117">
        <f t="shared" si="213"/>
        <v>226.84000000000003</v>
      </c>
      <c r="L179" s="117">
        <f t="shared" si="213"/>
        <v>307.85000000000002</v>
      </c>
      <c r="M179" s="117">
        <f t="shared" si="213"/>
        <v>587.49</v>
      </c>
      <c r="N179" s="117">
        <f t="shared" si="213"/>
        <v>269.10000000000002</v>
      </c>
      <c r="O179" s="117">
        <f t="shared" si="213"/>
        <v>311.18</v>
      </c>
      <c r="P179" s="117">
        <f t="shared" si="213"/>
        <v>243.68</v>
      </c>
      <c r="Q179" s="117">
        <f t="shared" si="213"/>
        <v>553.04999999999995</v>
      </c>
      <c r="R179" s="117">
        <f t="shared" si="213"/>
        <v>1115.3700000000001</v>
      </c>
      <c r="S179" s="117">
        <f t="shared" si="213"/>
        <v>1039.3799999999999</v>
      </c>
      <c r="T179" s="117">
        <f t="shared" si="213"/>
        <v>900.45</v>
      </c>
      <c r="U179" s="117">
        <f t="shared" si="213"/>
        <v>744.33999999999992</v>
      </c>
      <c r="V179" s="117">
        <f t="shared" si="213"/>
        <v>641.23</v>
      </c>
      <c r="W179" s="117">
        <f t="shared" si="213"/>
        <v>505.53999999999996</v>
      </c>
      <c r="X179" s="117">
        <f t="shared" si="213"/>
        <v>291.68000000000006</v>
      </c>
      <c r="Y179" s="117">
        <f t="shared" si="213"/>
        <v>111.16999999999999</v>
      </c>
      <c r="Z179" s="117">
        <f t="shared" si="212"/>
        <v>43538.539999999972</v>
      </c>
      <c r="AA179" s="151">
        <f t="shared" si="209"/>
        <v>0.11135820981147831</v>
      </c>
      <c r="AC179" s="177">
        <v>41244.57999999998</v>
      </c>
      <c r="AD179" s="177">
        <v>2182.7900000000004</v>
      </c>
      <c r="AE179" s="117">
        <v>111.16999999999999</v>
      </c>
      <c r="AF179" s="117">
        <v>2150.5376999999999</v>
      </c>
      <c r="AG179" s="117">
        <v>45689.07769999998</v>
      </c>
      <c r="AH179" s="185">
        <v>4.7774875525666421E-2</v>
      </c>
      <c r="AO179" s="342"/>
      <c r="AP179" s="342" t="s">
        <v>256</v>
      </c>
      <c r="AQ179" s="342" t="s">
        <v>96</v>
      </c>
      <c r="AR179" s="342" t="s">
        <v>257</v>
      </c>
    </row>
    <row r="180" spans="1:44" x14ac:dyDescent="0.35">
      <c r="A180" s="6" t="s">
        <v>34</v>
      </c>
      <c r="B180" s="12">
        <v>6061.5000000000018</v>
      </c>
      <c r="C180" s="12">
        <v>940.36999999999978</v>
      </c>
      <c r="D180" s="12">
        <v>35.660000000000004</v>
      </c>
      <c r="E180" s="12">
        <v>64.289999999999992</v>
      </c>
      <c r="F180" s="12">
        <v>37.409999999999997</v>
      </c>
      <c r="G180" s="12">
        <v>40.769999999999996</v>
      </c>
      <c r="H180" s="12">
        <v>85.289999999999992</v>
      </c>
      <c r="I180" s="12">
        <v>24.369999999999997</v>
      </c>
      <c r="J180" s="12">
        <v>51.70000000000001</v>
      </c>
      <c r="K180" s="12">
        <v>26.820000000000004</v>
      </c>
      <c r="L180" s="12">
        <v>73.02000000000001</v>
      </c>
      <c r="M180" s="12">
        <v>106.6</v>
      </c>
      <c r="N180" s="12">
        <v>15.749999999999996</v>
      </c>
      <c r="O180" s="12">
        <v>41.24</v>
      </c>
      <c r="P180" s="12">
        <v>29.46</v>
      </c>
      <c r="Q180" s="12">
        <v>80.41</v>
      </c>
      <c r="R180" s="12">
        <v>154.28000000000003</v>
      </c>
      <c r="S180" s="12">
        <v>144.83000000000001</v>
      </c>
      <c r="T180" s="12">
        <v>156.59000000000003</v>
      </c>
      <c r="U180" s="12">
        <v>135.23000000000002</v>
      </c>
      <c r="V180" s="12">
        <v>55.56</v>
      </c>
      <c r="W180" s="12">
        <v>71.570000000000007</v>
      </c>
      <c r="X180" s="12">
        <v>50.290000000000006</v>
      </c>
      <c r="Y180" s="12">
        <v>16.049999999999997</v>
      </c>
      <c r="Z180" s="12">
        <f t="shared" si="212"/>
        <v>8499.0600000000013</v>
      </c>
      <c r="AA180" s="150">
        <f t="shared" si="209"/>
        <v>2.173798447720901E-2</v>
      </c>
      <c r="AC180" s="175">
        <v>8170.3600000000015</v>
      </c>
      <c r="AD180" s="175">
        <v>312.65000000000003</v>
      </c>
      <c r="AE180" s="175">
        <v>16.049999999999997</v>
      </c>
      <c r="AF180" s="175">
        <v>145.11359999999999</v>
      </c>
      <c r="AG180" s="175">
        <v>8644.1736000000019</v>
      </c>
      <c r="AH180" s="202">
        <v>3.6168871018508929E-2</v>
      </c>
      <c r="AJ180" s="210" t="s">
        <v>255</v>
      </c>
      <c r="AO180" s="116" t="s">
        <v>15</v>
      </c>
      <c r="AP180" s="343">
        <v>23588.649999999998</v>
      </c>
      <c r="AQ180" s="343">
        <v>103361.62079999999</v>
      </c>
      <c r="AR180" s="190">
        <f>AP180/AQ180</f>
        <v>0.22821478434092046</v>
      </c>
    </row>
    <row r="181" spans="1:44" x14ac:dyDescent="0.35">
      <c r="A181" s="6" t="s">
        <v>61</v>
      </c>
      <c r="B181" s="12">
        <v>12762.959999999974</v>
      </c>
      <c r="C181" s="12">
        <v>548.09999999999991</v>
      </c>
      <c r="D181" s="12">
        <v>80.11999999999999</v>
      </c>
      <c r="E181" s="12">
        <v>69.45</v>
      </c>
      <c r="F181" s="12">
        <v>46.59</v>
      </c>
      <c r="G181" s="12">
        <v>133.59</v>
      </c>
      <c r="H181" s="12">
        <v>121.22</v>
      </c>
      <c r="I181" s="12">
        <v>32.14</v>
      </c>
      <c r="J181" s="12">
        <v>44.989999999999995</v>
      </c>
      <c r="K181" s="12">
        <v>56.660000000000004</v>
      </c>
      <c r="L181" s="12">
        <v>99.52</v>
      </c>
      <c r="M181" s="54">
        <v>205.49000000000007</v>
      </c>
      <c r="N181" s="54">
        <v>51.86</v>
      </c>
      <c r="O181" s="54">
        <v>126.20000000000002</v>
      </c>
      <c r="P181" s="12">
        <v>106.46999999999997</v>
      </c>
      <c r="Q181" s="12">
        <v>208.97000000000003</v>
      </c>
      <c r="R181" s="12">
        <v>330.85000000000008</v>
      </c>
      <c r="S181" s="12">
        <v>255.6</v>
      </c>
      <c r="T181" s="12">
        <v>184.69999999999996</v>
      </c>
      <c r="U181" s="12">
        <v>218.93999999999997</v>
      </c>
      <c r="V181" s="12">
        <v>207.21</v>
      </c>
      <c r="W181" s="12">
        <v>157.08999999999997</v>
      </c>
      <c r="X181" s="12">
        <v>91.230000000000018</v>
      </c>
      <c r="Y181" s="12">
        <v>44.640000000000008</v>
      </c>
      <c r="Z181" s="12">
        <f t="shared" ref="Z181:Z218" si="214">SUM(B181:Y181)</f>
        <v>16184.589999999975</v>
      </c>
      <c r="AA181" s="150">
        <f t="shared" si="209"/>
        <v>4.1395209139597974E-2</v>
      </c>
      <c r="AB181" s="134"/>
      <c r="AC181" s="175">
        <v>15465.479999999976</v>
      </c>
      <c r="AD181" s="175">
        <v>674.47</v>
      </c>
      <c r="AE181" s="175">
        <v>44.640000000000008</v>
      </c>
      <c r="AF181" s="175">
        <v>1298.0576000000001</v>
      </c>
      <c r="AG181" s="175">
        <v>17482.647599999975</v>
      </c>
      <c r="AH181" s="202">
        <v>3.8579396864351426E-2</v>
      </c>
      <c r="AK181" t="s">
        <v>256</v>
      </c>
      <c r="AL181" t="s">
        <v>96</v>
      </c>
      <c r="AM181" t="s">
        <v>257</v>
      </c>
      <c r="AO181" s="116" t="s">
        <v>5</v>
      </c>
      <c r="AP181" s="343">
        <v>14813.65</v>
      </c>
      <c r="AQ181" s="343">
        <v>110908.72140000002</v>
      </c>
      <c r="AR181" s="190">
        <f t="shared" ref="AR181:AR186" si="215">AP181/AQ181</f>
        <v>0.13356614171552425</v>
      </c>
    </row>
    <row r="182" spans="1:44" x14ac:dyDescent="0.35">
      <c r="A182" s="6" t="s">
        <v>36</v>
      </c>
      <c r="B182" s="12">
        <v>11645.390000000001</v>
      </c>
      <c r="C182" s="12">
        <v>1921.9300000000003</v>
      </c>
      <c r="D182" s="12">
        <v>82.199999999999989</v>
      </c>
      <c r="E182" s="12">
        <v>85.51</v>
      </c>
      <c r="F182" s="12">
        <v>52.54999999999999</v>
      </c>
      <c r="G182" s="12">
        <v>170.74999999999997</v>
      </c>
      <c r="H182" s="12">
        <v>265.94</v>
      </c>
      <c r="I182" s="12">
        <v>170.60000000000002</v>
      </c>
      <c r="J182" s="12">
        <v>114.80000000000001</v>
      </c>
      <c r="K182" s="12">
        <v>143.36000000000001</v>
      </c>
      <c r="L182" s="12">
        <v>135.31</v>
      </c>
      <c r="M182" s="12">
        <v>275.40000000000003</v>
      </c>
      <c r="N182" s="12">
        <v>201.49000000000004</v>
      </c>
      <c r="O182" s="12">
        <v>143.73999999999998</v>
      </c>
      <c r="P182" s="12">
        <v>107.75000000000001</v>
      </c>
      <c r="Q182" s="12">
        <v>263.67</v>
      </c>
      <c r="R182" s="12">
        <v>630.24</v>
      </c>
      <c r="S182" s="12">
        <v>638.94999999999993</v>
      </c>
      <c r="T182" s="12">
        <v>559.16000000000008</v>
      </c>
      <c r="U182" s="12">
        <v>390.17</v>
      </c>
      <c r="V182" s="12">
        <v>378.46000000000004</v>
      </c>
      <c r="W182" s="12">
        <v>276.88</v>
      </c>
      <c r="X182" s="12">
        <v>150.16000000000003</v>
      </c>
      <c r="Y182" s="12">
        <v>50.47999999999999</v>
      </c>
      <c r="Z182" s="12">
        <f t="shared" si="214"/>
        <v>18854.89</v>
      </c>
      <c r="AA182" s="150">
        <f t="shared" si="209"/>
        <v>4.822501619467133E-2</v>
      </c>
      <c r="AB182" s="134"/>
      <c r="AC182" s="175">
        <v>17608.740000000002</v>
      </c>
      <c r="AD182" s="175">
        <v>1195.6700000000003</v>
      </c>
      <c r="AE182" s="175">
        <v>50.47999999999999</v>
      </c>
      <c r="AF182" s="175">
        <v>707.36650000000009</v>
      </c>
      <c r="AG182" s="175">
        <v>19562.256500000003</v>
      </c>
      <c r="AH182" s="202">
        <v>6.1121271975960449E-2</v>
      </c>
      <c r="AJ182" s="6" t="s">
        <v>41</v>
      </c>
      <c r="AK182" s="175">
        <v>10870.489999999998</v>
      </c>
      <c r="AL182" s="175">
        <v>53153.099999999991</v>
      </c>
      <c r="AM182" s="382">
        <f>AK182/AL182</f>
        <v>0.20451281298738924</v>
      </c>
      <c r="AO182" s="116" t="s">
        <v>12</v>
      </c>
      <c r="AP182" s="343">
        <v>4993.2800000000007</v>
      </c>
      <c r="AQ182" s="343">
        <v>52355.470000000023</v>
      </c>
      <c r="AR182" s="190">
        <f t="shared" si="215"/>
        <v>9.5372651606412825E-2</v>
      </c>
    </row>
    <row r="183" spans="1:44" x14ac:dyDescent="0.35">
      <c r="A183" s="116" t="s">
        <v>14</v>
      </c>
      <c r="B183" s="117">
        <f>SUM(B184:B187)</f>
        <v>17025.150000000023</v>
      </c>
      <c r="C183" s="117">
        <f t="shared" ref="C183:Y183" si="216">SUM(C184:C187)</f>
        <v>742.44999999999982</v>
      </c>
      <c r="D183" s="117">
        <f t="shared" si="216"/>
        <v>48.79</v>
      </c>
      <c r="E183" s="117">
        <f t="shared" si="216"/>
        <v>68.199999999999989</v>
      </c>
      <c r="F183" s="117">
        <f t="shared" si="216"/>
        <v>33.58</v>
      </c>
      <c r="G183" s="117">
        <f t="shared" si="216"/>
        <v>50.599999999999994</v>
      </c>
      <c r="H183" s="117">
        <f t="shared" si="216"/>
        <v>102.38</v>
      </c>
      <c r="I183" s="117">
        <f t="shared" si="216"/>
        <v>91.89</v>
      </c>
      <c r="J183" s="117">
        <f t="shared" si="216"/>
        <v>53.199999999999996</v>
      </c>
      <c r="K183" s="117">
        <f t="shared" si="216"/>
        <v>69.97</v>
      </c>
      <c r="L183" s="117">
        <f t="shared" si="216"/>
        <v>33.64</v>
      </c>
      <c r="M183" s="117">
        <f t="shared" si="216"/>
        <v>85.61</v>
      </c>
      <c r="N183" s="117">
        <f t="shared" si="216"/>
        <v>52.04</v>
      </c>
      <c r="O183" s="117">
        <f t="shared" si="216"/>
        <v>62.84</v>
      </c>
      <c r="P183" s="117">
        <f t="shared" si="216"/>
        <v>85.52</v>
      </c>
      <c r="Q183" s="117">
        <f t="shared" si="216"/>
        <v>109.15</v>
      </c>
      <c r="R183" s="117">
        <f t="shared" si="216"/>
        <v>227.67000000000004</v>
      </c>
      <c r="S183" s="117">
        <f t="shared" si="216"/>
        <v>218.84999999999997</v>
      </c>
      <c r="T183" s="117">
        <f t="shared" si="216"/>
        <v>239.89999999999998</v>
      </c>
      <c r="U183" s="117">
        <f t="shared" si="216"/>
        <v>251.01999999999998</v>
      </c>
      <c r="V183" s="117">
        <f t="shared" si="216"/>
        <v>187.41</v>
      </c>
      <c r="W183" s="117">
        <f t="shared" si="216"/>
        <v>210.66</v>
      </c>
      <c r="X183" s="117">
        <f t="shared" si="216"/>
        <v>129.46</v>
      </c>
      <c r="Y183" s="117">
        <f t="shared" si="216"/>
        <v>0.65</v>
      </c>
      <c r="Z183" s="117">
        <f>SUM(B183:Y183)</f>
        <v>20180.63000000003</v>
      </c>
      <c r="AA183" s="151">
        <f t="shared" si="209"/>
        <v>5.161585183306143E-2</v>
      </c>
      <c r="AB183" s="135"/>
      <c r="AC183" s="177">
        <v>19401.430000000022</v>
      </c>
      <c r="AD183" s="177">
        <v>778.55</v>
      </c>
      <c r="AE183" s="117">
        <v>0.65</v>
      </c>
      <c r="AF183" s="117">
        <v>0</v>
      </c>
      <c r="AG183" s="117">
        <v>20180.630000000023</v>
      </c>
      <c r="AH183" s="185">
        <v>3.8579073101285694E-2</v>
      </c>
      <c r="AJ183" s="6" t="s">
        <v>43</v>
      </c>
      <c r="AK183" s="175">
        <v>5288.5300000000007</v>
      </c>
      <c r="AL183" s="175">
        <v>21428.630800000003</v>
      </c>
      <c r="AM183" s="382">
        <f t="shared" ref="AM183:AM205" si="217">AK183/AL183</f>
        <v>0.24679738287338451</v>
      </c>
      <c r="AO183" s="116" t="s">
        <v>22</v>
      </c>
      <c r="AP183" s="343">
        <v>4566.37</v>
      </c>
      <c r="AQ183" s="343">
        <v>45596.399999999994</v>
      </c>
      <c r="AR183" s="190">
        <f t="shared" si="215"/>
        <v>0.10014759937188025</v>
      </c>
    </row>
    <row r="184" spans="1:44" x14ac:dyDescent="0.35">
      <c r="A184" s="6" t="s">
        <v>37</v>
      </c>
      <c r="B184" s="12">
        <v>381.15000000000009</v>
      </c>
      <c r="C184" s="12">
        <v>3.2</v>
      </c>
      <c r="D184" s="12">
        <v>0.55000000000000004</v>
      </c>
      <c r="E184" s="12">
        <v>1.98</v>
      </c>
      <c r="F184" s="12">
        <v>0</v>
      </c>
      <c r="G184" s="12">
        <v>1.02</v>
      </c>
      <c r="H184" s="12">
        <v>3.6699999999999995</v>
      </c>
      <c r="I184" s="54">
        <v>0.16999999999999998</v>
      </c>
      <c r="J184" s="12">
        <v>0</v>
      </c>
      <c r="K184" s="12">
        <v>0.7</v>
      </c>
      <c r="L184" s="12">
        <v>7.0000000000000007E-2</v>
      </c>
      <c r="M184" s="54">
        <v>5.0599999999999996</v>
      </c>
      <c r="N184" s="12">
        <v>0.04</v>
      </c>
      <c r="O184" s="12">
        <v>1.3699999999999999</v>
      </c>
      <c r="P184" s="12">
        <v>0.01</v>
      </c>
      <c r="Q184" s="12">
        <v>2.04</v>
      </c>
      <c r="R184" s="12">
        <v>2.2400000000000002</v>
      </c>
      <c r="S184" s="54">
        <v>3.0799999999999996</v>
      </c>
      <c r="T184" s="12">
        <v>0.56000000000000005</v>
      </c>
      <c r="U184" s="12">
        <v>2.84</v>
      </c>
      <c r="V184" s="54">
        <v>2.97</v>
      </c>
      <c r="W184" s="12">
        <v>0.66</v>
      </c>
      <c r="X184" s="12">
        <v>0</v>
      </c>
      <c r="Y184" s="12">
        <v>0</v>
      </c>
      <c r="Z184" s="12">
        <f t="shared" si="214"/>
        <v>413.38000000000017</v>
      </c>
      <c r="AA184" s="150">
        <f t="shared" si="209"/>
        <v>1.0572990452107247E-3</v>
      </c>
      <c r="AB184" s="134"/>
      <c r="AC184" s="175">
        <v>406.91000000000014</v>
      </c>
      <c r="AD184" s="175">
        <v>6.4700000000000006</v>
      </c>
      <c r="AE184" s="175">
        <v>0</v>
      </c>
      <c r="AF184" s="175"/>
      <c r="AG184" s="175">
        <v>413.38000000000017</v>
      </c>
      <c r="AH184" s="202">
        <v>1.5651458706275094E-2</v>
      </c>
      <c r="AJ184" s="6" t="s">
        <v>26</v>
      </c>
      <c r="AK184" s="175">
        <v>4787.8099999999995</v>
      </c>
      <c r="AL184" s="175">
        <v>56379.058400000024</v>
      </c>
      <c r="AM184" s="382">
        <f t="shared" si="217"/>
        <v>8.4921780105500971E-2</v>
      </c>
      <c r="AO184" s="116" t="s">
        <v>13</v>
      </c>
      <c r="AP184" s="343">
        <v>2182.7900000000004</v>
      </c>
      <c r="AQ184" s="343">
        <v>45689.07769999998</v>
      </c>
      <c r="AR184" s="190">
        <f t="shared" si="215"/>
        <v>4.7774875525666421E-2</v>
      </c>
    </row>
    <row r="185" spans="1:44" x14ac:dyDescent="0.35">
      <c r="A185" s="6" t="s">
        <v>38</v>
      </c>
      <c r="B185" s="12">
        <v>3.45</v>
      </c>
      <c r="C185" s="54">
        <v>0.2</v>
      </c>
      <c r="D185" s="12">
        <v>0</v>
      </c>
      <c r="E185" s="12">
        <v>0</v>
      </c>
      <c r="F185" s="12">
        <v>0</v>
      </c>
      <c r="G185" s="12">
        <v>0</v>
      </c>
      <c r="H185" s="12">
        <v>0</v>
      </c>
      <c r="I185" s="12">
        <v>0</v>
      </c>
      <c r="J185" s="12">
        <v>0</v>
      </c>
      <c r="K185" s="12">
        <v>0</v>
      </c>
      <c r="L185" s="12">
        <v>0.19</v>
      </c>
      <c r="M185" s="12">
        <v>0</v>
      </c>
      <c r="N185" s="12">
        <v>0</v>
      </c>
      <c r="O185" s="12">
        <v>0</v>
      </c>
      <c r="P185" s="12">
        <v>0</v>
      </c>
      <c r="Q185" s="12">
        <v>0.13</v>
      </c>
      <c r="R185" s="12">
        <v>0.15000000000000002</v>
      </c>
      <c r="S185" s="12">
        <v>0.7</v>
      </c>
      <c r="T185" s="12">
        <v>0.96</v>
      </c>
      <c r="U185" s="12">
        <v>0.70000000000000007</v>
      </c>
      <c r="V185" s="12">
        <v>0</v>
      </c>
      <c r="W185" s="12">
        <v>0</v>
      </c>
      <c r="X185" s="54">
        <v>0.2</v>
      </c>
      <c r="Y185" s="12">
        <v>0</v>
      </c>
      <c r="Z185" s="12">
        <f t="shared" si="214"/>
        <v>6.6800000000000006</v>
      </c>
      <c r="AA185" s="150">
        <f t="shared" si="209"/>
        <v>1.7085387832037447E-5</v>
      </c>
      <c r="AC185" s="175">
        <v>5.78</v>
      </c>
      <c r="AD185" s="175">
        <v>0.90000000000000013</v>
      </c>
      <c r="AE185" s="175">
        <v>0</v>
      </c>
      <c r="AF185" s="175"/>
      <c r="AG185" s="175">
        <v>6.6800000000000006</v>
      </c>
      <c r="AH185" s="202">
        <v>0.1347305389221557</v>
      </c>
      <c r="AJ185" s="6" t="s">
        <v>22</v>
      </c>
      <c r="AK185" s="175">
        <v>4566.37</v>
      </c>
      <c r="AL185" s="175">
        <v>45596.399999999994</v>
      </c>
      <c r="AM185" s="382">
        <f t="shared" si="217"/>
        <v>0.10014759937188025</v>
      </c>
      <c r="AO185" s="116" t="s">
        <v>17</v>
      </c>
      <c r="AP185" s="343">
        <v>1858.9800000000002</v>
      </c>
      <c r="AQ185" s="343">
        <v>4930.58</v>
      </c>
      <c r="AR185" s="190">
        <f t="shared" si="215"/>
        <v>0.37703069415768536</v>
      </c>
    </row>
    <row r="186" spans="1:44" x14ac:dyDescent="0.35">
      <c r="A186" s="6" t="s">
        <v>39</v>
      </c>
      <c r="B186" s="12">
        <v>8262.7600000000075</v>
      </c>
      <c r="C186" s="12">
        <v>454.39000000000004</v>
      </c>
      <c r="D186" s="12">
        <v>20.99</v>
      </c>
      <c r="E186" s="12">
        <v>24.419999999999998</v>
      </c>
      <c r="F186" s="54">
        <v>18.48</v>
      </c>
      <c r="G186" s="12">
        <v>21.22</v>
      </c>
      <c r="H186" s="12">
        <v>38.43</v>
      </c>
      <c r="I186" s="12">
        <v>44.949999999999996</v>
      </c>
      <c r="J186" s="12">
        <v>30.93</v>
      </c>
      <c r="K186" s="54">
        <v>34.299999999999997</v>
      </c>
      <c r="L186" s="12">
        <v>12.130000000000003</v>
      </c>
      <c r="M186" s="54">
        <v>38.379999999999995</v>
      </c>
      <c r="N186" s="12">
        <v>17.07</v>
      </c>
      <c r="O186" s="12">
        <v>24.07</v>
      </c>
      <c r="P186" s="12">
        <v>46.85</v>
      </c>
      <c r="Q186" s="54">
        <v>40.089999999999996</v>
      </c>
      <c r="R186" s="12">
        <v>115.94000000000003</v>
      </c>
      <c r="S186" s="12">
        <v>102.11999999999999</v>
      </c>
      <c r="T186" s="12">
        <v>117.39999999999999</v>
      </c>
      <c r="U186" s="12">
        <v>96.490000000000023</v>
      </c>
      <c r="V186" s="54">
        <v>82.250000000000014</v>
      </c>
      <c r="W186" s="12">
        <v>72.420000000000016</v>
      </c>
      <c r="X186" s="12">
        <v>41.63</v>
      </c>
      <c r="Y186" s="12">
        <v>0.35</v>
      </c>
      <c r="Z186" s="12">
        <f t="shared" si="214"/>
        <v>9758.0600000000049</v>
      </c>
      <c r="AA186" s="150">
        <f t="shared" si="209"/>
        <v>2.4958119698846017E-2</v>
      </c>
      <c r="AC186" s="175">
        <v>9464.9200000000055</v>
      </c>
      <c r="AD186" s="175">
        <v>292.79000000000008</v>
      </c>
      <c r="AE186" s="175">
        <v>0.35</v>
      </c>
      <c r="AF186" s="175"/>
      <c r="AG186" s="175">
        <v>9758.0600000000068</v>
      </c>
      <c r="AH186" s="202">
        <v>3.000493950641827E-2</v>
      </c>
      <c r="AJ186" s="6" t="s">
        <v>42</v>
      </c>
      <c r="AK186" s="175">
        <v>3662.6199999999994</v>
      </c>
      <c r="AL186" s="89">
        <v>12118.2</v>
      </c>
      <c r="AM186" s="382">
        <f t="shared" si="217"/>
        <v>0.3022412569523526</v>
      </c>
      <c r="AO186" s="190" t="s">
        <v>314</v>
      </c>
      <c r="AP186" s="141">
        <f>SUM(AP180:AP185)</f>
        <v>52003.72</v>
      </c>
      <c r="AQ186" s="141">
        <f>SUM(AQ180:AQ185)</f>
        <v>362841.86990000005</v>
      </c>
      <c r="AR186" s="190">
        <f t="shared" si="215"/>
        <v>0.14332337118186589</v>
      </c>
    </row>
    <row r="187" spans="1:44" x14ac:dyDescent="0.35">
      <c r="A187" s="6" t="s">
        <v>40</v>
      </c>
      <c r="B187" s="12">
        <v>8377.7900000000172</v>
      </c>
      <c r="C187" s="12">
        <v>284.6599999999998</v>
      </c>
      <c r="D187" s="12">
        <v>27.25</v>
      </c>
      <c r="E187" s="12">
        <v>41.8</v>
      </c>
      <c r="F187" s="12">
        <v>15.100000000000001</v>
      </c>
      <c r="G187" s="12">
        <v>28.36</v>
      </c>
      <c r="H187" s="12">
        <v>60.28</v>
      </c>
      <c r="I187" s="12">
        <v>46.77</v>
      </c>
      <c r="J187" s="12">
        <v>22.269999999999996</v>
      </c>
      <c r="K187" s="12">
        <v>34.97</v>
      </c>
      <c r="L187" s="54">
        <v>21.249999999999996</v>
      </c>
      <c r="M187" s="12">
        <v>42.17</v>
      </c>
      <c r="N187" s="12">
        <v>34.93</v>
      </c>
      <c r="O187" s="12">
        <v>37.4</v>
      </c>
      <c r="P187" s="12">
        <v>38.659999999999997</v>
      </c>
      <c r="Q187" s="12">
        <v>66.890000000000015</v>
      </c>
      <c r="R187" s="12">
        <v>109.34000000000002</v>
      </c>
      <c r="S187" s="12">
        <v>112.94999999999999</v>
      </c>
      <c r="T187" s="12">
        <v>120.98</v>
      </c>
      <c r="U187" s="12">
        <v>150.98999999999995</v>
      </c>
      <c r="V187" s="12">
        <v>102.18999999999998</v>
      </c>
      <c r="W187" s="12">
        <v>137.57999999999998</v>
      </c>
      <c r="X187" s="12">
        <v>87.63</v>
      </c>
      <c r="Y187" s="12">
        <v>0.30000000000000004</v>
      </c>
      <c r="Z187" s="12">
        <f t="shared" si="214"/>
        <v>10002.510000000017</v>
      </c>
      <c r="AA187" s="150">
        <f t="shared" si="209"/>
        <v>2.5583347701172626E-2</v>
      </c>
      <c r="AC187" s="175">
        <v>9523.8200000000179</v>
      </c>
      <c r="AD187" s="175">
        <v>478.38999999999993</v>
      </c>
      <c r="AE187" s="175">
        <v>0.30000000000000004</v>
      </c>
      <c r="AF187" s="175">
        <v>0</v>
      </c>
      <c r="AG187" s="175">
        <v>10002.510000000017</v>
      </c>
      <c r="AH187" s="202">
        <v>4.782699542414845E-2</v>
      </c>
      <c r="AJ187" s="6" t="s">
        <v>45</v>
      </c>
      <c r="AK187" s="175">
        <v>3570.64</v>
      </c>
      <c r="AL187" s="175">
        <v>16281.44</v>
      </c>
      <c r="AM187" s="382">
        <f t="shared" si="217"/>
        <v>0.21930738313073045</v>
      </c>
      <c r="AO187" s="190"/>
    </row>
    <row r="188" spans="1:44" x14ac:dyDescent="0.35">
      <c r="A188" s="116" t="s">
        <v>15</v>
      </c>
      <c r="B188" s="117">
        <f>SUM(B189:B193)</f>
        <v>25138.469999999998</v>
      </c>
      <c r="C188" s="117">
        <f t="shared" ref="C188:Y188" si="218">SUM(C189:C193)</f>
        <v>2537.6499999999992</v>
      </c>
      <c r="D188" s="117">
        <f t="shared" si="218"/>
        <v>514.46</v>
      </c>
      <c r="E188" s="117">
        <f t="shared" si="218"/>
        <v>409.06000000000006</v>
      </c>
      <c r="F188" s="117">
        <f t="shared" si="218"/>
        <v>600.25999999999988</v>
      </c>
      <c r="G188" s="117">
        <f t="shared" si="218"/>
        <v>927.02999999999975</v>
      </c>
      <c r="H188" s="117">
        <f t="shared" si="218"/>
        <v>1384.85</v>
      </c>
      <c r="I188" s="117">
        <f t="shared" si="218"/>
        <v>1120.2800000000002</v>
      </c>
      <c r="J188" s="117">
        <f t="shared" si="218"/>
        <v>2380.1500000000005</v>
      </c>
      <c r="K188" s="117">
        <f t="shared" si="218"/>
        <v>1048.19</v>
      </c>
      <c r="L188" s="117">
        <f t="shared" si="218"/>
        <v>1512.71</v>
      </c>
      <c r="M188" s="117">
        <f t="shared" si="218"/>
        <v>1668.8200000000002</v>
      </c>
      <c r="N188" s="117">
        <f t="shared" si="218"/>
        <v>1082.0900000000001</v>
      </c>
      <c r="O188" s="117">
        <f t="shared" si="218"/>
        <v>1948.39</v>
      </c>
      <c r="P188" s="117">
        <f t="shared" si="218"/>
        <v>2031.69</v>
      </c>
      <c r="Q188" s="117">
        <f t="shared" si="218"/>
        <v>3599.74</v>
      </c>
      <c r="R188" s="117">
        <f t="shared" si="218"/>
        <v>9034.0199999999968</v>
      </c>
      <c r="S188" s="117">
        <f t="shared" si="218"/>
        <v>12437.460000000001</v>
      </c>
      <c r="T188" s="117">
        <f t="shared" si="218"/>
        <v>10179.409999999998</v>
      </c>
      <c r="U188" s="117">
        <f t="shared" si="218"/>
        <v>6334.8499999999985</v>
      </c>
      <c r="V188" s="117">
        <f t="shared" si="218"/>
        <v>6657.9500000000007</v>
      </c>
      <c r="W188" s="117">
        <f t="shared" si="218"/>
        <v>5994.15</v>
      </c>
      <c r="X188" s="117">
        <f t="shared" si="218"/>
        <v>4601.7</v>
      </c>
      <c r="Y188" s="117">
        <f t="shared" si="218"/>
        <v>77.469999999999985</v>
      </c>
      <c r="Z188" s="117">
        <f>SUM(B188:Y188)</f>
        <v>103220.84999999998</v>
      </c>
      <c r="AA188" s="151">
        <f t="shared" si="209"/>
        <v>0.26400722374289848</v>
      </c>
      <c r="AC188" s="177">
        <v>79554.73</v>
      </c>
      <c r="AD188" s="177">
        <v>23588.649999999998</v>
      </c>
      <c r="AE188" s="117">
        <v>77.469999999999985</v>
      </c>
      <c r="AF188" s="117">
        <v>140.77080000000001</v>
      </c>
      <c r="AG188" s="117">
        <v>103361.62079999999</v>
      </c>
      <c r="AH188" s="185">
        <v>0.22821478434092046</v>
      </c>
      <c r="AJ188" s="6" t="s">
        <v>8</v>
      </c>
      <c r="AK188" s="175">
        <v>3493.9999999999995</v>
      </c>
      <c r="AL188" s="175">
        <v>4805.42</v>
      </c>
      <c r="AM188" s="382">
        <f t="shared" si="217"/>
        <v>0.72709565449013813</v>
      </c>
    </row>
    <row r="189" spans="1:44" x14ac:dyDescent="0.35">
      <c r="A189" s="6" t="s">
        <v>41</v>
      </c>
      <c r="B189" s="12">
        <v>14904.549999999996</v>
      </c>
      <c r="C189" s="12">
        <v>1312.6399999999994</v>
      </c>
      <c r="D189" s="12">
        <v>313.01000000000005</v>
      </c>
      <c r="E189" s="12">
        <v>270.79000000000002</v>
      </c>
      <c r="F189" s="12">
        <v>365.69999999999993</v>
      </c>
      <c r="G189" s="12">
        <v>515.5999999999998</v>
      </c>
      <c r="H189" s="12">
        <v>764.49999999999977</v>
      </c>
      <c r="I189" s="12">
        <v>671.88000000000022</v>
      </c>
      <c r="J189" s="12">
        <v>1199.9000000000001</v>
      </c>
      <c r="K189" s="12">
        <v>543.58000000000004</v>
      </c>
      <c r="L189" s="12">
        <v>829.25999999999988</v>
      </c>
      <c r="M189" s="12">
        <v>844</v>
      </c>
      <c r="N189" s="12">
        <v>494.92000000000019</v>
      </c>
      <c r="O189" s="12">
        <v>1025.01</v>
      </c>
      <c r="P189" s="12">
        <v>1103.3599999999999</v>
      </c>
      <c r="Q189" s="12">
        <v>1820.9500000000003</v>
      </c>
      <c r="R189" s="12">
        <v>4788.4199999999973</v>
      </c>
      <c r="S189" s="12">
        <v>5759.25</v>
      </c>
      <c r="T189" s="12">
        <v>4651.3499999999985</v>
      </c>
      <c r="U189" s="12">
        <v>3006.1499999999987</v>
      </c>
      <c r="V189" s="12">
        <v>3352.5600000000004</v>
      </c>
      <c r="W189" s="12">
        <v>2260.8799999999997</v>
      </c>
      <c r="X189" s="12">
        <v>2250.9000000000005</v>
      </c>
      <c r="Y189" s="12">
        <v>29.399999999999991</v>
      </c>
      <c r="Z189" s="12">
        <f t="shared" si="214"/>
        <v>53078.55999999999</v>
      </c>
      <c r="AA189" s="150">
        <f t="shared" si="209"/>
        <v>0.13575865017456126</v>
      </c>
      <c r="AC189" s="175">
        <v>42178.669999999991</v>
      </c>
      <c r="AD189" s="175">
        <v>10870.489999999998</v>
      </c>
      <c r="AE189" s="175">
        <v>29.399999999999991</v>
      </c>
      <c r="AF189" s="175">
        <v>74.540000000000006</v>
      </c>
      <c r="AG189" s="175">
        <v>53153.099999999991</v>
      </c>
      <c r="AH189" s="202">
        <v>0.20451281298738924</v>
      </c>
      <c r="AJ189" s="6" t="s">
        <v>33</v>
      </c>
      <c r="AK189" s="137">
        <v>3289.3500000000004</v>
      </c>
      <c r="AL189" s="175">
        <v>29249.780000000013</v>
      </c>
      <c r="AM189" s="382">
        <f t="shared" si="217"/>
        <v>0.11245725608876371</v>
      </c>
    </row>
    <row r="190" spans="1:44" x14ac:dyDescent="0.35">
      <c r="A190" s="6" t="s">
        <v>42</v>
      </c>
      <c r="B190" s="12">
        <v>1367.5000000000002</v>
      </c>
      <c r="C190" s="12">
        <v>195.79</v>
      </c>
      <c r="D190" s="12">
        <v>6.21</v>
      </c>
      <c r="E190" s="12">
        <v>24.57</v>
      </c>
      <c r="F190" s="12">
        <v>40.159999999999997</v>
      </c>
      <c r="G190" s="12">
        <v>39.899999999999991</v>
      </c>
      <c r="H190" s="12">
        <v>116.19</v>
      </c>
      <c r="I190" s="12">
        <v>139.67999999999998</v>
      </c>
      <c r="J190" s="12">
        <v>689.72000000000014</v>
      </c>
      <c r="K190" s="12">
        <v>100.86</v>
      </c>
      <c r="L190" s="12">
        <v>88.39</v>
      </c>
      <c r="M190" s="12">
        <v>135.55000000000001</v>
      </c>
      <c r="N190" s="12">
        <v>100.49000000000001</v>
      </c>
      <c r="O190" s="12">
        <v>158.24</v>
      </c>
      <c r="P190" s="12">
        <v>156.51000000000002</v>
      </c>
      <c r="Q190" s="12">
        <v>293.15999999999997</v>
      </c>
      <c r="R190" s="12">
        <v>971.84</v>
      </c>
      <c r="S190" s="12">
        <v>2156.2600000000002</v>
      </c>
      <c r="T190" s="12">
        <v>1660.9900000000007</v>
      </c>
      <c r="U190" s="12">
        <v>1152.2399999999998</v>
      </c>
      <c r="V190" s="12">
        <v>795.79000000000019</v>
      </c>
      <c r="W190" s="12">
        <v>1105.1499999999996</v>
      </c>
      <c r="X190" s="12">
        <v>609.44000000000005</v>
      </c>
      <c r="Y190" s="54">
        <v>8.3999999999999986</v>
      </c>
      <c r="Z190" s="12">
        <f t="shared" si="214"/>
        <v>12113.030000000002</v>
      </c>
      <c r="AA190" s="150">
        <f t="shared" si="209"/>
        <v>3.0981409486692302E-2</v>
      </c>
      <c r="AC190" s="175">
        <v>8442.010000000002</v>
      </c>
      <c r="AD190" s="175">
        <v>3662.6199999999994</v>
      </c>
      <c r="AE190" s="175">
        <v>8.3999999999999986</v>
      </c>
      <c r="AF190" s="175">
        <v>5.17</v>
      </c>
      <c r="AG190" s="175">
        <v>12118.2</v>
      </c>
      <c r="AH190" s="202">
        <v>0.3022412569523526</v>
      </c>
      <c r="AJ190" s="6" t="s">
        <v>6</v>
      </c>
      <c r="AK190" s="175">
        <v>2738.8500000000004</v>
      </c>
      <c r="AL190" s="89">
        <v>35433.257300000012</v>
      </c>
      <c r="AM190" s="382">
        <f t="shared" si="217"/>
        <v>7.7296026634277273E-2</v>
      </c>
    </row>
    <row r="191" spans="1:44" x14ac:dyDescent="0.35">
      <c r="A191" s="6" t="s">
        <v>43</v>
      </c>
      <c r="B191" s="12">
        <v>6543.5500000000011</v>
      </c>
      <c r="C191" s="12">
        <v>563.03</v>
      </c>
      <c r="D191" s="12">
        <v>65.12</v>
      </c>
      <c r="E191" s="12">
        <v>38.790000000000006</v>
      </c>
      <c r="F191" s="12">
        <v>60.780000000000008</v>
      </c>
      <c r="G191" s="12">
        <v>99.270000000000039</v>
      </c>
      <c r="H191" s="12">
        <v>212.74000000000004</v>
      </c>
      <c r="I191" s="12">
        <v>84.710000000000008</v>
      </c>
      <c r="J191" s="12">
        <v>170.02</v>
      </c>
      <c r="K191" s="12">
        <v>188.28000000000006</v>
      </c>
      <c r="L191" s="12">
        <v>260.11000000000007</v>
      </c>
      <c r="M191" s="12">
        <v>347.90999999999997</v>
      </c>
      <c r="N191" s="12">
        <v>207.91999999999996</v>
      </c>
      <c r="O191" s="12">
        <v>262.8</v>
      </c>
      <c r="P191" s="12">
        <v>323.0800000000001</v>
      </c>
      <c r="Q191" s="12">
        <v>534.23999999999978</v>
      </c>
      <c r="R191" s="12">
        <v>1323.4099999999999</v>
      </c>
      <c r="S191" s="12">
        <v>2448.0200000000004</v>
      </c>
      <c r="T191" s="12">
        <v>2342.0500000000002</v>
      </c>
      <c r="U191" s="12">
        <v>1284.4700000000003</v>
      </c>
      <c r="V191" s="12">
        <v>1442.8100000000006</v>
      </c>
      <c r="W191" s="12">
        <v>1487.46</v>
      </c>
      <c r="X191" s="12">
        <v>1073.7899999999997</v>
      </c>
      <c r="Y191" s="12">
        <v>28.079999999999995</v>
      </c>
      <c r="Z191" s="12">
        <f t="shared" si="214"/>
        <v>21392.440000000006</v>
      </c>
      <c r="AA191" s="150">
        <f t="shared" si="209"/>
        <v>5.4715289531974735E-2</v>
      </c>
      <c r="AC191" s="175">
        <v>16075.830000000002</v>
      </c>
      <c r="AD191" s="175">
        <v>5288.5300000000007</v>
      </c>
      <c r="AE191" s="175">
        <v>28.079999999999995</v>
      </c>
      <c r="AF191" s="175">
        <v>36.190800000000003</v>
      </c>
      <c r="AG191" s="175">
        <v>21428.630800000003</v>
      </c>
      <c r="AH191" s="202">
        <v>0.24679738287338451</v>
      </c>
      <c r="AJ191" s="6" t="s">
        <v>30</v>
      </c>
      <c r="AK191" s="175">
        <v>1933.9699999999998</v>
      </c>
      <c r="AL191" s="175">
        <v>3656.0870000000004</v>
      </c>
      <c r="AM191" s="382">
        <f t="shared" si="217"/>
        <v>0.52897264206240158</v>
      </c>
    </row>
    <row r="192" spans="1:44" x14ac:dyDescent="0.35">
      <c r="A192" s="6" t="s">
        <v>44</v>
      </c>
      <c r="B192" s="12">
        <v>71.67</v>
      </c>
      <c r="C192" s="12">
        <v>7.5</v>
      </c>
      <c r="D192" s="12">
        <v>0.97</v>
      </c>
      <c r="E192" s="12">
        <v>0.11</v>
      </c>
      <c r="F192" s="12">
        <v>0.21</v>
      </c>
      <c r="G192" s="12">
        <v>1.84</v>
      </c>
      <c r="H192" s="12">
        <v>8.4400000000000013</v>
      </c>
      <c r="I192" s="12">
        <v>2.23</v>
      </c>
      <c r="J192" s="12">
        <v>0.62</v>
      </c>
      <c r="K192" s="12">
        <v>8.14</v>
      </c>
      <c r="L192" s="12">
        <v>4.74</v>
      </c>
      <c r="M192" s="12">
        <v>4.43</v>
      </c>
      <c r="N192" s="12">
        <v>0.45</v>
      </c>
      <c r="O192" s="12">
        <v>3.2500000000000004</v>
      </c>
      <c r="P192" s="12">
        <v>4.5599999999999996</v>
      </c>
      <c r="Q192" s="12">
        <v>5.2</v>
      </c>
      <c r="R192" s="12">
        <v>12.31</v>
      </c>
      <c r="S192" s="12">
        <v>7.2</v>
      </c>
      <c r="T192" s="12">
        <v>35.890000000000008</v>
      </c>
      <c r="U192" s="12">
        <v>31.970000000000006</v>
      </c>
      <c r="V192" s="12">
        <v>87</v>
      </c>
      <c r="W192" s="12">
        <v>57.22</v>
      </c>
      <c r="X192" s="12">
        <v>20.18</v>
      </c>
      <c r="Y192" s="54">
        <v>0.84000000000000008</v>
      </c>
      <c r="Z192" s="12">
        <f t="shared" si="214"/>
        <v>376.97</v>
      </c>
      <c r="AA192" s="150">
        <f t="shared" si="209"/>
        <v>9.6417345075496355E-4</v>
      </c>
      <c r="AC192" s="175">
        <v>179.76000000000002</v>
      </c>
      <c r="AD192" s="175">
        <v>196.37</v>
      </c>
      <c r="AE192" s="175">
        <v>0.84000000000000008</v>
      </c>
      <c r="AF192" s="175">
        <v>3.28</v>
      </c>
      <c r="AG192" s="175">
        <v>380.24999999999994</v>
      </c>
      <c r="AH192" s="202">
        <v>0.51642340565417499</v>
      </c>
      <c r="AJ192" s="5" t="s">
        <v>55</v>
      </c>
      <c r="AK192" s="175">
        <v>1762.4000000000003</v>
      </c>
      <c r="AL192" s="89">
        <v>4435.2000000000007</v>
      </c>
      <c r="AM192" s="382">
        <f t="shared" si="217"/>
        <v>0.39736652236652237</v>
      </c>
    </row>
    <row r="193" spans="1:39" x14ac:dyDescent="0.35">
      <c r="A193" s="6" t="s">
        <v>45</v>
      </c>
      <c r="B193" s="12">
        <v>2251.2000000000007</v>
      </c>
      <c r="C193" s="12">
        <v>458.69</v>
      </c>
      <c r="D193" s="12">
        <v>129.14999999999998</v>
      </c>
      <c r="E193" s="12">
        <v>74.799999999999983</v>
      </c>
      <c r="F193" s="12">
        <v>133.40999999999994</v>
      </c>
      <c r="G193" s="12">
        <v>270.4199999999999</v>
      </c>
      <c r="H193" s="12">
        <v>282.98</v>
      </c>
      <c r="I193" s="12">
        <v>221.77999999999997</v>
      </c>
      <c r="J193" s="12">
        <v>319.8900000000001</v>
      </c>
      <c r="K193" s="12">
        <v>207.33</v>
      </c>
      <c r="L193" s="12">
        <v>330.20999999999992</v>
      </c>
      <c r="M193" s="12">
        <v>336.93</v>
      </c>
      <c r="N193" s="12">
        <v>278.31000000000006</v>
      </c>
      <c r="O193" s="12">
        <v>499.09000000000015</v>
      </c>
      <c r="P193" s="12">
        <v>444.18000000000012</v>
      </c>
      <c r="Q193" s="12">
        <v>946.18999999999994</v>
      </c>
      <c r="R193" s="12">
        <v>1938.04</v>
      </c>
      <c r="S193" s="12">
        <v>2066.7299999999991</v>
      </c>
      <c r="T193" s="12">
        <v>1489.1299999999999</v>
      </c>
      <c r="U193" s="12">
        <v>860.01999999999975</v>
      </c>
      <c r="V193" s="12">
        <v>979.79</v>
      </c>
      <c r="W193" s="12">
        <v>1083.44</v>
      </c>
      <c r="X193" s="12">
        <v>647.39</v>
      </c>
      <c r="Y193" s="12">
        <v>10.75</v>
      </c>
      <c r="Z193" s="12">
        <f t="shared" si="214"/>
        <v>16259.85</v>
      </c>
      <c r="AA193" s="150">
        <f t="shared" si="209"/>
        <v>4.1587701098915276E-2</v>
      </c>
      <c r="AC193" s="175">
        <v>12678.460000000001</v>
      </c>
      <c r="AD193" s="175">
        <v>3570.64</v>
      </c>
      <c r="AE193" s="175">
        <v>10.75</v>
      </c>
      <c r="AF193" s="175">
        <v>21.59</v>
      </c>
      <c r="AG193" s="175">
        <v>16281.44</v>
      </c>
      <c r="AH193" s="202">
        <v>0.21930738313073045</v>
      </c>
      <c r="AJ193" s="5" t="s">
        <v>36</v>
      </c>
      <c r="AK193" s="175">
        <v>1195.6700000000003</v>
      </c>
      <c r="AL193" s="175">
        <v>19562.256500000003</v>
      </c>
      <c r="AM193" s="382">
        <f t="shared" si="217"/>
        <v>6.1121271975960449E-2</v>
      </c>
    </row>
    <row r="194" spans="1:39" x14ac:dyDescent="0.35">
      <c r="A194" s="116" t="s">
        <v>16</v>
      </c>
      <c r="B194" s="117">
        <f>SUM(B195:B203)</f>
        <v>696.18</v>
      </c>
      <c r="C194" s="117">
        <f t="shared" ref="C194:Y194" si="219">SUM(C195:C203)</f>
        <v>111.95</v>
      </c>
      <c r="D194" s="117">
        <f t="shared" si="219"/>
        <v>2.1100000000000003</v>
      </c>
      <c r="E194" s="117">
        <f t="shared" si="219"/>
        <v>2.4099999999999997</v>
      </c>
      <c r="F194" s="117">
        <f t="shared" si="219"/>
        <v>25.14</v>
      </c>
      <c r="G194" s="117">
        <f t="shared" si="219"/>
        <v>10.15</v>
      </c>
      <c r="H194" s="117">
        <f t="shared" si="219"/>
        <v>23.34</v>
      </c>
      <c r="I194" s="117">
        <f t="shared" si="219"/>
        <v>5.3900000000000006</v>
      </c>
      <c r="J194" s="117">
        <f t="shared" si="219"/>
        <v>3.46</v>
      </c>
      <c r="K194" s="117">
        <f t="shared" si="219"/>
        <v>4.1100000000000003</v>
      </c>
      <c r="L194" s="117">
        <f t="shared" si="219"/>
        <v>11.59</v>
      </c>
      <c r="M194" s="117">
        <f t="shared" si="219"/>
        <v>21.96</v>
      </c>
      <c r="N194" s="117">
        <f t="shared" si="219"/>
        <v>15.98</v>
      </c>
      <c r="O194" s="117">
        <f t="shared" si="219"/>
        <v>14.029999999999998</v>
      </c>
      <c r="P194" s="117">
        <f t="shared" si="219"/>
        <v>17.660000000000004</v>
      </c>
      <c r="Q194" s="117">
        <f t="shared" si="219"/>
        <v>22.370000000000005</v>
      </c>
      <c r="R194" s="117">
        <f t="shared" si="219"/>
        <v>126.53</v>
      </c>
      <c r="S194" s="117">
        <f t="shared" si="219"/>
        <v>112.72</v>
      </c>
      <c r="T194" s="117">
        <f t="shared" si="219"/>
        <v>185.86</v>
      </c>
      <c r="U194" s="117">
        <f t="shared" si="219"/>
        <v>206.2</v>
      </c>
      <c r="V194" s="117">
        <f t="shared" si="219"/>
        <v>191.69</v>
      </c>
      <c r="W194" s="117">
        <f t="shared" si="219"/>
        <v>221.82999999999998</v>
      </c>
      <c r="X194" s="117">
        <f t="shared" si="219"/>
        <v>134.81000000000003</v>
      </c>
      <c r="Y194" s="117">
        <f t="shared" si="219"/>
        <v>5.99</v>
      </c>
      <c r="Z194" s="117">
        <f>SUM(B194:Y194)</f>
        <v>2173.46</v>
      </c>
      <c r="AA194" s="151">
        <f t="shared" si="209"/>
        <v>5.5590429696736688E-3</v>
      </c>
      <c r="AC194" s="177">
        <v>1412.9399999999998</v>
      </c>
      <c r="AD194" s="177">
        <v>754.53000000000009</v>
      </c>
      <c r="AE194" s="117">
        <v>5.99</v>
      </c>
      <c r="AF194" s="117"/>
      <c r="AG194" s="117">
        <v>2173.4599999999996</v>
      </c>
      <c r="AH194" s="185">
        <v>0.347156147341106</v>
      </c>
      <c r="AJ194" s="5" t="s">
        <v>31</v>
      </c>
      <c r="AK194" s="175">
        <v>1036.7199999999998</v>
      </c>
      <c r="AL194" s="175">
        <v>8452.74</v>
      </c>
      <c r="AM194" s="382">
        <f t="shared" si="217"/>
        <v>0.12264898719231869</v>
      </c>
    </row>
    <row r="195" spans="1:39" x14ac:dyDescent="0.35">
      <c r="A195" s="6" t="s">
        <v>46</v>
      </c>
      <c r="B195" s="12">
        <v>7.6899999999999995</v>
      </c>
      <c r="C195" s="12">
        <v>0</v>
      </c>
      <c r="D195" s="12">
        <v>0</v>
      </c>
      <c r="E195" s="12">
        <v>0</v>
      </c>
      <c r="F195" s="12">
        <v>0</v>
      </c>
      <c r="G195" s="12">
        <v>0</v>
      </c>
      <c r="H195" s="12">
        <v>0</v>
      </c>
      <c r="I195" s="12">
        <v>0</v>
      </c>
      <c r="J195" s="12">
        <v>0</v>
      </c>
      <c r="K195" s="12">
        <v>0.08</v>
      </c>
      <c r="L195" s="12">
        <v>0</v>
      </c>
      <c r="M195" s="12">
        <v>0</v>
      </c>
      <c r="N195" s="12">
        <v>0</v>
      </c>
      <c r="O195" s="12">
        <v>0</v>
      </c>
      <c r="P195" s="12">
        <v>0</v>
      </c>
      <c r="Q195" s="12">
        <v>0</v>
      </c>
      <c r="R195" s="12">
        <v>2.5099999999999998</v>
      </c>
      <c r="S195" s="12">
        <v>6.85</v>
      </c>
      <c r="T195" s="12">
        <v>1.8199999999999998</v>
      </c>
      <c r="U195" s="12">
        <v>3.5500000000000003</v>
      </c>
      <c r="V195" s="12">
        <v>9.2900000000000009</v>
      </c>
      <c r="W195" s="12">
        <v>5.91</v>
      </c>
      <c r="X195" s="12">
        <v>0</v>
      </c>
      <c r="Y195" s="12">
        <v>0</v>
      </c>
      <c r="Z195" s="12">
        <f t="shared" si="214"/>
        <v>37.700000000000003</v>
      </c>
      <c r="AA195" s="150">
        <f t="shared" si="209"/>
        <v>9.6425018153864031E-5</v>
      </c>
      <c r="AC195" s="175">
        <v>18.95</v>
      </c>
      <c r="AD195" s="175">
        <v>18.75</v>
      </c>
      <c r="AE195" s="175">
        <v>0</v>
      </c>
      <c r="AF195" s="175"/>
      <c r="AG195" s="175">
        <v>37.700000000000003</v>
      </c>
      <c r="AH195" s="202">
        <v>0.49734748010610075</v>
      </c>
      <c r="AJ195" s="5" t="s">
        <v>61</v>
      </c>
      <c r="AK195" s="175">
        <v>674.47</v>
      </c>
      <c r="AL195" s="89">
        <v>17482.647599999975</v>
      </c>
      <c r="AM195" s="382">
        <f t="shared" si="217"/>
        <v>3.8579396864351426E-2</v>
      </c>
    </row>
    <row r="196" spans="1:39" x14ac:dyDescent="0.35">
      <c r="A196" s="6" t="s">
        <v>47</v>
      </c>
      <c r="B196" s="12">
        <v>33.71</v>
      </c>
      <c r="C196" s="12">
        <v>3.0699999999999994</v>
      </c>
      <c r="D196" s="12">
        <v>0.47000000000000003</v>
      </c>
      <c r="E196" s="12">
        <v>1.8199999999999998</v>
      </c>
      <c r="F196" s="12">
        <v>0.26</v>
      </c>
      <c r="G196" s="12">
        <v>0.81999999999999984</v>
      </c>
      <c r="H196" s="12">
        <v>0.75</v>
      </c>
      <c r="I196" s="12">
        <v>0.37</v>
      </c>
      <c r="J196" s="12">
        <v>0</v>
      </c>
      <c r="K196" s="12">
        <v>0.24</v>
      </c>
      <c r="L196" s="12">
        <v>0.92999999999999994</v>
      </c>
      <c r="M196" s="12">
        <v>3.1599999999999997</v>
      </c>
      <c r="N196" s="12">
        <v>0.67999999999999994</v>
      </c>
      <c r="O196" s="12">
        <v>2.33</v>
      </c>
      <c r="P196" s="12">
        <v>0.15000000000000002</v>
      </c>
      <c r="Q196" s="12">
        <v>0.21000000000000002</v>
      </c>
      <c r="R196" s="12">
        <v>1.31</v>
      </c>
      <c r="S196" s="12">
        <v>3.66</v>
      </c>
      <c r="T196" s="12">
        <v>26.570000000000004</v>
      </c>
      <c r="U196" s="12">
        <v>9.5699999999999985</v>
      </c>
      <c r="V196" s="12">
        <v>9.1999999999999993</v>
      </c>
      <c r="W196" s="12">
        <v>0.89000000000000012</v>
      </c>
      <c r="X196" s="12">
        <v>2.2699999999999996</v>
      </c>
      <c r="Y196" s="12">
        <v>0.46</v>
      </c>
      <c r="Z196" s="12">
        <f t="shared" si="214"/>
        <v>102.89999999999999</v>
      </c>
      <c r="AA196" s="150">
        <f t="shared" si="209"/>
        <v>2.6318658801147501E-4</v>
      </c>
      <c r="AC196" s="175">
        <v>80.510000000000005</v>
      </c>
      <c r="AD196" s="175">
        <v>21.929999999999996</v>
      </c>
      <c r="AE196" s="175">
        <v>0.46</v>
      </c>
      <c r="AF196" s="175"/>
      <c r="AG196" s="175">
        <v>102.89999999999999</v>
      </c>
      <c r="AH196" s="202">
        <v>0.21311953352769678</v>
      </c>
      <c r="AJ196" s="5" t="s">
        <v>32</v>
      </c>
      <c r="AK196" s="175">
        <v>667.21</v>
      </c>
      <c r="AL196" s="175">
        <v>14652.950000000012</v>
      </c>
      <c r="AM196" s="382">
        <f t="shared" si="217"/>
        <v>4.553417571205795E-2</v>
      </c>
    </row>
    <row r="197" spans="1:39" x14ac:dyDescent="0.35">
      <c r="A197" s="6" t="s">
        <v>48</v>
      </c>
      <c r="B197" s="12">
        <v>1.21</v>
      </c>
      <c r="C197" s="12">
        <v>0.2</v>
      </c>
      <c r="D197" s="12">
        <v>0</v>
      </c>
      <c r="E197" s="12">
        <v>0</v>
      </c>
      <c r="F197" s="12">
        <v>0</v>
      </c>
      <c r="G197" s="12">
        <v>0</v>
      </c>
      <c r="H197" s="12">
        <v>0</v>
      </c>
      <c r="I197" s="12">
        <v>0</v>
      </c>
      <c r="J197" s="12">
        <v>0</v>
      </c>
      <c r="K197" s="12">
        <v>0.11</v>
      </c>
      <c r="L197" s="12">
        <v>0.6</v>
      </c>
      <c r="M197" s="12">
        <v>0.7</v>
      </c>
      <c r="N197" s="12">
        <v>1.88</v>
      </c>
      <c r="O197" s="12">
        <v>7.0000000000000007E-2</v>
      </c>
      <c r="P197" s="12">
        <v>2.2200000000000002</v>
      </c>
      <c r="Q197" s="12">
        <v>2.0699999999999998</v>
      </c>
      <c r="R197" s="12">
        <v>23.35</v>
      </c>
      <c r="S197" s="12">
        <v>0</v>
      </c>
      <c r="T197" s="12">
        <v>1.93</v>
      </c>
      <c r="U197" s="12">
        <v>43.65</v>
      </c>
      <c r="V197" s="12">
        <v>4.2600000000000007</v>
      </c>
      <c r="W197" s="12">
        <v>3.3899999999999997</v>
      </c>
      <c r="X197" s="12">
        <v>2.19</v>
      </c>
      <c r="Y197" s="12">
        <v>0</v>
      </c>
      <c r="Z197" s="12">
        <f t="shared" si="214"/>
        <v>87.830000000000013</v>
      </c>
      <c r="AA197" s="150">
        <f t="shared" si="209"/>
        <v>2.2464215767782172E-4</v>
      </c>
      <c r="AC197" s="175">
        <v>34.340000000000003</v>
      </c>
      <c r="AD197" s="175">
        <v>53.489999999999995</v>
      </c>
      <c r="AE197" s="175">
        <v>0</v>
      </c>
      <c r="AF197" s="175"/>
      <c r="AG197" s="175">
        <v>87.83</v>
      </c>
      <c r="AH197" s="202">
        <v>0.60901742001593984</v>
      </c>
      <c r="AJ197" s="5" t="s">
        <v>20</v>
      </c>
      <c r="AK197" s="175">
        <v>649.43000000000006</v>
      </c>
      <c r="AL197" s="175">
        <v>5223.5199999999986</v>
      </c>
      <c r="AM197" s="382">
        <f t="shared" si="217"/>
        <v>0.12432803932980063</v>
      </c>
    </row>
    <row r="198" spans="1:39" x14ac:dyDescent="0.35">
      <c r="A198" s="6" t="s">
        <v>49</v>
      </c>
      <c r="B198" s="12">
        <v>1.55</v>
      </c>
      <c r="C198" s="12">
        <v>0.32</v>
      </c>
      <c r="D198" s="12">
        <v>0</v>
      </c>
      <c r="E198" s="12">
        <v>0</v>
      </c>
      <c r="F198" s="12">
        <v>0.16</v>
      </c>
      <c r="G198" s="12">
        <v>0</v>
      </c>
      <c r="H198" s="12">
        <v>1.02</v>
      </c>
      <c r="I198" s="12">
        <v>0</v>
      </c>
      <c r="J198" s="12">
        <v>0</v>
      </c>
      <c r="K198" s="12">
        <v>0</v>
      </c>
      <c r="L198" s="12">
        <v>0.87</v>
      </c>
      <c r="M198" s="12">
        <v>0</v>
      </c>
      <c r="N198" s="12">
        <v>0</v>
      </c>
      <c r="O198" s="12">
        <v>7.0000000000000007E-2</v>
      </c>
      <c r="P198" s="12">
        <v>0</v>
      </c>
      <c r="Q198" s="12">
        <v>3.89</v>
      </c>
      <c r="R198" s="12">
        <v>0</v>
      </c>
      <c r="S198" s="12">
        <v>3.05</v>
      </c>
      <c r="T198" s="12">
        <v>0.85</v>
      </c>
      <c r="U198" s="12">
        <v>4.4000000000000004</v>
      </c>
      <c r="V198" s="12">
        <v>2.5099999999999998</v>
      </c>
      <c r="W198" s="12">
        <v>5.5600000000000005</v>
      </c>
      <c r="X198" s="12">
        <v>2.5100000000000002</v>
      </c>
      <c r="Y198" s="12">
        <v>0.41</v>
      </c>
      <c r="Z198" s="12">
        <f t="shared" si="214"/>
        <v>27.17</v>
      </c>
      <c r="AA198" s="150">
        <f t="shared" ref="AA198:AA218" si="220">Z198/$Z$219</f>
        <v>6.9492513083302005E-5</v>
      </c>
      <c r="AC198" s="175">
        <v>11.78</v>
      </c>
      <c r="AD198" s="175">
        <v>14.98</v>
      </c>
      <c r="AE198" s="175">
        <v>0.41</v>
      </c>
      <c r="AF198" s="175"/>
      <c r="AG198" s="175">
        <v>27.169999999999998</v>
      </c>
      <c r="AH198" s="202">
        <v>0.55134339344865668</v>
      </c>
      <c r="AJ198" s="5" t="s">
        <v>7</v>
      </c>
      <c r="AK198" s="175">
        <v>629.65000000000009</v>
      </c>
      <c r="AL198" s="175">
        <v>1018.6275000000002</v>
      </c>
      <c r="AM198" s="382">
        <f t="shared" si="217"/>
        <v>0.6181356776643081</v>
      </c>
    </row>
    <row r="199" spans="1:39" x14ac:dyDescent="0.35">
      <c r="A199" s="6" t="s">
        <v>50</v>
      </c>
      <c r="B199" s="12">
        <v>366.27999999999992</v>
      </c>
      <c r="C199" s="12">
        <v>26.17</v>
      </c>
      <c r="D199" s="12">
        <v>0.6</v>
      </c>
      <c r="E199" s="12">
        <v>0</v>
      </c>
      <c r="F199" s="12">
        <v>6.83</v>
      </c>
      <c r="G199" s="12">
        <v>0</v>
      </c>
      <c r="H199" s="12">
        <v>0</v>
      </c>
      <c r="I199" s="12">
        <v>0.53</v>
      </c>
      <c r="J199" s="12">
        <v>1.97</v>
      </c>
      <c r="K199" s="12">
        <v>0</v>
      </c>
      <c r="L199" s="12">
        <v>3.74</v>
      </c>
      <c r="M199" s="12">
        <v>2.1</v>
      </c>
      <c r="N199" s="12">
        <v>0.91</v>
      </c>
      <c r="O199" s="12">
        <v>0</v>
      </c>
      <c r="P199" s="12">
        <v>12.02</v>
      </c>
      <c r="Q199" s="12">
        <v>4.6100000000000003</v>
      </c>
      <c r="R199" s="12">
        <v>2.77</v>
      </c>
      <c r="S199" s="12">
        <v>6.5299999999999994</v>
      </c>
      <c r="T199" s="12">
        <v>10.050000000000001</v>
      </c>
      <c r="U199" s="12">
        <v>21.310000000000002</v>
      </c>
      <c r="V199" s="12">
        <v>27.659999999999997</v>
      </c>
      <c r="W199" s="12">
        <v>12.940000000000001</v>
      </c>
      <c r="X199" s="12">
        <v>1.4300000000000002</v>
      </c>
      <c r="Y199" s="12">
        <v>2.17</v>
      </c>
      <c r="Z199" s="12">
        <f t="shared" si="214"/>
        <v>510.61999999999995</v>
      </c>
      <c r="AA199" s="150">
        <f t="shared" si="220"/>
        <v>1.3060090920351737E-3</v>
      </c>
      <c r="AC199" s="175">
        <v>445.10999999999996</v>
      </c>
      <c r="AD199" s="175">
        <v>63.339999999999996</v>
      </c>
      <c r="AE199" s="175">
        <v>2.17</v>
      </c>
      <c r="AF199" s="175"/>
      <c r="AG199" s="175">
        <v>510.61999999999995</v>
      </c>
      <c r="AH199" s="202">
        <v>0.12404527828913869</v>
      </c>
      <c r="AJ199" s="5" t="s">
        <v>28</v>
      </c>
      <c r="AK199" s="175">
        <v>546.06999999999994</v>
      </c>
      <c r="AL199" s="175">
        <v>2846.9620000000004</v>
      </c>
      <c r="AM199" s="382">
        <f t="shared" si="217"/>
        <v>0.19180796933713898</v>
      </c>
    </row>
    <row r="200" spans="1:39" x14ac:dyDescent="0.35">
      <c r="A200" s="6" t="s">
        <v>51</v>
      </c>
      <c r="B200" s="12">
        <v>0.54</v>
      </c>
      <c r="C200" s="12">
        <v>0.1</v>
      </c>
      <c r="D200" s="12">
        <v>0</v>
      </c>
      <c r="E200" s="12">
        <v>0</v>
      </c>
      <c r="F200" s="12">
        <v>0</v>
      </c>
      <c r="G200" s="12">
        <v>0</v>
      </c>
      <c r="H200" s="12">
        <v>0</v>
      </c>
      <c r="I200" s="12">
        <v>0</v>
      </c>
      <c r="J200" s="12">
        <v>0.14000000000000001</v>
      </c>
      <c r="K200" s="12">
        <v>0</v>
      </c>
      <c r="L200" s="12">
        <v>0</v>
      </c>
      <c r="M200" s="12">
        <v>0</v>
      </c>
      <c r="N200" s="12">
        <v>0.14000000000000001</v>
      </c>
      <c r="O200" s="12">
        <v>0.11</v>
      </c>
      <c r="P200" s="12">
        <v>0</v>
      </c>
      <c r="Q200" s="12">
        <v>0</v>
      </c>
      <c r="R200" s="12">
        <v>0</v>
      </c>
      <c r="S200" s="12">
        <v>0</v>
      </c>
      <c r="T200" s="12">
        <v>0.1</v>
      </c>
      <c r="U200" s="12">
        <v>1.6</v>
      </c>
      <c r="V200" s="12">
        <v>0.09</v>
      </c>
      <c r="W200" s="12">
        <v>3.5300000000000002</v>
      </c>
      <c r="X200" s="12">
        <v>1.53</v>
      </c>
      <c r="Y200" s="12">
        <v>0</v>
      </c>
      <c r="Z200" s="12">
        <f t="shared" si="214"/>
        <v>7.8800000000000008</v>
      </c>
      <c r="AA200" s="150">
        <f t="shared" si="220"/>
        <v>2.0154619179110043E-5</v>
      </c>
      <c r="AC200" s="175">
        <v>1.1300000000000001</v>
      </c>
      <c r="AD200" s="175">
        <v>6.7500000000000009</v>
      </c>
      <c r="AE200" s="175">
        <v>0</v>
      </c>
      <c r="AF200" s="175"/>
      <c r="AG200" s="175">
        <v>7.8800000000000008</v>
      </c>
      <c r="AH200" s="202">
        <v>0.85659898477157359</v>
      </c>
      <c r="AJ200" s="5" t="s">
        <v>40</v>
      </c>
      <c r="AK200" s="175">
        <v>478.38999999999993</v>
      </c>
      <c r="AL200" s="89">
        <v>10002.510000000017</v>
      </c>
      <c r="AM200" s="382">
        <f t="shared" si="217"/>
        <v>4.782699542414845E-2</v>
      </c>
    </row>
    <row r="201" spans="1:39" x14ac:dyDescent="0.35">
      <c r="A201" s="6" t="s">
        <v>52</v>
      </c>
      <c r="B201" s="12">
        <v>254.37</v>
      </c>
      <c r="C201" s="12">
        <v>72.179999999999993</v>
      </c>
      <c r="D201" s="12">
        <v>1.04</v>
      </c>
      <c r="E201" s="12">
        <v>0.18</v>
      </c>
      <c r="F201" s="12">
        <v>13.35</v>
      </c>
      <c r="G201" s="12">
        <v>9.33</v>
      </c>
      <c r="H201" s="12">
        <v>18.84</v>
      </c>
      <c r="I201" s="12">
        <v>4.12</v>
      </c>
      <c r="J201" s="12">
        <v>0</v>
      </c>
      <c r="K201" s="12">
        <v>2.2800000000000002</v>
      </c>
      <c r="L201" s="12">
        <v>1.74</v>
      </c>
      <c r="M201" s="12">
        <v>0</v>
      </c>
      <c r="N201" s="12">
        <v>0</v>
      </c>
      <c r="O201" s="12">
        <v>5.379999999999999</v>
      </c>
      <c r="P201" s="12">
        <v>0</v>
      </c>
      <c r="Q201" s="12">
        <v>0.3</v>
      </c>
      <c r="R201" s="12">
        <v>1.74</v>
      </c>
      <c r="S201" s="12">
        <v>0</v>
      </c>
      <c r="T201" s="12">
        <v>1.6999999999999997</v>
      </c>
      <c r="U201" s="12">
        <v>10.569999999999999</v>
      </c>
      <c r="V201" s="12">
        <v>1.56</v>
      </c>
      <c r="W201" s="12">
        <v>0</v>
      </c>
      <c r="X201" s="12">
        <v>4.38</v>
      </c>
      <c r="Y201" s="12">
        <v>2.5300000000000002</v>
      </c>
      <c r="Z201" s="12">
        <f t="shared" si="214"/>
        <v>405.59</v>
      </c>
      <c r="AA201" s="150">
        <f t="shared" si="220"/>
        <v>1.0373746183826448E-3</v>
      </c>
      <c r="AC201" s="175">
        <v>386.55</v>
      </c>
      <c r="AD201" s="175">
        <v>16.509999999999998</v>
      </c>
      <c r="AE201" s="175">
        <v>2.5300000000000002</v>
      </c>
      <c r="AF201" s="175"/>
      <c r="AG201" s="175">
        <v>405.59</v>
      </c>
      <c r="AH201" s="202">
        <v>4.070613180798343E-2</v>
      </c>
      <c r="AJ201" s="5" t="s">
        <v>29</v>
      </c>
      <c r="AK201" s="175">
        <v>436.78</v>
      </c>
      <c r="AL201" s="175">
        <v>6119.4491999999964</v>
      </c>
      <c r="AM201" s="382">
        <f t="shared" si="217"/>
        <v>7.1375704859188996E-2</v>
      </c>
    </row>
    <row r="202" spans="1:39" x14ac:dyDescent="0.35">
      <c r="A202" s="6" t="s">
        <v>53</v>
      </c>
      <c r="B202" s="12">
        <v>12</v>
      </c>
      <c r="C202" s="12">
        <v>9.370000000000001</v>
      </c>
      <c r="D202" s="12">
        <v>0</v>
      </c>
      <c r="E202" s="12">
        <v>0.41000000000000003</v>
      </c>
      <c r="F202" s="12">
        <v>0.08</v>
      </c>
      <c r="G202" s="12">
        <v>0</v>
      </c>
      <c r="H202" s="12">
        <v>0</v>
      </c>
      <c r="I202" s="12">
        <v>0</v>
      </c>
      <c r="J202" s="12">
        <v>0.17</v>
      </c>
      <c r="K202" s="12">
        <v>1.27</v>
      </c>
      <c r="L202" s="12">
        <v>0.86</v>
      </c>
      <c r="M202" s="12">
        <v>2.89</v>
      </c>
      <c r="N202" s="12">
        <v>12.370000000000001</v>
      </c>
      <c r="O202" s="12">
        <v>1.23</v>
      </c>
      <c r="P202" s="12">
        <v>3.17</v>
      </c>
      <c r="Q202" s="12">
        <v>5.59</v>
      </c>
      <c r="R202" s="12">
        <v>35.28</v>
      </c>
      <c r="S202" s="12">
        <v>8.01</v>
      </c>
      <c r="T202" s="12">
        <v>33.869999999999997</v>
      </c>
      <c r="U202" s="12">
        <v>51.440000000000005</v>
      </c>
      <c r="V202" s="12">
        <v>63.13</v>
      </c>
      <c r="W202" s="12">
        <v>146.48999999999998</v>
      </c>
      <c r="X202" s="12">
        <v>101.07000000000002</v>
      </c>
      <c r="Y202" s="12">
        <v>0</v>
      </c>
      <c r="Z202" s="12">
        <f t="shared" si="214"/>
        <v>488.70000000000005</v>
      </c>
      <c r="AA202" s="150">
        <f t="shared" si="220"/>
        <v>1.2499444660953145E-3</v>
      </c>
      <c r="AC202" s="175">
        <v>126.57</v>
      </c>
      <c r="AD202" s="175">
        <v>362.13</v>
      </c>
      <c r="AE202" s="175">
        <v>0</v>
      </c>
      <c r="AF202" s="175"/>
      <c r="AG202" s="175">
        <v>488.7</v>
      </c>
      <c r="AH202" s="202">
        <v>0.74100675260896254</v>
      </c>
      <c r="AJ202" s="5" t="s">
        <v>53</v>
      </c>
      <c r="AK202" s="175">
        <v>362.13</v>
      </c>
      <c r="AL202" s="175">
        <v>488.7</v>
      </c>
      <c r="AM202" s="382">
        <f t="shared" si="217"/>
        <v>0.74100675260896254</v>
      </c>
    </row>
    <row r="203" spans="1:39" x14ac:dyDescent="0.35">
      <c r="A203" s="6" t="s">
        <v>54</v>
      </c>
      <c r="B203" s="12">
        <v>18.830000000000002</v>
      </c>
      <c r="C203" s="12">
        <v>0.54</v>
      </c>
      <c r="D203" s="12">
        <v>0</v>
      </c>
      <c r="E203" s="12">
        <v>0</v>
      </c>
      <c r="F203" s="12">
        <v>4.4600000000000009</v>
      </c>
      <c r="G203" s="12">
        <v>0</v>
      </c>
      <c r="H203" s="12">
        <v>2.73</v>
      </c>
      <c r="I203" s="12">
        <v>0.37</v>
      </c>
      <c r="J203" s="12">
        <v>1.18</v>
      </c>
      <c r="K203" s="12">
        <v>0.13</v>
      </c>
      <c r="L203" s="12">
        <v>2.85</v>
      </c>
      <c r="M203" s="12">
        <v>13.11</v>
      </c>
      <c r="N203" s="12">
        <v>0</v>
      </c>
      <c r="O203" s="12">
        <v>4.839999999999999</v>
      </c>
      <c r="P203" s="12">
        <v>0.1</v>
      </c>
      <c r="Q203" s="12">
        <v>5.7000000000000011</v>
      </c>
      <c r="R203" s="12">
        <v>59.569999999999993</v>
      </c>
      <c r="S203" s="12">
        <v>84.62</v>
      </c>
      <c r="T203" s="12">
        <v>108.97</v>
      </c>
      <c r="U203" s="12">
        <v>60.110000000000007</v>
      </c>
      <c r="V203" s="12">
        <v>73.989999999999995</v>
      </c>
      <c r="W203" s="12">
        <v>43.12</v>
      </c>
      <c r="X203" s="12">
        <v>19.43</v>
      </c>
      <c r="Y203" s="12">
        <v>0.42</v>
      </c>
      <c r="Z203" s="12">
        <f t="shared" si="214"/>
        <v>505.07000000000005</v>
      </c>
      <c r="AA203" s="150">
        <f t="shared" si="220"/>
        <v>1.291813897054963E-3</v>
      </c>
      <c r="AC203" s="175">
        <v>308</v>
      </c>
      <c r="AD203" s="175">
        <v>196.65</v>
      </c>
      <c r="AE203" s="175">
        <v>0.42</v>
      </c>
      <c r="AF203" s="175"/>
      <c r="AG203" s="175">
        <v>505.07</v>
      </c>
      <c r="AH203" s="202">
        <v>0.38935197101391888</v>
      </c>
      <c r="AJ203" s="5" t="s">
        <v>34</v>
      </c>
      <c r="AK203" s="175">
        <v>312.65000000000003</v>
      </c>
      <c r="AL203" s="175">
        <v>8644.1736000000019</v>
      </c>
      <c r="AM203" s="382">
        <f t="shared" si="217"/>
        <v>3.6168871018508929E-2</v>
      </c>
    </row>
    <row r="204" spans="1:39" x14ac:dyDescent="0.35">
      <c r="A204" s="116" t="s">
        <v>18</v>
      </c>
      <c r="B204" s="117">
        <f>SUM(B205)</f>
        <v>1233.97</v>
      </c>
      <c r="C204" s="117">
        <f t="shared" ref="C204:Y204" si="221">SUM(C205)</f>
        <v>114.53000000000003</v>
      </c>
      <c r="D204" s="117">
        <f t="shared" si="221"/>
        <v>9.58</v>
      </c>
      <c r="E204" s="117">
        <f t="shared" si="221"/>
        <v>14.169999999999998</v>
      </c>
      <c r="F204" s="117">
        <f t="shared" si="221"/>
        <v>19.350000000000001</v>
      </c>
      <c r="G204" s="117">
        <f t="shared" si="221"/>
        <v>19.829999999999995</v>
      </c>
      <c r="H204" s="117">
        <f t="shared" si="221"/>
        <v>6.5600000000000005</v>
      </c>
      <c r="I204" s="117">
        <f t="shared" si="221"/>
        <v>0.96</v>
      </c>
      <c r="J204" s="117">
        <f t="shared" si="221"/>
        <v>3.42</v>
      </c>
      <c r="K204" s="117">
        <f t="shared" si="221"/>
        <v>1.28</v>
      </c>
      <c r="L204" s="117">
        <f t="shared" si="221"/>
        <v>13.32</v>
      </c>
      <c r="M204" s="117">
        <f t="shared" si="221"/>
        <v>10.66</v>
      </c>
      <c r="N204" s="117">
        <f t="shared" si="221"/>
        <v>3.8400000000000003</v>
      </c>
      <c r="O204" s="117">
        <f t="shared" si="221"/>
        <v>7.92</v>
      </c>
      <c r="P204" s="117">
        <f t="shared" si="221"/>
        <v>0.8</v>
      </c>
      <c r="Q204" s="117">
        <f t="shared" si="221"/>
        <v>6.62</v>
      </c>
      <c r="R204" s="117">
        <f t="shared" si="221"/>
        <v>11.26</v>
      </c>
      <c r="S204" s="117">
        <f t="shared" si="221"/>
        <v>47.6</v>
      </c>
      <c r="T204" s="117">
        <f t="shared" si="221"/>
        <v>41.069999999999993</v>
      </c>
      <c r="U204" s="117">
        <f t="shared" si="221"/>
        <v>42.81</v>
      </c>
      <c r="V204" s="117">
        <f t="shared" si="221"/>
        <v>39.17</v>
      </c>
      <c r="W204" s="117">
        <f t="shared" si="221"/>
        <v>35.940000000000005</v>
      </c>
      <c r="X204" s="117">
        <f t="shared" si="221"/>
        <v>11.229999999999999</v>
      </c>
      <c r="Y204" s="117">
        <f t="shared" si="221"/>
        <v>5.26</v>
      </c>
      <c r="Z204" s="117">
        <f>SUM(B204:Y204)</f>
        <v>1701.1499999999996</v>
      </c>
      <c r="AA204" s="151">
        <f t="shared" si="220"/>
        <v>4.3510190883937865E-3</v>
      </c>
      <c r="AC204" s="177">
        <v>1566.7399999999996</v>
      </c>
      <c r="AD204" s="177">
        <v>129.15</v>
      </c>
      <c r="AE204" s="177">
        <v>5.26</v>
      </c>
      <c r="AF204" s="117">
        <v>8062.2899000000298</v>
      </c>
      <c r="AG204" s="117">
        <v>9763.4399000000303</v>
      </c>
      <c r="AH204" s="185">
        <v>1.3227919803142293E-2</v>
      </c>
      <c r="AJ204" s="5" t="s">
        <v>39</v>
      </c>
      <c r="AK204" s="175">
        <v>292.79000000000008</v>
      </c>
      <c r="AL204" s="175">
        <v>9758.0600000000068</v>
      </c>
      <c r="AM204" s="382">
        <f t="shared" si="217"/>
        <v>3.000493950641827E-2</v>
      </c>
    </row>
    <row r="205" spans="1:39" x14ac:dyDescent="0.35">
      <c r="A205" s="6" t="s">
        <v>18</v>
      </c>
      <c r="B205" s="12">
        <v>1233.97</v>
      </c>
      <c r="C205" s="12">
        <v>114.53000000000003</v>
      </c>
      <c r="D205" s="12">
        <v>9.58</v>
      </c>
      <c r="E205" s="12">
        <v>14.169999999999998</v>
      </c>
      <c r="F205" s="12">
        <v>19.350000000000001</v>
      </c>
      <c r="G205" s="12">
        <v>19.829999999999995</v>
      </c>
      <c r="H205" s="54">
        <v>6.5600000000000005</v>
      </c>
      <c r="I205" s="12">
        <v>0.96</v>
      </c>
      <c r="J205" s="12">
        <v>3.42</v>
      </c>
      <c r="K205" s="12">
        <v>1.28</v>
      </c>
      <c r="L205" s="12">
        <v>13.32</v>
      </c>
      <c r="M205" s="12">
        <v>10.66</v>
      </c>
      <c r="N205" s="12">
        <v>3.8400000000000003</v>
      </c>
      <c r="O205" s="12">
        <v>7.92</v>
      </c>
      <c r="P205" s="54">
        <v>0.8</v>
      </c>
      <c r="Q205" s="12">
        <v>6.62</v>
      </c>
      <c r="R205" s="12">
        <v>11.26</v>
      </c>
      <c r="S205" s="12">
        <v>47.6</v>
      </c>
      <c r="T205" s="12">
        <v>41.069999999999993</v>
      </c>
      <c r="U205" s="12">
        <v>42.81</v>
      </c>
      <c r="V205" s="12">
        <v>39.17</v>
      </c>
      <c r="W205" s="12">
        <v>35.940000000000005</v>
      </c>
      <c r="X205" s="12">
        <v>11.229999999999999</v>
      </c>
      <c r="Y205" s="12">
        <v>5.26</v>
      </c>
      <c r="Z205" s="12">
        <f t="shared" si="214"/>
        <v>1701.1499999999996</v>
      </c>
      <c r="AA205" s="150">
        <f t="shared" si="220"/>
        <v>4.3510190883937865E-3</v>
      </c>
      <c r="AC205" s="175">
        <v>1566.7399999999996</v>
      </c>
      <c r="AD205" s="175">
        <v>129.15</v>
      </c>
      <c r="AE205" s="175">
        <v>5.26</v>
      </c>
      <c r="AF205" s="175">
        <v>8062.2899000000298</v>
      </c>
      <c r="AG205" s="175">
        <v>9763.4399000000303</v>
      </c>
      <c r="AH205" s="202">
        <v>1.3227919803142293E-2</v>
      </c>
      <c r="AJ205" s="5" t="s">
        <v>27</v>
      </c>
      <c r="AK205" s="175">
        <v>246.52</v>
      </c>
      <c r="AL205" s="175">
        <v>649.86</v>
      </c>
      <c r="AM205" s="382">
        <f t="shared" si="217"/>
        <v>0.37934324316006524</v>
      </c>
    </row>
    <row r="206" spans="1:39" x14ac:dyDescent="0.35">
      <c r="A206" s="116" t="s">
        <v>17</v>
      </c>
      <c r="B206" s="117">
        <f>SUM(B207:B208)</f>
        <v>907.99999999999977</v>
      </c>
      <c r="C206" s="117">
        <f t="shared" ref="C206:Y206" si="222">SUM(C207:C208)</f>
        <v>108.7</v>
      </c>
      <c r="D206" s="117">
        <f t="shared" si="222"/>
        <v>17.499999999999996</v>
      </c>
      <c r="E206" s="117">
        <f t="shared" si="222"/>
        <v>9.2000000000000011</v>
      </c>
      <c r="F206" s="117">
        <f t="shared" si="222"/>
        <v>12.060000000000002</v>
      </c>
      <c r="G206" s="117">
        <f t="shared" si="222"/>
        <v>6.8099999999999987</v>
      </c>
      <c r="H206" s="117">
        <f t="shared" si="222"/>
        <v>25.4</v>
      </c>
      <c r="I206" s="117">
        <f t="shared" si="222"/>
        <v>14.12</v>
      </c>
      <c r="J206" s="117">
        <f t="shared" si="222"/>
        <v>149.35999999999999</v>
      </c>
      <c r="K206" s="117">
        <f t="shared" si="222"/>
        <v>24.01</v>
      </c>
      <c r="L206" s="117">
        <f t="shared" si="222"/>
        <v>51.899999999999991</v>
      </c>
      <c r="M206" s="117">
        <f t="shared" si="222"/>
        <v>86.199999999999989</v>
      </c>
      <c r="N206" s="117">
        <f t="shared" si="222"/>
        <v>58.7</v>
      </c>
      <c r="O206" s="117">
        <f t="shared" si="222"/>
        <v>47.44</v>
      </c>
      <c r="P206" s="117">
        <f t="shared" si="222"/>
        <v>42.21</v>
      </c>
      <c r="Q206" s="117">
        <f t="shared" si="222"/>
        <v>96.99</v>
      </c>
      <c r="R206" s="117">
        <f t="shared" si="222"/>
        <v>424.46000000000004</v>
      </c>
      <c r="S206" s="117">
        <f t="shared" si="222"/>
        <v>655.28</v>
      </c>
      <c r="T206" s="117">
        <f t="shared" si="222"/>
        <v>297.31000000000012</v>
      </c>
      <c r="U206" s="117">
        <f t="shared" si="222"/>
        <v>637.31000000000017</v>
      </c>
      <c r="V206" s="117">
        <f t="shared" si="222"/>
        <v>381.2</v>
      </c>
      <c r="W206" s="117">
        <f t="shared" si="222"/>
        <v>511.20000000000005</v>
      </c>
      <c r="X206" s="117">
        <f t="shared" si="222"/>
        <v>329.27000000000004</v>
      </c>
      <c r="Y206" s="117">
        <f t="shared" si="222"/>
        <v>4.41</v>
      </c>
      <c r="Z206" s="117">
        <f>SUM(B206:Y206)</f>
        <v>4899.04</v>
      </c>
      <c r="AA206" s="151">
        <f t="shared" si="220"/>
        <v>1.2530239282135439E-2</v>
      </c>
      <c r="AC206" s="177">
        <v>3035.65</v>
      </c>
      <c r="AD206" s="177">
        <v>1858.9800000000002</v>
      </c>
      <c r="AE206" s="177">
        <v>4.41</v>
      </c>
      <c r="AF206" s="117">
        <v>31.54</v>
      </c>
      <c r="AG206" s="117">
        <v>4930.58</v>
      </c>
      <c r="AH206" s="185">
        <v>0.37703069415768536</v>
      </c>
    </row>
    <row r="207" spans="1:39" x14ac:dyDescent="0.35">
      <c r="A207" s="6" t="s">
        <v>55</v>
      </c>
      <c r="B207" s="12">
        <v>784.16999999999973</v>
      </c>
      <c r="C207" s="12">
        <v>96.710000000000008</v>
      </c>
      <c r="D207" s="12">
        <v>17.499999999999996</v>
      </c>
      <c r="E207" s="12">
        <v>9.0200000000000014</v>
      </c>
      <c r="F207" s="12">
        <v>12.060000000000002</v>
      </c>
      <c r="G207" s="12">
        <v>6.7199999999999989</v>
      </c>
      <c r="H207" s="12">
        <v>25.4</v>
      </c>
      <c r="I207" s="12">
        <v>10.959999999999999</v>
      </c>
      <c r="J207" s="12">
        <v>149.35999999999999</v>
      </c>
      <c r="K207" s="12">
        <v>17.970000000000002</v>
      </c>
      <c r="L207" s="12">
        <v>51.899999999999991</v>
      </c>
      <c r="M207" s="12">
        <v>85.799999999999983</v>
      </c>
      <c r="N207" s="12">
        <v>55.1</v>
      </c>
      <c r="O207" s="12">
        <v>45.919999999999995</v>
      </c>
      <c r="P207" s="12">
        <v>42.21</v>
      </c>
      <c r="Q207" s="12">
        <v>93.66</v>
      </c>
      <c r="R207" s="12">
        <v>410.87000000000006</v>
      </c>
      <c r="S207" s="12">
        <v>474.15000000000003</v>
      </c>
      <c r="T207" s="12">
        <v>263.07000000000011</v>
      </c>
      <c r="U207" s="12">
        <v>608.48000000000013</v>
      </c>
      <c r="V207" s="12">
        <v>320.74</v>
      </c>
      <c r="W207" s="12">
        <v>503.98</v>
      </c>
      <c r="X207" s="12">
        <v>329.20000000000005</v>
      </c>
      <c r="Y207" s="54">
        <v>3.6199999999999997</v>
      </c>
      <c r="Z207" s="12">
        <f t="shared" si="214"/>
        <v>4418.5700000000006</v>
      </c>
      <c r="AA207" s="150">
        <f t="shared" si="220"/>
        <v>1.1301344627695465E-2</v>
      </c>
      <c r="AC207" s="175">
        <v>2652.55</v>
      </c>
      <c r="AD207" s="175">
        <v>1762.4000000000003</v>
      </c>
      <c r="AE207" s="175">
        <v>3.6199999999999997</v>
      </c>
      <c r="AF207" s="175">
        <v>16.63</v>
      </c>
      <c r="AG207" s="175">
        <v>4435.2000000000007</v>
      </c>
      <c r="AH207" s="202">
        <v>0.39736652236652237</v>
      </c>
    </row>
    <row r="208" spans="1:39" x14ac:dyDescent="0.35">
      <c r="A208" s="6" t="s">
        <v>56</v>
      </c>
      <c r="B208" s="12">
        <v>123.83000000000004</v>
      </c>
      <c r="C208" s="12">
        <v>11.99</v>
      </c>
      <c r="D208" s="12">
        <v>0</v>
      </c>
      <c r="E208" s="12">
        <v>0.18</v>
      </c>
      <c r="F208" s="12">
        <v>0</v>
      </c>
      <c r="G208" s="12">
        <v>0.09</v>
      </c>
      <c r="H208" s="12">
        <v>0</v>
      </c>
      <c r="I208" s="12">
        <v>3.16</v>
      </c>
      <c r="J208" s="12">
        <v>0</v>
      </c>
      <c r="K208" s="12">
        <v>6.04</v>
      </c>
      <c r="L208" s="12">
        <v>0</v>
      </c>
      <c r="M208" s="12">
        <v>0.39999999999999997</v>
      </c>
      <c r="N208" s="12">
        <v>3.6</v>
      </c>
      <c r="O208" s="12">
        <v>1.52</v>
      </c>
      <c r="P208" s="12">
        <v>0</v>
      </c>
      <c r="Q208" s="12">
        <v>3.33</v>
      </c>
      <c r="R208" s="12">
        <v>13.589999999999998</v>
      </c>
      <c r="S208" s="12">
        <v>181.13</v>
      </c>
      <c r="T208" s="12">
        <v>34.239999999999995</v>
      </c>
      <c r="U208" s="12">
        <v>28.830000000000002</v>
      </c>
      <c r="V208" s="12">
        <v>60.46</v>
      </c>
      <c r="W208" s="12">
        <v>7.2199999999999989</v>
      </c>
      <c r="X208" s="12">
        <v>7.0000000000000007E-2</v>
      </c>
      <c r="Y208" s="12">
        <v>0.79000000000000015</v>
      </c>
      <c r="Z208" s="12">
        <f t="shared" si="214"/>
        <v>480.47</v>
      </c>
      <c r="AA208" s="150">
        <f t="shared" si="220"/>
        <v>1.2288946544399748E-3</v>
      </c>
      <c r="AC208" s="175">
        <v>383.10000000000008</v>
      </c>
      <c r="AD208" s="175">
        <v>96.58</v>
      </c>
      <c r="AE208" s="175">
        <v>0.79000000000000015</v>
      </c>
      <c r="AF208" s="175">
        <v>14.91</v>
      </c>
      <c r="AG208" s="175">
        <v>495.38000000000011</v>
      </c>
      <c r="AH208" s="202">
        <v>0.19496144374015903</v>
      </c>
    </row>
    <row r="209" spans="1:40" x14ac:dyDescent="0.35">
      <c r="A209" s="116" t="s">
        <v>20</v>
      </c>
      <c r="B209" s="117">
        <v>3242.6799999999985</v>
      </c>
      <c r="C209" s="117">
        <v>174.49999999999997</v>
      </c>
      <c r="D209" s="117">
        <v>12.24</v>
      </c>
      <c r="E209" s="117">
        <v>15.29</v>
      </c>
      <c r="F209" s="117">
        <v>12.179999999999998</v>
      </c>
      <c r="G209" s="117">
        <v>61.800000000000011</v>
      </c>
      <c r="H209" s="117">
        <v>40.79</v>
      </c>
      <c r="I209" s="117">
        <v>31.679999999999996</v>
      </c>
      <c r="J209" s="117">
        <v>40.480000000000011</v>
      </c>
      <c r="K209" s="117">
        <v>33.1</v>
      </c>
      <c r="L209" s="117">
        <v>72.179999999999993</v>
      </c>
      <c r="M209" s="117">
        <v>66.459999999999994</v>
      </c>
      <c r="N209" s="117">
        <v>61.55</v>
      </c>
      <c r="O209" s="117">
        <v>46.13000000000001</v>
      </c>
      <c r="P209" s="117">
        <v>47.05</v>
      </c>
      <c r="Q209" s="117">
        <v>104.53</v>
      </c>
      <c r="R209" s="117">
        <v>158.12</v>
      </c>
      <c r="S209" s="189">
        <v>140.66999999999999</v>
      </c>
      <c r="T209" s="189">
        <v>199.3</v>
      </c>
      <c r="U209" s="189">
        <v>167.39000000000001</v>
      </c>
      <c r="V209" s="117">
        <v>154.35</v>
      </c>
      <c r="W209" s="117">
        <v>172.64999999999998</v>
      </c>
      <c r="X209" s="189">
        <v>155.04000000000002</v>
      </c>
      <c r="Y209" s="117">
        <v>13.360000000000001</v>
      </c>
      <c r="Z209" s="117">
        <f>SUM(B209:Y209)</f>
        <v>5223.5199999999986</v>
      </c>
      <c r="AA209" s="151">
        <f t="shared" si="220"/>
        <v>1.3360159438383864E-2</v>
      </c>
      <c r="AC209" s="177">
        <v>4560.7299999999987</v>
      </c>
      <c r="AD209" s="177">
        <v>649.43000000000006</v>
      </c>
      <c r="AE209" s="177">
        <v>13.360000000000001</v>
      </c>
      <c r="AF209" s="117">
        <v>0</v>
      </c>
      <c r="AG209" s="117">
        <v>5223.5199999999986</v>
      </c>
      <c r="AH209" s="185">
        <v>0.12432803932980063</v>
      </c>
    </row>
    <row r="210" spans="1:40" x14ac:dyDescent="0.35">
      <c r="A210" s="6" t="s">
        <v>20</v>
      </c>
      <c r="B210" s="12">
        <v>3242.6799999999985</v>
      </c>
      <c r="C210" s="12">
        <v>174.49999999999997</v>
      </c>
      <c r="D210" s="12">
        <v>12.24</v>
      </c>
      <c r="E210" s="12">
        <v>15.29</v>
      </c>
      <c r="F210" s="12">
        <v>12.179999999999998</v>
      </c>
      <c r="G210" s="12">
        <v>61.800000000000011</v>
      </c>
      <c r="H210" s="12">
        <v>40.79</v>
      </c>
      <c r="I210" s="12">
        <v>31.679999999999996</v>
      </c>
      <c r="J210" s="12">
        <v>40.480000000000011</v>
      </c>
      <c r="K210" s="12">
        <v>33.1</v>
      </c>
      <c r="L210" s="12">
        <v>72.179999999999993</v>
      </c>
      <c r="M210" s="12">
        <v>66.459999999999994</v>
      </c>
      <c r="N210" s="12">
        <v>61.55</v>
      </c>
      <c r="O210" s="12">
        <v>46.13000000000001</v>
      </c>
      <c r="P210" s="12">
        <v>47.05</v>
      </c>
      <c r="Q210" s="12">
        <v>104.53</v>
      </c>
      <c r="R210" s="12">
        <v>158.12</v>
      </c>
      <c r="S210" s="54">
        <v>140.66999999999999</v>
      </c>
      <c r="T210" s="54">
        <v>199.3</v>
      </c>
      <c r="U210" s="12">
        <v>167.39000000000001</v>
      </c>
      <c r="V210" s="12">
        <v>154.35</v>
      </c>
      <c r="W210" s="12">
        <v>172.64999999999998</v>
      </c>
      <c r="X210" s="12">
        <v>155.04000000000002</v>
      </c>
      <c r="Y210" s="12">
        <v>13.360000000000001</v>
      </c>
      <c r="Z210" s="12">
        <f t="shared" si="214"/>
        <v>5223.5199999999986</v>
      </c>
      <c r="AA210" s="150">
        <f t="shared" si="220"/>
        <v>1.3360159438383864E-2</v>
      </c>
      <c r="AC210" s="175">
        <v>4560.7299999999987</v>
      </c>
      <c r="AD210" s="175">
        <v>649.43000000000006</v>
      </c>
      <c r="AE210" s="175">
        <v>13.360000000000001</v>
      </c>
      <c r="AF210" s="175">
        <v>0</v>
      </c>
      <c r="AG210" s="175">
        <v>5223.5199999999986</v>
      </c>
      <c r="AH210" s="202">
        <v>0.12432803932980063</v>
      </c>
    </row>
    <row r="211" spans="1:40" x14ac:dyDescent="0.35">
      <c r="A211" s="116" t="s">
        <v>21</v>
      </c>
      <c r="B211" s="117">
        <v>34.24</v>
      </c>
      <c r="C211" s="117">
        <v>28.46</v>
      </c>
      <c r="D211" s="117">
        <v>0.19</v>
      </c>
      <c r="E211" s="117">
        <v>0</v>
      </c>
      <c r="F211" s="117">
        <v>0</v>
      </c>
      <c r="G211" s="117">
        <v>0.75</v>
      </c>
      <c r="H211" s="117">
        <v>1.02</v>
      </c>
      <c r="I211" s="117">
        <v>0</v>
      </c>
      <c r="J211" s="117">
        <v>0</v>
      </c>
      <c r="K211" s="117">
        <v>1.18</v>
      </c>
      <c r="L211" s="117">
        <v>0</v>
      </c>
      <c r="M211" s="117">
        <v>8.89</v>
      </c>
      <c r="N211" s="117">
        <v>0</v>
      </c>
      <c r="O211" s="117">
        <v>0.18</v>
      </c>
      <c r="P211" s="117">
        <v>0</v>
      </c>
      <c r="Q211" s="117">
        <v>10.029999999999999</v>
      </c>
      <c r="R211" s="117">
        <v>10.43</v>
      </c>
      <c r="S211" s="117">
        <v>35.89</v>
      </c>
      <c r="T211" s="117">
        <v>18.189999999999998</v>
      </c>
      <c r="U211" s="117">
        <v>27.419999999999998</v>
      </c>
      <c r="V211" s="117">
        <v>114.31</v>
      </c>
      <c r="W211" s="117">
        <v>16.970000000000002</v>
      </c>
      <c r="X211" s="117">
        <v>13.85</v>
      </c>
      <c r="Y211" s="117">
        <v>0.13999999999999999</v>
      </c>
      <c r="Z211" s="117">
        <f>SUM(B211:Y211)</f>
        <v>322.14</v>
      </c>
      <c r="AA211" s="151">
        <f t="shared" si="220"/>
        <v>8.2393515512163811E-4</v>
      </c>
      <c r="AC211" s="177">
        <v>149.44999999999999</v>
      </c>
      <c r="AD211" s="177">
        <v>172.54999999999998</v>
      </c>
      <c r="AE211" s="177">
        <v>0.13999999999999999</v>
      </c>
      <c r="AF211" s="117">
        <v>6.22</v>
      </c>
      <c r="AG211" s="117">
        <v>328.36</v>
      </c>
      <c r="AH211" s="185">
        <v>0.52549031550736991</v>
      </c>
    </row>
    <row r="212" spans="1:40" x14ac:dyDescent="0.35">
      <c r="A212" s="6" t="s">
        <v>21</v>
      </c>
      <c r="B212" s="12">
        <v>34.24</v>
      </c>
      <c r="C212" s="12">
        <v>28.46</v>
      </c>
      <c r="D212" s="12">
        <v>0.19</v>
      </c>
      <c r="E212" s="12">
        <v>0</v>
      </c>
      <c r="F212" s="12">
        <v>0</v>
      </c>
      <c r="G212" s="12">
        <v>0.75</v>
      </c>
      <c r="H212" s="12">
        <v>1.02</v>
      </c>
      <c r="I212" s="12">
        <v>0</v>
      </c>
      <c r="J212" s="12">
        <v>0</v>
      </c>
      <c r="K212" s="12">
        <v>1.18</v>
      </c>
      <c r="L212" s="12">
        <v>0</v>
      </c>
      <c r="M212" s="12">
        <v>8.89</v>
      </c>
      <c r="N212" s="12">
        <v>0</v>
      </c>
      <c r="O212" s="12">
        <v>0.18</v>
      </c>
      <c r="P212" s="12">
        <v>0</v>
      </c>
      <c r="Q212" s="12">
        <v>10.029999999999999</v>
      </c>
      <c r="R212" s="12">
        <v>10.43</v>
      </c>
      <c r="S212" s="12">
        <v>35.89</v>
      </c>
      <c r="T212" s="12">
        <v>18.189999999999998</v>
      </c>
      <c r="U212" s="12">
        <v>27.419999999999998</v>
      </c>
      <c r="V212" s="12">
        <v>114.31</v>
      </c>
      <c r="W212" s="12">
        <v>16.970000000000002</v>
      </c>
      <c r="X212" s="12">
        <v>13.85</v>
      </c>
      <c r="Y212" s="12">
        <v>0.13999999999999999</v>
      </c>
      <c r="Z212" s="12">
        <f t="shared" si="214"/>
        <v>322.14</v>
      </c>
      <c r="AA212" s="150">
        <f t="shared" si="220"/>
        <v>8.2393515512163811E-4</v>
      </c>
      <c r="AC212" s="175">
        <v>149.44999999999999</v>
      </c>
      <c r="AD212" s="175">
        <v>172.54999999999998</v>
      </c>
      <c r="AE212" s="175">
        <v>0.13999999999999999</v>
      </c>
      <c r="AF212" s="175">
        <v>6.22</v>
      </c>
      <c r="AG212" s="175">
        <v>328.36</v>
      </c>
      <c r="AH212" s="202">
        <v>0.52549031550736991</v>
      </c>
    </row>
    <row r="213" spans="1:40" x14ac:dyDescent="0.35">
      <c r="A213" s="116" t="s">
        <v>22</v>
      </c>
      <c r="B213" s="117">
        <v>24411.049999999981</v>
      </c>
      <c r="C213" s="117">
        <v>3325.5800000000008</v>
      </c>
      <c r="D213" s="117">
        <v>475.12</v>
      </c>
      <c r="E213" s="117">
        <v>532.92000000000007</v>
      </c>
      <c r="F213" s="117">
        <v>380.55000000000007</v>
      </c>
      <c r="G213" s="117">
        <v>792.18</v>
      </c>
      <c r="H213" s="117">
        <v>874.69</v>
      </c>
      <c r="I213" s="117">
        <v>266.55999999999995</v>
      </c>
      <c r="J213" s="117">
        <v>710.19999999999993</v>
      </c>
      <c r="K213" s="117">
        <v>416.40999999999997</v>
      </c>
      <c r="L213" s="117">
        <v>503.76999999999992</v>
      </c>
      <c r="M213" s="117">
        <v>763.65000000000032</v>
      </c>
      <c r="N213" s="117">
        <v>296.22000000000008</v>
      </c>
      <c r="O213" s="117">
        <v>430.41000000000008</v>
      </c>
      <c r="P213" s="117">
        <v>484.98</v>
      </c>
      <c r="Q213" s="117">
        <v>1109.5999999999997</v>
      </c>
      <c r="R213" s="117">
        <v>1402.5800000000004</v>
      </c>
      <c r="S213" s="117">
        <v>1836.2299999999998</v>
      </c>
      <c r="T213" s="117">
        <v>1953.2700000000002</v>
      </c>
      <c r="U213" s="117">
        <v>1469.4599999999996</v>
      </c>
      <c r="V213" s="117">
        <v>1494.8</v>
      </c>
      <c r="W213" s="117">
        <v>1068.2700000000002</v>
      </c>
      <c r="X213" s="117">
        <v>533.84</v>
      </c>
      <c r="Y213" s="117">
        <v>61.819999999999972</v>
      </c>
      <c r="Z213" s="117">
        <f>SUM(B213:Y213)</f>
        <v>45594.159999999989</v>
      </c>
      <c r="AA213" s="151">
        <f t="shared" si="220"/>
        <v>0.11661585426286949</v>
      </c>
      <c r="AC213" s="177">
        <v>40965.969999999994</v>
      </c>
      <c r="AD213" s="177">
        <v>4566.37</v>
      </c>
      <c r="AE213" s="177">
        <v>61.819999999999972</v>
      </c>
      <c r="AF213" s="117">
        <v>2.2400000000000002</v>
      </c>
      <c r="AG213" s="117">
        <v>45596.399999999994</v>
      </c>
      <c r="AH213" s="185">
        <v>0.10014759937188025</v>
      </c>
    </row>
    <row r="214" spans="1:40" x14ac:dyDescent="0.35">
      <c r="A214" s="6" t="s">
        <v>22</v>
      </c>
      <c r="B214" s="12">
        <v>24411.049999999981</v>
      </c>
      <c r="C214" s="12">
        <v>3325.5800000000008</v>
      </c>
      <c r="D214" s="12">
        <v>475.12</v>
      </c>
      <c r="E214" s="12">
        <v>532.92000000000007</v>
      </c>
      <c r="F214" s="12">
        <v>380.55000000000007</v>
      </c>
      <c r="G214" s="12">
        <v>792.18</v>
      </c>
      <c r="H214" s="12">
        <v>874.69</v>
      </c>
      <c r="I214" s="12">
        <v>266.55999999999995</v>
      </c>
      <c r="J214" s="12">
        <v>710.19999999999993</v>
      </c>
      <c r="K214" s="12">
        <v>416.40999999999997</v>
      </c>
      <c r="L214" s="12">
        <v>503.76999999999992</v>
      </c>
      <c r="M214" s="12">
        <v>763.65000000000032</v>
      </c>
      <c r="N214" s="12">
        <v>296.22000000000008</v>
      </c>
      <c r="O214" s="12">
        <v>430.41000000000008</v>
      </c>
      <c r="P214" s="12">
        <v>484.98</v>
      </c>
      <c r="Q214" s="12">
        <v>1109.5999999999997</v>
      </c>
      <c r="R214" s="12">
        <v>1402.5800000000004</v>
      </c>
      <c r="S214" s="12">
        <v>1836.2299999999998</v>
      </c>
      <c r="T214" s="12">
        <v>1953.2700000000002</v>
      </c>
      <c r="U214" s="12">
        <v>1469.4599999999996</v>
      </c>
      <c r="V214" s="12">
        <v>1494.8</v>
      </c>
      <c r="W214" s="12">
        <v>1068.2700000000002</v>
      </c>
      <c r="X214" s="12">
        <v>533.84</v>
      </c>
      <c r="Y214" s="12">
        <v>61.819999999999972</v>
      </c>
      <c r="Z214" s="12">
        <f t="shared" si="214"/>
        <v>45594.159999999989</v>
      </c>
      <c r="AA214" s="150">
        <f t="shared" si="220"/>
        <v>0.11661585426286949</v>
      </c>
      <c r="AC214" s="175">
        <v>40965.969999999994</v>
      </c>
      <c r="AD214" s="175">
        <v>4566.37</v>
      </c>
      <c r="AE214" s="175">
        <v>61.819999999999972</v>
      </c>
      <c r="AF214" s="175">
        <v>2.2400000000000002</v>
      </c>
      <c r="AG214" s="175">
        <v>45596.399999999994</v>
      </c>
      <c r="AH214" s="202">
        <v>0.10014759937188025</v>
      </c>
    </row>
    <row r="215" spans="1:40" x14ac:dyDescent="0.35">
      <c r="A215" s="116" t="s">
        <v>23</v>
      </c>
      <c r="B215" s="117">
        <v>701.32000000000028</v>
      </c>
      <c r="C215" s="117">
        <v>45.55</v>
      </c>
      <c r="D215" s="117">
        <v>6.4</v>
      </c>
      <c r="E215" s="117">
        <v>6.3</v>
      </c>
      <c r="F215" s="117">
        <v>1.85</v>
      </c>
      <c r="G215" s="117">
        <v>4.82</v>
      </c>
      <c r="H215" s="117">
        <v>18.560000000000002</v>
      </c>
      <c r="I215" s="117">
        <v>14.61</v>
      </c>
      <c r="J215" s="117">
        <v>9.3800000000000008</v>
      </c>
      <c r="K215" s="117">
        <v>24.97</v>
      </c>
      <c r="L215" s="117">
        <v>25.020000000000003</v>
      </c>
      <c r="M215" s="117">
        <v>24.72</v>
      </c>
      <c r="N215" s="117">
        <v>2.5</v>
      </c>
      <c r="O215" s="117">
        <v>7.2799999999999994</v>
      </c>
      <c r="P215" s="117">
        <v>3.12</v>
      </c>
      <c r="Q215" s="117">
        <v>11.45</v>
      </c>
      <c r="R215" s="117">
        <v>19.290000000000003</v>
      </c>
      <c r="S215" s="117">
        <v>32.71</v>
      </c>
      <c r="T215" s="117">
        <v>17.739999999999998</v>
      </c>
      <c r="U215" s="117">
        <v>30.33</v>
      </c>
      <c r="V215" s="117">
        <v>59.37</v>
      </c>
      <c r="W215" s="117">
        <v>64.47</v>
      </c>
      <c r="X215" s="117">
        <v>44.400000000000006</v>
      </c>
      <c r="Y215" s="117">
        <v>3.77</v>
      </c>
      <c r="Z215" s="117">
        <f>SUM(B215:Y215)</f>
        <v>1179.9300000000003</v>
      </c>
      <c r="AA215" s="151">
        <f t="shared" si="220"/>
        <v>3.0178984527928065E-3</v>
      </c>
      <c r="AC215" s="177">
        <v>977.59000000000026</v>
      </c>
      <c r="AD215" s="177">
        <v>198.57</v>
      </c>
      <c r="AE215" s="177">
        <v>3.77</v>
      </c>
      <c r="AF215" s="117">
        <v>7.1394000000000002</v>
      </c>
      <c r="AG215" s="117">
        <v>1187.0694000000003</v>
      </c>
      <c r="AH215" s="185">
        <v>0.16727749868710282</v>
      </c>
    </row>
    <row r="216" spans="1:40" x14ac:dyDescent="0.35">
      <c r="A216" s="6" t="s">
        <v>23</v>
      </c>
      <c r="B216" s="12">
        <v>701.32000000000028</v>
      </c>
      <c r="C216" s="12">
        <v>45.55</v>
      </c>
      <c r="D216" s="12">
        <v>6.4</v>
      </c>
      <c r="E216" s="12">
        <v>6.3</v>
      </c>
      <c r="F216" s="12">
        <v>1.85</v>
      </c>
      <c r="G216" s="12">
        <v>4.82</v>
      </c>
      <c r="H216" s="12">
        <v>18.560000000000002</v>
      </c>
      <c r="I216" s="12">
        <v>14.61</v>
      </c>
      <c r="J216" s="12">
        <v>9.3800000000000008</v>
      </c>
      <c r="K216" s="12">
        <v>24.97</v>
      </c>
      <c r="L216" s="12">
        <v>25.020000000000003</v>
      </c>
      <c r="M216" s="12">
        <v>24.72</v>
      </c>
      <c r="N216" s="12">
        <v>2.5</v>
      </c>
      <c r="O216" s="12">
        <v>7.2799999999999994</v>
      </c>
      <c r="P216" s="12">
        <v>3.12</v>
      </c>
      <c r="Q216" s="12">
        <v>11.45</v>
      </c>
      <c r="R216" s="12">
        <v>19.290000000000003</v>
      </c>
      <c r="S216" s="12">
        <v>32.71</v>
      </c>
      <c r="T216" s="12">
        <v>17.739999999999998</v>
      </c>
      <c r="U216" s="12">
        <v>30.33</v>
      </c>
      <c r="V216" s="12">
        <v>59.37</v>
      </c>
      <c r="W216" s="12">
        <v>64.47</v>
      </c>
      <c r="X216" s="12">
        <v>44.400000000000006</v>
      </c>
      <c r="Y216" s="12">
        <v>3.77</v>
      </c>
      <c r="Z216" s="12">
        <f t="shared" si="214"/>
        <v>1179.9300000000003</v>
      </c>
      <c r="AA216" s="150">
        <f t="shared" si="220"/>
        <v>3.0178984527928065E-3</v>
      </c>
      <c r="AC216" s="175">
        <v>977.59000000000026</v>
      </c>
      <c r="AD216" s="175">
        <v>198.57</v>
      </c>
      <c r="AE216" s="175">
        <v>3.77</v>
      </c>
      <c r="AF216" s="175">
        <v>7.1394000000000002</v>
      </c>
      <c r="AG216" s="175">
        <v>1187.0694000000003</v>
      </c>
      <c r="AH216" s="202">
        <v>0.16727749868710282</v>
      </c>
    </row>
    <row r="217" spans="1:40" x14ac:dyDescent="0.35">
      <c r="A217" s="116" t="s">
        <v>76</v>
      </c>
      <c r="B217" s="117">
        <v>9.65</v>
      </c>
      <c r="C217" s="117">
        <v>0.5</v>
      </c>
      <c r="D217" s="117">
        <v>0</v>
      </c>
      <c r="E217" s="117">
        <v>0</v>
      </c>
      <c r="F217" s="117">
        <v>0</v>
      </c>
      <c r="G217" s="117">
        <v>0</v>
      </c>
      <c r="H217" s="117">
        <v>0</v>
      </c>
      <c r="I217" s="117">
        <v>0</v>
      </c>
      <c r="J217" s="117">
        <v>0</v>
      </c>
      <c r="K217" s="117">
        <v>0</v>
      </c>
      <c r="L217" s="117">
        <v>0</v>
      </c>
      <c r="M217" s="117">
        <v>0</v>
      </c>
      <c r="N217" s="117">
        <v>0</v>
      </c>
      <c r="O217" s="117">
        <v>0</v>
      </c>
      <c r="P217" s="117">
        <v>0</v>
      </c>
      <c r="Q217" s="117">
        <v>0</v>
      </c>
      <c r="R217" s="117">
        <v>0</v>
      </c>
      <c r="S217" s="117">
        <v>0</v>
      </c>
      <c r="T217" s="117">
        <v>0</v>
      </c>
      <c r="U217" s="117">
        <v>0</v>
      </c>
      <c r="V217" s="117">
        <v>0.09</v>
      </c>
      <c r="W217" s="117">
        <v>0.09</v>
      </c>
      <c r="X217" s="117">
        <v>0</v>
      </c>
      <c r="Y217" s="117">
        <v>0.13</v>
      </c>
      <c r="Z217" s="117">
        <f>SUM(B217:Y217)</f>
        <v>10.46</v>
      </c>
      <c r="AA217" s="151">
        <f t="shared" si="220"/>
        <v>2.6753466575316122E-5</v>
      </c>
      <c r="AC217" s="177">
        <v>10.15</v>
      </c>
      <c r="AD217" s="177">
        <v>0.18</v>
      </c>
      <c r="AE217" s="177">
        <v>0.13</v>
      </c>
      <c r="AF217" s="117"/>
      <c r="AG217" s="117">
        <v>10.46</v>
      </c>
      <c r="AH217" s="185"/>
    </row>
    <row r="218" spans="1:40" x14ac:dyDescent="0.35">
      <c r="A218" s="191" t="s">
        <v>59</v>
      </c>
      <c r="B218" s="12">
        <v>9.65</v>
      </c>
      <c r="C218" s="12">
        <v>0.5</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0.09</v>
      </c>
      <c r="W218" s="12">
        <v>0.09</v>
      </c>
      <c r="X218" s="12">
        <v>0</v>
      </c>
      <c r="Y218" s="12">
        <v>0.13</v>
      </c>
      <c r="Z218" s="12">
        <f t="shared" si="214"/>
        <v>10.46</v>
      </c>
      <c r="AA218" s="150">
        <f t="shared" si="220"/>
        <v>2.6753466575316122E-5</v>
      </c>
      <c r="AC218" s="175">
        <v>10.15</v>
      </c>
      <c r="AD218" s="175">
        <v>0.18</v>
      </c>
      <c r="AE218" s="175">
        <v>0.13</v>
      </c>
      <c r="AF218" s="175"/>
      <c r="AG218" s="175">
        <v>10.46</v>
      </c>
      <c r="AH218" s="202"/>
    </row>
    <row r="219" spans="1:40" ht="15.5" x14ac:dyDescent="0.35">
      <c r="A219" s="179" t="s">
        <v>25</v>
      </c>
      <c r="B219" s="114">
        <f>SUM(B215,B213,B211,B209,B206,B204,B194,B188,B183,B179,B175,B166,B217)</f>
        <v>192636.03</v>
      </c>
      <c r="C219" s="114">
        <f t="shared" ref="C219:Y219" si="223">SUM(C215,C213,C211,C209,C206,C204,C194,C188,C183,C179,C175,C166,C217)</f>
        <v>20263.77</v>
      </c>
      <c r="D219" s="114">
        <f t="shared" si="223"/>
        <v>2332.87</v>
      </c>
      <c r="E219" s="114">
        <f t="shared" si="223"/>
        <v>2926</v>
      </c>
      <c r="F219" s="114">
        <f t="shared" si="223"/>
        <v>2380.6399999999994</v>
      </c>
      <c r="G219" s="114">
        <f t="shared" si="223"/>
        <v>4417.9999999999991</v>
      </c>
      <c r="H219" s="114">
        <f t="shared" si="223"/>
        <v>5738.24</v>
      </c>
      <c r="I219" s="114">
        <f t="shared" si="223"/>
        <v>3378.17</v>
      </c>
      <c r="J219" s="114">
        <f t="shared" si="223"/>
        <v>5712.58</v>
      </c>
      <c r="K219" s="114">
        <f t="shared" si="223"/>
        <v>3354.37</v>
      </c>
      <c r="L219" s="114">
        <f t="shared" si="223"/>
        <v>4617.34</v>
      </c>
      <c r="M219" s="114">
        <f t="shared" si="223"/>
        <v>5360.2800000000007</v>
      </c>
      <c r="N219" s="114">
        <f t="shared" si="223"/>
        <v>2674.8399999999997</v>
      </c>
      <c r="O219" s="114">
        <f t="shared" si="223"/>
        <v>4401.83</v>
      </c>
      <c r="P219" s="114">
        <f t="shared" si="223"/>
        <v>4388.8499999999995</v>
      </c>
      <c r="Q219" s="114">
        <f t="shared" si="223"/>
        <v>8944.61</v>
      </c>
      <c r="R219" s="114">
        <f t="shared" si="223"/>
        <v>18063.379999999997</v>
      </c>
      <c r="S219" s="114">
        <f t="shared" si="223"/>
        <v>23152.720000000001</v>
      </c>
      <c r="T219" s="114">
        <f t="shared" si="223"/>
        <v>21131.040000000001</v>
      </c>
      <c r="U219" s="114">
        <f t="shared" si="223"/>
        <v>14913.699999999999</v>
      </c>
      <c r="V219" s="114">
        <f t="shared" si="223"/>
        <v>14952.58</v>
      </c>
      <c r="W219" s="114">
        <f t="shared" si="223"/>
        <v>14636.719999999998</v>
      </c>
      <c r="X219" s="114">
        <f t="shared" si="223"/>
        <v>10183.68</v>
      </c>
      <c r="Y219" s="114">
        <f t="shared" si="223"/>
        <v>415.12999999999988</v>
      </c>
      <c r="Z219" s="114">
        <f>SUM(B219:Y219)</f>
        <v>390977.36999999988</v>
      </c>
      <c r="AA219" s="186">
        <f>SUM(AA215,AA213,AA211,AA209,AA206,AA204,AA194,AA188,AA183,AA179,AA175,AA166)</f>
        <v>0.99997324653342501</v>
      </c>
      <c r="AC219" s="149">
        <v>335875.56000000006</v>
      </c>
      <c r="AD219" s="149">
        <v>54686.5</v>
      </c>
      <c r="AE219" s="149">
        <v>415.12999999999988</v>
      </c>
      <c r="AF219" s="149">
        <v>10731.439200000001</v>
      </c>
      <c r="AG219" s="149">
        <v>401708.62920000008</v>
      </c>
      <c r="AH219" s="194">
        <v>0.13613474051804111</v>
      </c>
    </row>
    <row r="220" spans="1:40" x14ac:dyDescent="0.35">
      <c r="A220" s="378" t="s">
        <v>253</v>
      </c>
      <c r="B220" s="379"/>
      <c r="C220" s="379">
        <f>C219+B219</f>
        <v>212899.8</v>
      </c>
      <c r="D220" s="379">
        <f>D219+C220</f>
        <v>215232.66999999998</v>
      </c>
      <c r="E220" s="379">
        <f>E219+D220</f>
        <v>218158.66999999998</v>
      </c>
      <c r="F220" s="379">
        <f t="shared" ref="F220" si="224">F219+E220</f>
        <v>220539.31</v>
      </c>
      <c r="G220" s="379">
        <f t="shared" ref="G220" si="225">G219+F220</f>
        <v>224957.31</v>
      </c>
      <c r="H220" s="379">
        <f t="shared" ref="H220" si="226">H219+G220</f>
        <v>230695.55</v>
      </c>
      <c r="I220" s="379">
        <f t="shared" ref="I220" si="227">I219+H220</f>
        <v>234073.72</v>
      </c>
      <c r="J220" s="379">
        <f t="shared" ref="J220" si="228">J219+I220</f>
        <v>239786.3</v>
      </c>
      <c r="K220" s="379">
        <f t="shared" ref="K220" si="229">K219+J220</f>
        <v>243140.66999999998</v>
      </c>
      <c r="L220" s="379">
        <f t="shared" ref="L220" si="230">L219+K220</f>
        <v>247758.00999999998</v>
      </c>
      <c r="M220" s="379">
        <f t="shared" ref="M220" si="231">M219+L220</f>
        <v>253118.28999999998</v>
      </c>
      <c r="N220" s="379">
        <f t="shared" ref="N220" si="232">N219+M220</f>
        <v>255793.12999999998</v>
      </c>
      <c r="O220" s="379">
        <f t="shared" ref="O220" si="233">O219+N220</f>
        <v>260194.95999999996</v>
      </c>
      <c r="P220" s="379">
        <f t="shared" ref="P220" si="234">P219+O220</f>
        <v>264583.80999999994</v>
      </c>
      <c r="Q220" s="379">
        <f t="shared" ref="Q220" si="235">Q219+P220</f>
        <v>273528.41999999993</v>
      </c>
      <c r="R220" s="379">
        <f t="shared" ref="R220" si="236">R219+Q220</f>
        <v>291591.79999999993</v>
      </c>
      <c r="S220" s="379">
        <f t="shared" ref="S220" si="237">S219+R220</f>
        <v>314744.5199999999</v>
      </c>
      <c r="T220" s="379">
        <f t="shared" ref="T220" si="238">T219+S220</f>
        <v>335875.55999999988</v>
      </c>
      <c r="U220" s="379">
        <f t="shared" ref="U220" si="239">U219+T220</f>
        <v>350789.25999999989</v>
      </c>
      <c r="V220" s="379">
        <f t="shared" ref="V220" si="240">V219+U220</f>
        <v>365741.83999999991</v>
      </c>
      <c r="W220" s="379">
        <f t="shared" ref="W220" si="241">W219+V220</f>
        <v>380378.55999999988</v>
      </c>
      <c r="X220" s="379">
        <f t="shared" ref="X220" si="242">X219+W220</f>
        <v>390562.23999999987</v>
      </c>
      <c r="Z220" s="141"/>
    </row>
    <row r="221" spans="1:40" x14ac:dyDescent="0.35">
      <c r="A221" s="380" t="s">
        <v>254</v>
      </c>
      <c r="B221" s="379"/>
      <c r="C221" s="381"/>
      <c r="D221" s="381">
        <f t="shared" ref="D221:X221" si="243">D220/C220-1</f>
        <v>1.0957596014651072E-2</v>
      </c>
      <c r="E221" s="381">
        <f t="shared" si="243"/>
        <v>1.3594590449488964E-2</v>
      </c>
      <c r="F221" s="381">
        <f t="shared" si="243"/>
        <v>1.0912424429430301E-2</v>
      </c>
      <c r="G221" s="381">
        <f t="shared" si="243"/>
        <v>2.0032709814862493E-2</v>
      </c>
      <c r="H221" s="381">
        <f t="shared" si="243"/>
        <v>2.5508128631161142E-2</v>
      </c>
      <c r="I221" s="381">
        <f t="shared" si="243"/>
        <v>1.4643412064081929E-2</v>
      </c>
      <c r="J221" s="381">
        <f t="shared" si="243"/>
        <v>2.4405046410165054E-2</v>
      </c>
      <c r="K221" s="381">
        <f t="shared" si="243"/>
        <v>1.3988997703371586E-2</v>
      </c>
      <c r="L221" s="381">
        <f t="shared" si="243"/>
        <v>1.8990405842017388E-2</v>
      </c>
      <c r="M221" s="381">
        <f t="shared" si="243"/>
        <v>2.163514309789627E-2</v>
      </c>
      <c r="N221" s="381">
        <f t="shared" si="243"/>
        <v>1.0567549267182619E-2</v>
      </c>
      <c r="O221" s="381">
        <f t="shared" si="243"/>
        <v>1.7208554428338241E-2</v>
      </c>
      <c r="P221" s="381">
        <f t="shared" si="243"/>
        <v>1.6867544244515642E-2</v>
      </c>
      <c r="Q221" s="381">
        <f t="shared" si="243"/>
        <v>3.3806339095351357E-2</v>
      </c>
      <c r="R221" s="381">
        <f t="shared" si="243"/>
        <v>6.6038402883327407E-2</v>
      </c>
      <c r="S221" s="381">
        <f t="shared" si="243"/>
        <v>7.9401135422875413E-2</v>
      </c>
      <c r="T221" s="381">
        <f t="shared" si="243"/>
        <v>6.7137118066424195E-2</v>
      </c>
      <c r="U221" s="381">
        <f t="shared" si="243"/>
        <v>4.440245667175069E-2</v>
      </c>
      <c r="V221" s="381">
        <f t="shared" si="243"/>
        <v>4.262553534278668E-2</v>
      </c>
      <c r="W221" s="381">
        <f t="shared" si="243"/>
        <v>4.0019266048423541E-2</v>
      </c>
      <c r="X221" s="381">
        <f t="shared" si="243"/>
        <v>2.6772486861509792E-2</v>
      </c>
      <c r="AC221" s="190">
        <f>AC219/Z219</f>
        <v>0.85906649788963529</v>
      </c>
      <c r="AD221" s="190">
        <f>AD219/Z219</f>
        <v>0.13987126671807121</v>
      </c>
    </row>
    <row r="222" spans="1:40" s="210" customFormat="1" x14ac:dyDescent="0.35">
      <c r="A222" s="522" t="s">
        <v>313</v>
      </c>
      <c r="B222" s="523">
        <f>B217+B215+B213+B211+B209+B206+B204+B194+B188+B183+B179+B175+B166</f>
        <v>192636.03000000003</v>
      </c>
      <c r="C222" s="523">
        <f t="shared" ref="C222:Z222" si="244">C217+C215+C213+C211+C209+C206+C204+C194+C188+C183+C179+C175+C166</f>
        <v>20263.77</v>
      </c>
      <c r="D222" s="523">
        <f t="shared" si="244"/>
        <v>2332.87</v>
      </c>
      <c r="E222" s="523">
        <f t="shared" si="244"/>
        <v>2926</v>
      </c>
      <c r="F222" s="523">
        <f t="shared" si="244"/>
        <v>2380.6399999999994</v>
      </c>
      <c r="G222" s="523">
        <f t="shared" si="244"/>
        <v>4417.9999999999991</v>
      </c>
      <c r="H222" s="523">
        <f t="shared" si="244"/>
        <v>5738.24</v>
      </c>
      <c r="I222" s="523">
        <f t="shared" si="244"/>
        <v>3378.17</v>
      </c>
      <c r="J222" s="523">
        <f t="shared" si="244"/>
        <v>5712.58</v>
      </c>
      <c r="K222" s="523">
        <f t="shared" si="244"/>
        <v>3354.37</v>
      </c>
      <c r="L222" s="523">
        <f t="shared" si="244"/>
        <v>4617.34</v>
      </c>
      <c r="M222" s="523">
        <f t="shared" si="244"/>
        <v>5360.2800000000007</v>
      </c>
      <c r="N222" s="523">
        <f t="shared" si="244"/>
        <v>2674.8399999999997</v>
      </c>
      <c r="O222" s="523">
        <f t="shared" si="244"/>
        <v>4401.83</v>
      </c>
      <c r="P222" s="523">
        <f t="shared" si="244"/>
        <v>4388.8499999999995</v>
      </c>
      <c r="Q222" s="523">
        <f t="shared" si="244"/>
        <v>8944.61</v>
      </c>
      <c r="R222" s="523">
        <f t="shared" si="244"/>
        <v>18063.379999999997</v>
      </c>
      <c r="S222" s="523">
        <f t="shared" si="244"/>
        <v>23152.720000000001</v>
      </c>
      <c r="T222" s="523">
        <f t="shared" si="244"/>
        <v>21131.040000000001</v>
      </c>
      <c r="U222" s="523">
        <f t="shared" si="244"/>
        <v>14913.699999999999</v>
      </c>
      <c r="V222" s="523">
        <f t="shared" si="244"/>
        <v>14952.58</v>
      </c>
      <c r="W222" s="523">
        <f t="shared" si="244"/>
        <v>14636.719999999998</v>
      </c>
      <c r="X222" s="523">
        <f t="shared" si="244"/>
        <v>10183.68</v>
      </c>
      <c r="Y222" s="523">
        <f t="shared" si="244"/>
        <v>415.12999999999988</v>
      </c>
      <c r="Z222" s="523">
        <f t="shared" si="244"/>
        <v>390977.37000000005</v>
      </c>
      <c r="AC222" s="523">
        <f>AC217+AC215+AC213+AC211+AC209+AC206+AC204+AC194+AC188+AC183+AC179+AC175+AC166</f>
        <v>335875.56000000006</v>
      </c>
      <c r="AD222" s="523">
        <f t="shared" ref="AD222:AN222" si="245">AD217+AD215+AD213+AD211+AD209+AD206+AD204+AD194+AD188+AD183+AD179+AD175+AD166</f>
        <v>54686.679999999993</v>
      </c>
      <c r="AE222" s="523">
        <f t="shared" si="245"/>
        <v>415.12999999999988</v>
      </c>
      <c r="AF222" s="523">
        <f t="shared" si="245"/>
        <v>10731.439200000028</v>
      </c>
      <c r="AG222" s="523">
        <f t="shared" si="245"/>
        <v>401708.80920000013</v>
      </c>
      <c r="AH222" s="523"/>
      <c r="AI222" s="523">
        <f t="shared" si="245"/>
        <v>0</v>
      </c>
      <c r="AJ222" s="523" t="e">
        <f t="shared" si="245"/>
        <v>#VALUE!</v>
      </c>
      <c r="AK222" s="523">
        <f t="shared" si="245"/>
        <v>10112.040000000001</v>
      </c>
      <c r="AL222" s="523">
        <f t="shared" si="245"/>
        <v>44444.850800000015</v>
      </c>
      <c r="AM222" s="523">
        <f t="shared" si="245"/>
        <v>1.1265469640622596</v>
      </c>
      <c r="AN222" s="523">
        <f t="shared" si="245"/>
        <v>0</v>
      </c>
    </row>
    <row r="223" spans="1:40" x14ac:dyDescent="0.35">
      <c r="A223" s="380"/>
      <c r="B223" s="379"/>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AC223" s="190"/>
      <c r="AD223" s="190"/>
    </row>
    <row r="224" spans="1:40" ht="15.5" x14ac:dyDescent="0.35">
      <c r="A224" s="121" t="s">
        <v>99</v>
      </c>
      <c r="B224" s="122" t="s">
        <v>134</v>
      </c>
      <c r="C224" s="122">
        <v>2000</v>
      </c>
      <c r="D224" s="122">
        <v>2001</v>
      </c>
      <c r="E224" s="122">
        <v>2002</v>
      </c>
      <c r="F224" s="122">
        <v>2003</v>
      </c>
      <c r="G224" s="122">
        <v>2004</v>
      </c>
      <c r="H224" s="122">
        <v>2005</v>
      </c>
      <c r="I224" s="122">
        <v>2006</v>
      </c>
      <c r="J224" s="122">
        <v>2007</v>
      </c>
      <c r="K224" s="122">
        <v>2008</v>
      </c>
      <c r="L224" s="122">
        <v>2009</v>
      </c>
      <c r="M224" s="122">
        <v>2010</v>
      </c>
      <c r="N224" s="122">
        <v>2011</v>
      </c>
      <c r="O224" s="122">
        <v>2012</v>
      </c>
      <c r="P224" s="122">
        <v>2013</v>
      </c>
      <c r="Q224" s="122">
        <v>2014</v>
      </c>
      <c r="R224" s="122">
        <v>2015</v>
      </c>
      <c r="S224" s="122">
        <v>2016</v>
      </c>
      <c r="T224" s="122">
        <v>2017</v>
      </c>
      <c r="U224" s="122">
        <v>2018</v>
      </c>
      <c r="V224" s="122">
        <v>2019</v>
      </c>
      <c r="W224" s="122">
        <v>2020</v>
      </c>
      <c r="X224" s="123">
        <v>2021</v>
      </c>
      <c r="Y224" s="123" t="s">
        <v>90</v>
      </c>
      <c r="AD224" s="141"/>
    </row>
    <row r="225" spans="1:30" x14ac:dyDescent="0.35">
      <c r="A225" s="124" t="s">
        <v>5</v>
      </c>
      <c r="B225" s="22">
        <f t="shared" ref="B225:Y225" si="246">B166/$Z$166</f>
        <v>0.50788867299072371</v>
      </c>
      <c r="C225" s="22">
        <f t="shared" si="246"/>
        <v>6.686388386822914E-2</v>
      </c>
      <c r="D225" s="22">
        <f t="shared" si="246"/>
        <v>6.6258541062344956E-3</v>
      </c>
      <c r="E225" s="22">
        <f t="shared" si="246"/>
        <v>1.0508856009709359E-2</v>
      </c>
      <c r="F225" s="22">
        <f t="shared" si="246"/>
        <v>7.0518729228643681E-3</v>
      </c>
      <c r="G225" s="22">
        <f t="shared" si="246"/>
        <v>1.6036339377929327E-2</v>
      </c>
      <c r="H225" s="22">
        <f t="shared" si="246"/>
        <v>1.7158945531536466E-2</v>
      </c>
      <c r="I225" s="22">
        <f t="shared" si="246"/>
        <v>9.4958518102001583E-3</v>
      </c>
      <c r="J225" s="22">
        <f t="shared" si="246"/>
        <v>1.5329081223638895E-2</v>
      </c>
      <c r="K225" s="22">
        <f t="shared" si="246"/>
        <v>8.265723607564595E-3</v>
      </c>
      <c r="L225" s="22">
        <f t="shared" si="246"/>
        <v>1.288401716844075E-2</v>
      </c>
      <c r="M225" s="22">
        <f t="shared" si="246"/>
        <v>1.1284570169983408E-2</v>
      </c>
      <c r="N225" s="22">
        <f t="shared" si="246"/>
        <v>3.3668237236142563E-3</v>
      </c>
      <c r="O225" s="22">
        <f t="shared" si="246"/>
        <v>8.063158939924835E-3</v>
      </c>
      <c r="P225" s="22">
        <f t="shared" si="246"/>
        <v>7.7323636032166883E-3</v>
      </c>
      <c r="Q225" s="22">
        <f t="shared" si="246"/>
        <v>2.1085896733436742E-2</v>
      </c>
      <c r="R225" s="22">
        <f t="shared" si="246"/>
        <v>3.9006630104347018E-2</v>
      </c>
      <c r="S225" s="22">
        <f t="shared" si="246"/>
        <v>4.6988401454595173E-2</v>
      </c>
      <c r="T225" s="22">
        <f t="shared" si="246"/>
        <v>4.9717327336454578E-2</v>
      </c>
      <c r="U225" s="22">
        <f t="shared" si="246"/>
        <v>3.3301812221287065E-2</v>
      </c>
      <c r="V225" s="22">
        <f t="shared" si="246"/>
        <v>3.2872266609104542E-2</v>
      </c>
      <c r="W225" s="22">
        <f t="shared" si="246"/>
        <v>4.106654999906402E-2</v>
      </c>
      <c r="X225" s="22">
        <f t="shared" si="246"/>
        <v>2.6720178705443569E-2</v>
      </c>
      <c r="Y225" s="383">
        <f t="shared" si="246"/>
        <v>6.8492178245694061E-4</v>
      </c>
      <c r="AC225" s="141"/>
    </row>
    <row r="226" spans="1:30" x14ac:dyDescent="0.35">
      <c r="A226" s="124" t="s">
        <v>12</v>
      </c>
      <c r="B226" s="22">
        <f t="shared" ref="B226:Y226" si="247">B175/$Z$175</f>
        <v>0.62275441095120077</v>
      </c>
      <c r="C226" s="22">
        <f t="shared" si="247"/>
        <v>4.3352322912496119E-2</v>
      </c>
      <c r="D226" s="22">
        <f t="shared" si="247"/>
        <v>6.0322985846447217E-3</v>
      </c>
      <c r="E226" s="22">
        <f t="shared" si="247"/>
        <v>9.3046008979299887E-3</v>
      </c>
      <c r="F226" s="22">
        <f t="shared" si="247"/>
        <v>7.2454438763191551E-3</v>
      </c>
      <c r="G226" s="22">
        <f t="shared" si="247"/>
        <v>8.1294678740941942E-3</v>
      </c>
      <c r="H226" s="22">
        <f t="shared" si="247"/>
        <v>1.701440569442873E-2</v>
      </c>
      <c r="I226" s="22">
        <f t="shared" si="247"/>
        <v>1.061096220319868E-2</v>
      </c>
      <c r="J226" s="22">
        <f t="shared" si="247"/>
        <v>8.7164613367481901E-3</v>
      </c>
      <c r="K226" s="22">
        <f t="shared" si="247"/>
        <v>1.127512630005776E-2</v>
      </c>
      <c r="L226" s="22">
        <f t="shared" si="247"/>
        <v>1.2618926823901193E-2</v>
      </c>
      <c r="M226" s="22">
        <f t="shared" si="247"/>
        <v>1.5051138916310346E-2</v>
      </c>
      <c r="N226" s="22">
        <f t="shared" si="247"/>
        <v>8.7964972172727696E-3</v>
      </c>
      <c r="O226" s="22">
        <f t="shared" si="247"/>
        <v>1.2117890750832061E-2</v>
      </c>
      <c r="P226" s="22">
        <f t="shared" si="247"/>
        <v>1.1023175640363448E-2</v>
      </c>
      <c r="Q226" s="22">
        <f t="shared" si="247"/>
        <v>1.8898400657707728E-2</v>
      </c>
      <c r="R226" s="22">
        <f t="shared" si="247"/>
        <v>2.3308205759832747E-2</v>
      </c>
      <c r="S226" s="22">
        <f t="shared" si="247"/>
        <v>2.6739624752060657E-2</v>
      </c>
      <c r="T226" s="22">
        <f t="shared" si="247"/>
        <v>3.0575998557443973E-2</v>
      </c>
      <c r="U226" s="22">
        <f t="shared" si="247"/>
        <v>2.5213976595139916E-2</v>
      </c>
      <c r="V226" s="22">
        <f t="shared" si="247"/>
        <v>2.6664555298489889E-2</v>
      </c>
      <c r="W226" s="22">
        <f t="shared" si="247"/>
        <v>2.4712367472806893E-2</v>
      </c>
      <c r="X226" s="22">
        <f t="shared" si="247"/>
        <v>1.8788948248302999E-2</v>
      </c>
      <c r="Y226" s="383">
        <f t="shared" si="247"/>
        <v>1.0547926784169773E-3</v>
      </c>
    </row>
    <row r="227" spans="1:30" x14ac:dyDescent="0.35">
      <c r="A227" s="124" t="s">
        <v>13</v>
      </c>
      <c r="B227" s="22">
        <f t="shared" ref="B227:Y227" si="248">B179/$Z$179</f>
        <v>0.69983628298055001</v>
      </c>
      <c r="C227" s="22">
        <f t="shared" si="248"/>
        <v>7.8330600888316476E-2</v>
      </c>
      <c r="D227" s="22">
        <f t="shared" si="248"/>
        <v>4.5472356215895187E-3</v>
      </c>
      <c r="E227" s="22">
        <f t="shared" si="248"/>
        <v>5.035768310099515E-3</v>
      </c>
      <c r="F227" s="22">
        <f t="shared" si="248"/>
        <v>3.136301768502115E-3</v>
      </c>
      <c r="G227" s="22">
        <f t="shared" si="248"/>
        <v>7.9265404857397654E-3</v>
      </c>
      <c r="H227" s="22">
        <f t="shared" si="248"/>
        <v>1.0851305532982969E-2</v>
      </c>
      <c r="I227" s="22">
        <f t="shared" si="248"/>
        <v>5.2162980200989783E-3</v>
      </c>
      <c r="J227" s="22">
        <f t="shared" si="248"/>
        <v>4.8575354157489011E-3</v>
      </c>
      <c r="K227" s="22">
        <f t="shared" si="248"/>
        <v>5.2100966178470886E-3</v>
      </c>
      <c r="L227" s="22">
        <f t="shared" si="248"/>
        <v>7.0707469749789545E-3</v>
      </c>
      <c r="M227" s="22">
        <f t="shared" si="248"/>
        <v>1.3493562255417852E-2</v>
      </c>
      <c r="N227" s="22">
        <f t="shared" si="248"/>
        <v>6.1807309110503061E-3</v>
      </c>
      <c r="O227" s="22">
        <f t="shared" si="248"/>
        <v>7.1472309360855971E-3</v>
      </c>
      <c r="P227" s="22">
        <f t="shared" si="248"/>
        <v>5.5968803731131127E-3</v>
      </c>
      <c r="Q227" s="22">
        <f t="shared" si="248"/>
        <v>1.2702538945954557E-2</v>
      </c>
      <c r="R227" s="22">
        <f t="shared" si="248"/>
        <v>2.5617992702557341E-2</v>
      </c>
      <c r="S227" s="22">
        <f t="shared" si="248"/>
        <v>2.3872642490997645E-2</v>
      </c>
      <c r="T227" s="22">
        <f t="shared" si="248"/>
        <v>2.0681676510052947E-2</v>
      </c>
      <c r="U227" s="22">
        <f t="shared" si="248"/>
        <v>1.7096117600636136E-2</v>
      </c>
      <c r="V227" s="22">
        <f t="shared" si="248"/>
        <v>1.4727870985108835E-2</v>
      </c>
      <c r="W227" s="22">
        <f t="shared" si="248"/>
        <v>1.1611321831186813E-2</v>
      </c>
      <c r="X227" s="22">
        <f t="shared" si="248"/>
        <v>6.6993518845602142E-3</v>
      </c>
      <c r="Y227" s="383">
        <f t="shared" si="248"/>
        <v>2.5533699568244606E-3</v>
      </c>
    </row>
    <row r="228" spans="1:30" x14ac:dyDescent="0.35">
      <c r="A228" s="124" t="s">
        <v>14</v>
      </c>
      <c r="B228" s="22">
        <f t="shared" ref="B228:Y228" si="249">B183/$Z$183</f>
        <v>0.84363818176142158</v>
      </c>
      <c r="C228" s="22">
        <f t="shared" si="249"/>
        <v>3.6790229046367667E-2</v>
      </c>
      <c r="D228" s="22">
        <f t="shared" si="249"/>
        <v>2.4176648598185453E-3</v>
      </c>
      <c r="E228" s="22">
        <f t="shared" si="249"/>
        <v>3.3794782422550676E-3</v>
      </c>
      <c r="F228" s="22">
        <f t="shared" si="249"/>
        <v>1.6639718383420115E-3</v>
      </c>
      <c r="G228" s="22">
        <f t="shared" si="249"/>
        <v>2.5073548248989211E-3</v>
      </c>
      <c r="H228" s="22">
        <f t="shared" si="249"/>
        <v>5.0731815607342207E-3</v>
      </c>
      <c r="I228" s="22">
        <f t="shared" si="249"/>
        <v>4.5533761830031999E-3</v>
      </c>
      <c r="J228" s="22">
        <f t="shared" si="249"/>
        <v>2.636191238826534E-3</v>
      </c>
      <c r="K228" s="22">
        <f t="shared" si="249"/>
        <v>3.4671861086596352E-3</v>
      </c>
      <c r="L228" s="22">
        <f t="shared" si="249"/>
        <v>1.6669449863557257E-3</v>
      </c>
      <c r="M228" s="22">
        <f t="shared" si="249"/>
        <v>4.2421866909011204E-3</v>
      </c>
      <c r="N228" s="22">
        <f t="shared" si="249"/>
        <v>2.578710377228061E-3</v>
      </c>
      <c r="O228" s="22">
        <f t="shared" si="249"/>
        <v>3.1138770196966056E-3</v>
      </c>
      <c r="P228" s="22">
        <f t="shared" si="249"/>
        <v>4.2377269688805485E-3</v>
      </c>
      <c r="Q228" s="22">
        <f t="shared" si="249"/>
        <v>5.4086517616149668E-3</v>
      </c>
      <c r="R228" s="22">
        <f t="shared" si="249"/>
        <v>1.1281610138038292E-2</v>
      </c>
      <c r="S228" s="22">
        <f t="shared" si="249"/>
        <v>1.084455738002231E-2</v>
      </c>
      <c r="T228" s="22">
        <f t="shared" si="249"/>
        <v>1.1887636808167021E-2</v>
      </c>
      <c r="U228" s="22">
        <f t="shared" si="249"/>
        <v>1.2438660240042041E-2</v>
      </c>
      <c r="V228" s="22">
        <f t="shared" si="249"/>
        <v>9.2866278208361044E-3</v>
      </c>
      <c r="W228" s="22">
        <f t="shared" si="249"/>
        <v>1.0438722676150333E-2</v>
      </c>
      <c r="X228" s="22">
        <f t="shared" si="249"/>
        <v>6.4150623642572017E-3</v>
      </c>
      <c r="Y228" s="385">
        <f t="shared" si="249"/>
        <v>3.2209103481903144E-5</v>
      </c>
    </row>
    <row r="229" spans="1:30" x14ac:dyDescent="0.35">
      <c r="A229" s="124" t="s">
        <v>15</v>
      </c>
      <c r="B229" s="22">
        <f t="shared" ref="B229:Y229" si="250">B188/$Z$188</f>
        <v>0.2435406218801725</v>
      </c>
      <c r="C229" s="22">
        <f t="shared" si="250"/>
        <v>2.458466482304689E-2</v>
      </c>
      <c r="D229" s="22">
        <f t="shared" si="250"/>
        <v>4.9840705632631403E-3</v>
      </c>
      <c r="E229" s="22">
        <f t="shared" si="250"/>
        <v>3.9629590339548661E-3</v>
      </c>
      <c r="F229" s="22">
        <f t="shared" si="250"/>
        <v>5.8152979751668393E-3</v>
      </c>
      <c r="G229" s="22">
        <f t="shared" si="250"/>
        <v>8.9810343549777006E-3</v>
      </c>
      <c r="H229" s="22">
        <f t="shared" si="250"/>
        <v>1.3416378570802317E-2</v>
      </c>
      <c r="I229" s="22">
        <f t="shared" si="250"/>
        <v>1.0853233624795769E-2</v>
      </c>
      <c r="J229" s="22">
        <f t="shared" si="250"/>
        <v>2.3058810308188713E-2</v>
      </c>
      <c r="K229" s="22">
        <f t="shared" si="250"/>
        <v>1.0154828215423534E-2</v>
      </c>
      <c r="L229" s="22">
        <f t="shared" si="250"/>
        <v>1.4655081797911957E-2</v>
      </c>
      <c r="M229" s="22">
        <f t="shared" si="250"/>
        <v>1.6167470041178703E-2</v>
      </c>
      <c r="N229" s="22">
        <f t="shared" si="250"/>
        <v>1.048325023481206E-2</v>
      </c>
      <c r="O229" s="22">
        <f t="shared" si="250"/>
        <v>1.887593446479079E-2</v>
      </c>
      <c r="P229" s="22">
        <f t="shared" si="250"/>
        <v>1.9682941963760234E-2</v>
      </c>
      <c r="Q229" s="22">
        <f t="shared" si="250"/>
        <v>3.4874155754384899E-2</v>
      </c>
      <c r="R229" s="22">
        <f t="shared" si="250"/>
        <v>8.7521271138534501E-2</v>
      </c>
      <c r="S229" s="22">
        <f t="shared" si="250"/>
        <v>0.12049367932932159</v>
      </c>
      <c r="T229" s="22">
        <f t="shared" si="250"/>
        <v>9.8617769568841954E-2</v>
      </c>
      <c r="U229" s="22">
        <f t="shared" si="250"/>
        <v>6.1371806180631143E-2</v>
      </c>
      <c r="V229" s="22">
        <f t="shared" si="250"/>
        <v>6.4501987728254537E-2</v>
      </c>
      <c r="W229" s="22">
        <f t="shared" si="250"/>
        <v>5.8071116445950609E-2</v>
      </c>
      <c r="X229" s="22">
        <f t="shared" si="250"/>
        <v>4.4581109339828152E-2</v>
      </c>
      <c r="Y229" s="383">
        <f t="shared" si="250"/>
        <v>7.5052666200675546E-4</v>
      </c>
    </row>
    <row r="230" spans="1:30" x14ac:dyDescent="0.35">
      <c r="A230" s="124" t="s">
        <v>16</v>
      </c>
      <c r="B230" s="22">
        <f t="shared" ref="B230:Y230" si="251">B194/$Z$194</f>
        <v>0.32030955251074322</v>
      </c>
      <c r="C230" s="22">
        <f t="shared" si="251"/>
        <v>5.1507734211809743E-2</v>
      </c>
      <c r="D230" s="22">
        <f t="shared" si="251"/>
        <v>9.7080231520248834E-4</v>
      </c>
      <c r="E230" s="22">
        <f t="shared" si="251"/>
        <v>1.1088310803971547E-3</v>
      </c>
      <c r="F230" s="22">
        <f t="shared" si="251"/>
        <v>1.1566810523313058E-2</v>
      </c>
      <c r="G230" s="22">
        <f t="shared" si="251"/>
        <v>4.6699732224195524E-3</v>
      </c>
      <c r="H230" s="22">
        <f t="shared" si="251"/>
        <v>1.073863793214506E-2</v>
      </c>
      <c r="I230" s="22">
        <f t="shared" si="251"/>
        <v>2.4799168146641764E-3</v>
      </c>
      <c r="J230" s="22">
        <f t="shared" si="251"/>
        <v>1.5919317585784878E-3</v>
      </c>
      <c r="K230" s="22">
        <f t="shared" si="251"/>
        <v>1.8909940831669321E-3</v>
      </c>
      <c r="L230" s="22">
        <f t="shared" si="251"/>
        <v>5.3325112953539512E-3</v>
      </c>
      <c r="M230" s="22">
        <f t="shared" si="251"/>
        <v>1.0103705612249592E-2</v>
      </c>
      <c r="N230" s="22">
        <f t="shared" si="251"/>
        <v>7.3523322260359058E-3</v>
      </c>
      <c r="O230" s="22">
        <f t="shared" si="251"/>
        <v>6.4551452522705723E-3</v>
      </c>
      <c r="P230" s="22">
        <f t="shared" si="251"/>
        <v>8.1252933111260403E-3</v>
      </c>
      <c r="Q230" s="22">
        <f t="shared" si="251"/>
        <v>1.0292344924682307E-2</v>
      </c>
      <c r="R230" s="22">
        <f t="shared" si="251"/>
        <v>5.8215932200270534E-2</v>
      </c>
      <c r="S230" s="22">
        <f t="shared" si="251"/>
        <v>5.1862008042476052E-2</v>
      </c>
      <c r="T230" s="22">
        <f t="shared" si="251"/>
        <v>8.5513420996935763E-2</v>
      </c>
      <c r="U230" s="22">
        <f t="shared" si="251"/>
        <v>9.4871771277134143E-2</v>
      </c>
      <c r="V230" s="22">
        <f t="shared" si="251"/>
        <v>8.8195780000552115E-2</v>
      </c>
      <c r="W230" s="22">
        <f t="shared" si="251"/>
        <v>0.10206306994377627</v>
      </c>
      <c r="X230" s="22">
        <f t="shared" si="251"/>
        <v>6.2025526119643348E-2</v>
      </c>
      <c r="Y230" s="383">
        <f t="shared" si="251"/>
        <v>2.7559743450535092E-3</v>
      </c>
    </row>
    <row r="231" spans="1:30" x14ac:dyDescent="0.35">
      <c r="A231" s="124" t="s">
        <v>18</v>
      </c>
      <c r="B231" s="22">
        <f t="shared" ref="B231:Y231" si="252">B204/$Z$204</f>
        <v>0.72537401169796922</v>
      </c>
      <c r="C231" s="22">
        <f t="shared" si="252"/>
        <v>6.7325044822620028E-2</v>
      </c>
      <c r="D231" s="22">
        <f t="shared" si="252"/>
        <v>5.6314845839579124E-3</v>
      </c>
      <c r="E231" s="22">
        <f t="shared" si="252"/>
        <v>8.3296593480880581E-3</v>
      </c>
      <c r="F231" s="22">
        <f t="shared" si="252"/>
        <v>1.1374658319372193E-2</v>
      </c>
      <c r="G231" s="22">
        <f t="shared" si="252"/>
        <v>1.1656820386209328E-2</v>
      </c>
      <c r="H231" s="22">
        <f t="shared" si="252"/>
        <v>3.8562149134409086E-3</v>
      </c>
      <c r="I231" s="22">
        <f t="shared" si="252"/>
        <v>5.6432413367427927E-4</v>
      </c>
      <c r="J231" s="22">
        <f t="shared" si="252"/>
        <v>2.01040472621462E-3</v>
      </c>
      <c r="K231" s="22">
        <f t="shared" si="252"/>
        <v>7.5243217823237236E-4</v>
      </c>
      <c r="L231" s="22">
        <f t="shared" si="252"/>
        <v>7.8299973547306251E-3</v>
      </c>
      <c r="M231" s="22">
        <f t="shared" si="252"/>
        <v>6.266349234341476E-3</v>
      </c>
      <c r="N231" s="22">
        <f t="shared" si="252"/>
        <v>2.2572965346971175E-3</v>
      </c>
      <c r="O231" s="22">
        <f t="shared" si="252"/>
        <v>4.6556741028128037E-3</v>
      </c>
      <c r="P231" s="22">
        <f t="shared" si="252"/>
        <v>4.7027011139523278E-4</v>
      </c>
      <c r="Q231" s="22">
        <f t="shared" si="252"/>
        <v>3.891485171795551E-3</v>
      </c>
      <c r="R231" s="22">
        <f t="shared" si="252"/>
        <v>6.6190518178879006E-3</v>
      </c>
      <c r="S231" s="22">
        <f t="shared" si="252"/>
        <v>2.7981071628016347E-2</v>
      </c>
      <c r="T231" s="22">
        <f t="shared" si="252"/>
        <v>2.4142491843752757E-2</v>
      </c>
      <c r="U231" s="22">
        <f t="shared" si="252"/>
        <v>2.5165329336037393E-2</v>
      </c>
      <c r="V231" s="22">
        <f t="shared" si="252"/>
        <v>2.3025600329189082E-2</v>
      </c>
      <c r="W231" s="22">
        <f t="shared" si="252"/>
        <v>2.1126884754430832E-2</v>
      </c>
      <c r="X231" s="22">
        <f t="shared" si="252"/>
        <v>6.6014166887105787E-3</v>
      </c>
      <c r="Y231" s="383">
        <f t="shared" si="252"/>
        <v>3.092025982423655E-3</v>
      </c>
    </row>
    <row r="232" spans="1:30" x14ac:dyDescent="0.35">
      <c r="A232" s="124" t="s">
        <v>17</v>
      </c>
      <c r="B232" s="22">
        <f t="shared" ref="B232:Y232" si="253">B206/$Z$206</f>
        <v>0.18534243443613438</v>
      </c>
      <c r="C232" s="22">
        <f t="shared" si="253"/>
        <v>2.2188020510140762E-2</v>
      </c>
      <c r="D232" s="22">
        <f t="shared" si="253"/>
        <v>3.5721284169959824E-3</v>
      </c>
      <c r="E232" s="22">
        <f t="shared" si="253"/>
        <v>1.8779189392207456E-3</v>
      </c>
      <c r="F232" s="22">
        <f t="shared" si="253"/>
        <v>2.4617067833698036E-3</v>
      </c>
      <c r="G232" s="22">
        <f t="shared" si="253"/>
        <v>1.390068258271008E-3</v>
      </c>
      <c r="H232" s="22">
        <f t="shared" si="253"/>
        <v>5.1846892452398832E-3</v>
      </c>
      <c r="I232" s="22">
        <f t="shared" si="253"/>
        <v>2.8821973284561871E-3</v>
      </c>
      <c r="J232" s="22">
        <f t="shared" si="253"/>
        <v>3.0487605735001141E-2</v>
      </c>
      <c r="K232" s="22">
        <f t="shared" si="253"/>
        <v>4.9009601881184889E-3</v>
      </c>
      <c r="L232" s="22">
        <f t="shared" si="253"/>
        <v>1.0593912276690941E-2</v>
      </c>
      <c r="M232" s="22">
        <f t="shared" si="253"/>
        <v>1.7595283974003069E-2</v>
      </c>
      <c r="N232" s="22">
        <f t="shared" si="253"/>
        <v>1.1981939318723669E-2</v>
      </c>
      <c r="O232" s="22">
        <f t="shared" si="253"/>
        <v>9.6835298344165391E-3</v>
      </c>
      <c r="P232" s="22">
        <f t="shared" si="253"/>
        <v>8.6159737417943107E-3</v>
      </c>
      <c r="Q232" s="22">
        <f t="shared" si="253"/>
        <v>1.9797756295110876E-2</v>
      </c>
      <c r="R232" s="22">
        <f t="shared" si="253"/>
        <v>8.6641464450178007E-2</v>
      </c>
      <c r="S232" s="22">
        <f t="shared" si="253"/>
        <v>0.13375681766223585</v>
      </c>
      <c r="T232" s="22">
        <f t="shared" si="253"/>
        <v>6.0687399980404351E-2</v>
      </c>
      <c r="U232" s="22">
        <f t="shared" si="253"/>
        <v>0.1300887520820406</v>
      </c>
      <c r="V232" s="22">
        <f t="shared" si="253"/>
        <v>7.7811163003363923E-2</v>
      </c>
      <c r="W232" s="22">
        <f t="shared" si="253"/>
        <v>0.10434697410104837</v>
      </c>
      <c r="X232" s="22">
        <f t="shared" si="253"/>
        <v>6.7211127077958135E-2</v>
      </c>
      <c r="Y232" s="383">
        <f t="shared" si="253"/>
        <v>9.0017636108298776E-4</v>
      </c>
    </row>
    <row r="233" spans="1:30" x14ac:dyDescent="0.35">
      <c r="A233" s="124" t="s">
        <v>20</v>
      </c>
      <c r="B233" s="22">
        <f t="shared" ref="B233:Y233" si="254">B209/$Z$209</f>
        <v>0.6207844518638771</v>
      </c>
      <c r="C233" s="22">
        <f t="shared" si="254"/>
        <v>3.3406591723588695E-2</v>
      </c>
      <c r="D233" s="22">
        <f t="shared" si="254"/>
        <v>2.3432474653107488E-3</v>
      </c>
      <c r="E233" s="22">
        <f t="shared" si="254"/>
        <v>2.9271449137746202E-3</v>
      </c>
      <c r="F233" s="22">
        <f t="shared" si="254"/>
        <v>2.3317609581278527E-3</v>
      </c>
      <c r="G233" s="22">
        <f t="shared" si="254"/>
        <v>1.1831102398382705E-2</v>
      </c>
      <c r="H233" s="22">
        <f t="shared" si="254"/>
        <v>7.808910466505347E-3</v>
      </c>
      <c r="I233" s="22">
        <f t="shared" si="254"/>
        <v>6.0648757925689965E-3</v>
      </c>
      <c r="J233" s="22">
        <f t="shared" si="254"/>
        <v>7.7495635127270545E-3</v>
      </c>
      <c r="K233" s="22">
        <f t="shared" si="254"/>
        <v>6.3367231292308654E-3</v>
      </c>
      <c r="L233" s="22">
        <f t="shared" si="254"/>
        <v>1.381826814102368E-2</v>
      </c>
      <c r="M233" s="22">
        <f t="shared" si="254"/>
        <v>1.2723221122920944E-2</v>
      </c>
      <c r="N233" s="22">
        <f t="shared" si="254"/>
        <v>1.1783241951787303E-2</v>
      </c>
      <c r="O233" s="22">
        <f t="shared" si="254"/>
        <v>8.8312096057830778E-3</v>
      </c>
      <c r="P233" s="22">
        <f t="shared" si="254"/>
        <v>9.0073360492541454E-3</v>
      </c>
      <c r="Q233" s="22">
        <f t="shared" si="254"/>
        <v>2.0011409930468349E-2</v>
      </c>
      <c r="R233" s="22">
        <f t="shared" si="254"/>
        <v>3.0270775262658142E-2</v>
      </c>
      <c r="S233" s="22">
        <f t="shared" si="254"/>
        <v>2.6930116090299265E-2</v>
      </c>
      <c r="T233" s="22">
        <f t="shared" si="254"/>
        <v>3.8154348025852311E-2</v>
      </c>
      <c r="U233" s="22">
        <f t="shared" si="254"/>
        <v>3.2045440622415544E-2</v>
      </c>
      <c r="V233" s="22">
        <f t="shared" si="254"/>
        <v>2.9549039727999517E-2</v>
      </c>
      <c r="W233" s="22">
        <f t="shared" si="254"/>
        <v>3.3052424418782742E-2</v>
      </c>
      <c r="X233" s="22">
        <f t="shared" si="254"/>
        <v>2.9681134560602822E-2</v>
      </c>
      <c r="Y233" s="383">
        <f t="shared" si="254"/>
        <v>2.5576622660581378E-3</v>
      </c>
    </row>
    <row r="234" spans="1:30" x14ac:dyDescent="0.35">
      <c r="A234" s="124" t="s">
        <v>21</v>
      </c>
      <c r="B234" s="22">
        <f t="shared" ref="B234:Y234" si="255">B211/$Z$211</f>
        <v>0.10628919103495375</v>
      </c>
      <c r="C234" s="22">
        <f t="shared" si="255"/>
        <v>8.8346681567020552E-2</v>
      </c>
      <c r="D234" s="22">
        <f t="shared" si="255"/>
        <v>5.8980567455143727E-4</v>
      </c>
      <c r="E234" s="22">
        <f t="shared" si="255"/>
        <v>0</v>
      </c>
      <c r="F234" s="22">
        <f t="shared" si="255"/>
        <v>0</v>
      </c>
      <c r="G234" s="22">
        <f t="shared" si="255"/>
        <v>2.3281802942819894E-3</v>
      </c>
      <c r="H234" s="22">
        <f t="shared" si="255"/>
        <v>3.1663252002235055E-3</v>
      </c>
      <c r="I234" s="22">
        <f t="shared" si="255"/>
        <v>0</v>
      </c>
      <c r="J234" s="22">
        <f t="shared" si="255"/>
        <v>0</v>
      </c>
      <c r="K234" s="22">
        <f t="shared" si="255"/>
        <v>3.663003663003663E-3</v>
      </c>
      <c r="L234" s="22">
        <f t="shared" si="255"/>
        <v>0</v>
      </c>
      <c r="M234" s="22">
        <f t="shared" si="255"/>
        <v>2.7596697088222516E-2</v>
      </c>
      <c r="N234" s="22">
        <f t="shared" si="255"/>
        <v>0</v>
      </c>
      <c r="O234" s="22">
        <f t="shared" si="255"/>
        <v>5.5876327062767738E-4</v>
      </c>
      <c r="P234" s="22">
        <f t="shared" si="255"/>
        <v>0</v>
      </c>
      <c r="Q234" s="22">
        <f t="shared" si="255"/>
        <v>3.1135531135531136E-2</v>
      </c>
      <c r="R234" s="22">
        <f t="shared" si="255"/>
        <v>3.2377227292481534E-2</v>
      </c>
      <c r="S234" s="22">
        <f t="shared" si="255"/>
        <v>0.11141118768237412</v>
      </c>
      <c r="T234" s="22">
        <f t="shared" si="255"/>
        <v>5.6466132737319173E-2</v>
      </c>
      <c r="U234" s="22">
        <f t="shared" si="255"/>
        <v>8.5118271558949521E-2</v>
      </c>
      <c r="V234" s="22">
        <f t="shared" si="255"/>
        <v>0.35484571925249891</v>
      </c>
      <c r="W234" s="22">
        <f t="shared" si="255"/>
        <v>5.2678959458620486E-2</v>
      </c>
      <c r="X234" s="22">
        <f t="shared" si="255"/>
        <v>4.29937294344074E-2</v>
      </c>
      <c r="Y234" s="384">
        <f t="shared" si="255"/>
        <v>4.3459365493263795E-4</v>
      </c>
    </row>
    <row r="235" spans="1:30" x14ac:dyDescent="0.35">
      <c r="A235" s="124" t="s">
        <v>22</v>
      </c>
      <c r="B235" s="22">
        <f t="shared" ref="B235:Y235" si="256">B213/$Z$213</f>
        <v>0.53539861245387543</v>
      </c>
      <c r="C235" s="22">
        <f t="shared" si="256"/>
        <v>7.2938727240506276E-2</v>
      </c>
      <c r="D235" s="22">
        <f t="shared" si="256"/>
        <v>1.0420632817887205E-2</v>
      </c>
      <c r="E235" s="22">
        <f t="shared" si="256"/>
        <v>1.168833903289369E-2</v>
      </c>
      <c r="F235" s="22">
        <f t="shared" si="256"/>
        <v>8.3464636699086062E-3</v>
      </c>
      <c r="G235" s="22">
        <f t="shared" si="256"/>
        <v>1.7374593588301662E-2</v>
      </c>
      <c r="H235" s="22">
        <f t="shared" si="256"/>
        <v>1.9184255176540158E-2</v>
      </c>
      <c r="I235" s="22">
        <f t="shared" si="256"/>
        <v>5.8463627797946055E-3</v>
      </c>
      <c r="J235" s="22">
        <f t="shared" si="256"/>
        <v>1.5576556295806307E-2</v>
      </c>
      <c r="K235" s="22">
        <f t="shared" si="256"/>
        <v>9.1329679064160868E-3</v>
      </c>
      <c r="L235" s="22">
        <f t="shared" si="256"/>
        <v>1.1049002767021041E-2</v>
      </c>
      <c r="M235" s="22">
        <f t="shared" si="256"/>
        <v>1.6748855555185148E-2</v>
      </c>
      <c r="N235" s="22">
        <f t="shared" si="256"/>
        <v>6.4968846887408418E-3</v>
      </c>
      <c r="O235" s="22">
        <f t="shared" si="256"/>
        <v>9.4400247751027806E-3</v>
      </c>
      <c r="P235" s="22">
        <f t="shared" si="256"/>
        <v>1.0636888583976547E-2</v>
      </c>
      <c r="Q235" s="22">
        <f t="shared" si="256"/>
        <v>2.4336450106768059E-2</v>
      </c>
      <c r="R235" s="22">
        <f t="shared" si="256"/>
        <v>3.0762273063041422E-2</v>
      </c>
      <c r="S235" s="22">
        <f t="shared" si="256"/>
        <v>4.0273359570611678E-2</v>
      </c>
      <c r="T235" s="22">
        <f t="shared" si="256"/>
        <v>4.2840354992832431E-2</v>
      </c>
      <c r="U235" s="22">
        <f t="shared" si="256"/>
        <v>3.2229127590024685E-2</v>
      </c>
      <c r="V235" s="22">
        <f t="shared" si="256"/>
        <v>3.2784900522347608E-2</v>
      </c>
      <c r="W235" s="22">
        <f t="shared" si="256"/>
        <v>2.3429974365138002E-2</v>
      </c>
      <c r="X235" s="22">
        <f t="shared" si="256"/>
        <v>1.1708517055693101E-2</v>
      </c>
      <c r="Y235" s="383">
        <f t="shared" si="256"/>
        <v>1.3558754015865187E-3</v>
      </c>
    </row>
    <row r="236" spans="1:30" x14ac:dyDescent="0.35">
      <c r="A236" s="124" t="s">
        <v>23</v>
      </c>
      <c r="B236" s="22">
        <f t="shared" ref="B236:Y236" si="257">B215/$Z$215</f>
        <v>0.59437424253981175</v>
      </c>
      <c r="C236" s="22">
        <f t="shared" si="257"/>
        <v>3.8603984982159945E-2</v>
      </c>
      <c r="D236" s="22">
        <f t="shared" si="257"/>
        <v>5.4240505792716503E-3</v>
      </c>
      <c r="E236" s="22">
        <f t="shared" si="257"/>
        <v>5.3392997889705309E-3</v>
      </c>
      <c r="F236" s="22">
        <f t="shared" si="257"/>
        <v>1.5678896205707116E-3</v>
      </c>
      <c r="G236" s="22">
        <f t="shared" si="257"/>
        <v>4.0849880925139621E-3</v>
      </c>
      <c r="H236" s="22">
        <f t="shared" si="257"/>
        <v>1.5729746679887788E-2</v>
      </c>
      <c r="I236" s="22">
        <f t="shared" si="257"/>
        <v>1.2382090462993564E-2</v>
      </c>
      <c r="J236" s="22">
        <f t="shared" si="257"/>
        <v>7.9496241302450133E-3</v>
      </c>
      <c r="K236" s="22">
        <f t="shared" si="257"/>
        <v>2.1162272338189549E-2</v>
      </c>
      <c r="L236" s="22">
        <f t="shared" si="257"/>
        <v>2.1204647733340111E-2</v>
      </c>
      <c r="M236" s="22">
        <f t="shared" si="257"/>
        <v>2.0950395362436747E-2</v>
      </c>
      <c r="N236" s="22">
        <f t="shared" si="257"/>
        <v>2.1187697575279886E-3</v>
      </c>
      <c r="O236" s="22">
        <f t="shared" si="257"/>
        <v>6.1698575339215016E-3</v>
      </c>
      <c r="P236" s="22">
        <f t="shared" si="257"/>
        <v>2.6442246573949294E-3</v>
      </c>
      <c r="Q236" s="22">
        <f t="shared" si="257"/>
        <v>9.7039654894781856E-3</v>
      </c>
      <c r="R236" s="22">
        <f t="shared" si="257"/>
        <v>1.6348427449085962E-2</v>
      </c>
      <c r="S236" s="22">
        <f t="shared" si="257"/>
        <v>2.77219835074962E-2</v>
      </c>
      <c r="T236" s="22">
        <f t="shared" si="257"/>
        <v>1.5034790199418604E-2</v>
      </c>
      <c r="U236" s="22">
        <f t="shared" si="257"/>
        <v>2.5704914698329553E-2</v>
      </c>
      <c r="V236" s="22">
        <f t="shared" si="257"/>
        <v>5.0316544201774664E-2</v>
      </c>
      <c r="W236" s="22">
        <f t="shared" si="257"/>
        <v>5.4638834507131764E-2</v>
      </c>
      <c r="X236" s="22">
        <f t="shared" si="257"/>
        <v>3.7629350893697081E-2</v>
      </c>
      <c r="Y236" s="383">
        <f t="shared" si="257"/>
        <v>3.1951047943522067E-3</v>
      </c>
    </row>
    <row r="237" spans="1:30" x14ac:dyDescent="0.35">
      <c r="A237" s="124" t="s">
        <v>25</v>
      </c>
      <c r="B237" s="22">
        <f t="shared" ref="B237:Y237" si="258">B219/$Z$219</f>
        <v>0.49270378487634736</v>
      </c>
      <c r="C237" s="22">
        <f t="shared" si="258"/>
        <v>5.1828498411557698E-2</v>
      </c>
      <c r="D237" s="22">
        <f t="shared" si="258"/>
        <v>5.9667647772043706E-3</v>
      </c>
      <c r="E237" s="22">
        <f t="shared" si="258"/>
        <v>7.4838091012786774E-3</v>
      </c>
      <c r="F237" s="22">
        <f t="shared" si="258"/>
        <v>6.0889457617457508E-3</v>
      </c>
      <c r="G237" s="22">
        <f t="shared" si="258"/>
        <v>1.1299886742805602E-2</v>
      </c>
      <c r="H237" s="22">
        <f t="shared" si="258"/>
        <v>1.4676655070854873E-2</v>
      </c>
      <c r="I237" s="22">
        <f t="shared" si="258"/>
        <v>8.6403210497835239E-3</v>
      </c>
      <c r="J237" s="22">
        <f t="shared" si="258"/>
        <v>1.4611024673883304E-2</v>
      </c>
      <c r="K237" s="22">
        <f t="shared" si="258"/>
        <v>8.5794479613999167E-3</v>
      </c>
      <c r="L237" s="22">
        <f t="shared" si="258"/>
        <v>1.1809737223410147E-2</v>
      </c>
      <c r="M237" s="22">
        <f t="shared" si="258"/>
        <v>1.3709949504238575E-2</v>
      </c>
      <c r="N237" s="22">
        <f t="shared" si="258"/>
        <v>6.8414189803363825E-3</v>
      </c>
      <c r="O237" s="22">
        <f t="shared" si="258"/>
        <v>1.12585288504038E-2</v>
      </c>
      <c r="P237" s="22">
        <f t="shared" si="258"/>
        <v>1.122532999799963E-2</v>
      </c>
      <c r="Q237" s="22">
        <f t="shared" si="258"/>
        <v>2.2877564499449173E-2</v>
      </c>
      <c r="R237" s="22">
        <f t="shared" si="258"/>
        <v>4.6200576775070133E-2</v>
      </c>
      <c r="S237" s="22">
        <f t="shared" si="258"/>
        <v>5.9217544994995513E-2</v>
      </c>
      <c r="T237" s="22">
        <f t="shared" si="258"/>
        <v>5.4046708636870743E-2</v>
      </c>
      <c r="U237" s="22">
        <f t="shared" si="258"/>
        <v>3.8144662950697128E-2</v>
      </c>
      <c r="V237" s="22">
        <f t="shared" si="258"/>
        <v>3.8244106046342284E-2</v>
      </c>
      <c r="W237" s="22">
        <f t="shared" si="258"/>
        <v>3.7436233201936987E-2</v>
      </c>
      <c r="X237" s="22">
        <f t="shared" si="258"/>
        <v>2.6046724903796871E-2</v>
      </c>
      <c r="Y237" s="383">
        <f t="shared" si="258"/>
        <v>1.0617750075918716E-3</v>
      </c>
    </row>
    <row r="239" spans="1:30" x14ac:dyDescent="0.35">
      <c r="AD239" s="141"/>
    </row>
    <row r="240" spans="1:30" ht="15" x14ac:dyDescent="0.35">
      <c r="A240" s="284" t="s">
        <v>60</v>
      </c>
      <c r="B240" s="284"/>
    </row>
    <row r="241" spans="1:34" ht="15.5" x14ac:dyDescent="0.35">
      <c r="A241" s="290" t="s">
        <v>109</v>
      </c>
      <c r="AB241" s="111"/>
    </row>
    <row r="243" spans="1:34" ht="70" customHeight="1" x14ac:dyDescent="0.35">
      <c r="A243" s="125" t="s">
        <v>88</v>
      </c>
      <c r="B243" s="198" t="s">
        <v>89</v>
      </c>
      <c r="C243" s="198">
        <v>2000</v>
      </c>
      <c r="D243" s="198">
        <v>2001</v>
      </c>
      <c r="E243" s="198">
        <v>2002</v>
      </c>
      <c r="F243" s="198">
        <v>2003</v>
      </c>
      <c r="G243" s="198">
        <v>2004</v>
      </c>
      <c r="H243" s="198">
        <v>2005</v>
      </c>
      <c r="I243" s="198">
        <v>2006</v>
      </c>
      <c r="J243" s="198">
        <v>2007</v>
      </c>
      <c r="K243" s="198">
        <v>2008</v>
      </c>
      <c r="L243" s="198">
        <v>2009</v>
      </c>
      <c r="M243" s="198">
        <v>2010</v>
      </c>
      <c r="N243" s="198">
        <v>2011</v>
      </c>
      <c r="O243" s="198">
        <v>2012</v>
      </c>
      <c r="P243" s="198">
        <v>2013</v>
      </c>
      <c r="Q243" s="198">
        <v>2014</v>
      </c>
      <c r="R243" s="198">
        <v>2015</v>
      </c>
      <c r="S243" s="198">
        <v>2016</v>
      </c>
      <c r="T243" s="198">
        <v>2017</v>
      </c>
      <c r="U243" s="198">
        <v>2018</v>
      </c>
      <c r="V243" s="198">
        <v>2019</v>
      </c>
      <c r="W243" s="198">
        <v>2020</v>
      </c>
      <c r="X243" s="198">
        <v>2021</v>
      </c>
      <c r="Y243" s="198" t="s">
        <v>90</v>
      </c>
      <c r="Z243" s="198" t="s">
        <v>91</v>
      </c>
      <c r="AA243" s="199" t="s">
        <v>92</v>
      </c>
      <c r="AC243" s="199" t="s">
        <v>110</v>
      </c>
      <c r="AD243" s="199" t="s">
        <v>108</v>
      </c>
      <c r="AE243" s="199" t="s">
        <v>94</v>
      </c>
      <c r="AF243" s="199" t="s">
        <v>95</v>
      </c>
      <c r="AG243" s="199" t="s">
        <v>96</v>
      </c>
      <c r="AH243" s="199" t="s">
        <v>97</v>
      </c>
    </row>
    <row r="244" spans="1:34" x14ac:dyDescent="0.35">
      <c r="A244" s="118" t="s">
        <v>5</v>
      </c>
      <c r="B244" s="119">
        <f>SUM(B245:B252)</f>
        <v>1334.4900000000005</v>
      </c>
      <c r="C244" s="119">
        <f t="shared" ref="C244:Y244" si="259">SUM(C245:C252)</f>
        <v>424.41</v>
      </c>
      <c r="D244" s="119">
        <f t="shared" si="259"/>
        <v>77.13000000000001</v>
      </c>
      <c r="E244" s="119">
        <f t="shared" si="259"/>
        <v>50.269999999999996</v>
      </c>
      <c r="F244" s="119">
        <f t="shared" si="259"/>
        <v>96.47</v>
      </c>
      <c r="G244" s="119">
        <f t="shared" si="259"/>
        <v>103.73999999999998</v>
      </c>
      <c r="H244" s="119">
        <f t="shared" si="259"/>
        <v>110.44999999999999</v>
      </c>
      <c r="I244" s="119">
        <f t="shared" si="259"/>
        <v>70.58</v>
      </c>
      <c r="J244" s="119">
        <f t="shared" si="259"/>
        <v>146.51999999999998</v>
      </c>
      <c r="K244" s="119">
        <f t="shared" si="259"/>
        <v>315.33000000000004</v>
      </c>
      <c r="L244" s="119">
        <f t="shared" si="259"/>
        <v>149.64000000000001</v>
      </c>
      <c r="M244" s="119">
        <f t="shared" si="259"/>
        <v>189.78</v>
      </c>
      <c r="N244" s="119">
        <f t="shared" si="259"/>
        <v>98.35</v>
      </c>
      <c r="O244" s="119">
        <f t="shared" si="259"/>
        <v>119.65000000000003</v>
      </c>
      <c r="P244" s="119">
        <f t="shared" si="259"/>
        <v>456.21</v>
      </c>
      <c r="Q244" s="119">
        <f t="shared" si="259"/>
        <v>738.73</v>
      </c>
      <c r="R244" s="119">
        <f t="shared" si="259"/>
        <v>1652.0099999999998</v>
      </c>
      <c r="S244" s="119">
        <f t="shared" si="259"/>
        <v>4466.57</v>
      </c>
      <c r="T244" s="119">
        <f t="shared" si="259"/>
        <v>4244.5199999999995</v>
      </c>
      <c r="U244" s="119">
        <f t="shared" si="259"/>
        <v>2168.4299999999998</v>
      </c>
      <c r="V244" s="119">
        <f t="shared" si="259"/>
        <v>2336.9499999999998</v>
      </c>
      <c r="W244" s="119">
        <f t="shared" si="259"/>
        <v>4780.3</v>
      </c>
      <c r="X244" s="119">
        <f t="shared" si="259"/>
        <v>3687.9199999999996</v>
      </c>
      <c r="Y244" s="119">
        <f t="shared" si="259"/>
        <v>11.410000000000004</v>
      </c>
      <c r="Z244" s="119">
        <f>SUM(B244:Y244)</f>
        <v>27829.859999999997</v>
      </c>
      <c r="AA244" s="144">
        <f t="shared" ref="AA244:AA275" si="260">Z244/$Z$294</f>
        <v>0.27750690056338273</v>
      </c>
      <c r="AB244" s="136"/>
      <c r="AC244" s="119">
        <v>17013.28</v>
      </c>
      <c r="AD244" s="119">
        <v>10805.17</v>
      </c>
      <c r="AE244" s="119">
        <v>11.410000000000004</v>
      </c>
      <c r="AF244" s="119">
        <v>26.041900000000002</v>
      </c>
      <c r="AG244" s="119">
        <v>27855.901899999997</v>
      </c>
      <c r="AH244" s="144">
        <v>0.38789517707197274</v>
      </c>
    </row>
    <row r="245" spans="1:34" ht="15.5" x14ac:dyDescent="0.35">
      <c r="A245" s="6" t="s">
        <v>6</v>
      </c>
      <c r="B245" s="12">
        <v>409.12000000000006</v>
      </c>
      <c r="C245" s="12">
        <v>50.39</v>
      </c>
      <c r="D245" s="12">
        <v>10.7</v>
      </c>
      <c r="E245" s="12">
        <v>12.589999999999998</v>
      </c>
      <c r="F245" s="12">
        <v>27.4</v>
      </c>
      <c r="G245" s="12">
        <v>9.6300000000000008</v>
      </c>
      <c r="H245" s="12">
        <v>11.830000000000002</v>
      </c>
      <c r="I245" s="12">
        <v>0.57000000000000006</v>
      </c>
      <c r="J245" s="12">
        <v>7.1400000000000006</v>
      </c>
      <c r="K245" s="12">
        <v>9.5</v>
      </c>
      <c r="L245" s="12">
        <v>20.18</v>
      </c>
      <c r="M245" s="12">
        <v>10.9</v>
      </c>
      <c r="N245" s="12">
        <v>2.91</v>
      </c>
      <c r="O245" s="12">
        <v>6.19</v>
      </c>
      <c r="P245" s="12">
        <v>5.52</v>
      </c>
      <c r="Q245" s="12">
        <v>13.84</v>
      </c>
      <c r="R245" s="12">
        <v>30.35</v>
      </c>
      <c r="S245" s="12">
        <v>29.46</v>
      </c>
      <c r="T245" s="12">
        <v>34.93</v>
      </c>
      <c r="U245" s="12">
        <v>26.200000000000003</v>
      </c>
      <c r="V245" s="12">
        <v>20.520000000000003</v>
      </c>
      <c r="W245" s="12">
        <v>75.529999999999987</v>
      </c>
      <c r="X245" s="12">
        <v>14.229999999999999</v>
      </c>
      <c r="Y245" s="12">
        <v>3.1600000000000006</v>
      </c>
      <c r="Z245" s="12">
        <f>SUM(B245:Y245)</f>
        <v>842.79000000000008</v>
      </c>
      <c r="AA245" s="150">
        <f t="shared" si="260"/>
        <v>8.403924443953846E-3</v>
      </c>
      <c r="AB245" s="112"/>
      <c r="AC245" s="89">
        <v>729.35000000000014</v>
      </c>
      <c r="AD245" s="89">
        <v>110.27999999999999</v>
      </c>
      <c r="AE245" s="89">
        <v>3.1600000000000006</v>
      </c>
      <c r="AF245" s="89">
        <v>1.68</v>
      </c>
      <c r="AG245" s="89">
        <v>844.47</v>
      </c>
      <c r="AH245" s="150">
        <v>0.13059078475256669</v>
      </c>
    </row>
    <row r="246" spans="1:34" x14ac:dyDescent="0.35">
      <c r="A246" s="6" t="s">
        <v>7</v>
      </c>
      <c r="B246" s="54">
        <v>0</v>
      </c>
      <c r="C246" s="12">
        <v>15.599999999999998</v>
      </c>
      <c r="D246" s="12">
        <v>0</v>
      </c>
      <c r="E246" s="12">
        <v>0</v>
      </c>
      <c r="F246" s="12">
        <v>0</v>
      </c>
      <c r="G246" s="12">
        <v>0</v>
      </c>
      <c r="H246" s="12">
        <v>0</v>
      </c>
      <c r="I246" s="12">
        <v>0</v>
      </c>
      <c r="J246" s="12">
        <v>8.49</v>
      </c>
      <c r="K246" s="12">
        <v>3.59</v>
      </c>
      <c r="L246" s="12">
        <v>0</v>
      </c>
      <c r="M246" s="12">
        <v>0</v>
      </c>
      <c r="N246" s="12">
        <v>0</v>
      </c>
      <c r="O246" s="12">
        <v>0</v>
      </c>
      <c r="P246" s="12">
        <v>4.5199999999999996</v>
      </c>
      <c r="Q246" s="12">
        <v>53.58</v>
      </c>
      <c r="R246" s="12">
        <v>21.669999999999998</v>
      </c>
      <c r="S246" s="12">
        <v>102.14999999999999</v>
      </c>
      <c r="T246" s="12">
        <v>61.730000000000004</v>
      </c>
      <c r="U246" s="54">
        <v>86.199999999999989</v>
      </c>
      <c r="V246" s="12">
        <v>178.74</v>
      </c>
      <c r="W246" s="12">
        <v>153.13999999999999</v>
      </c>
      <c r="X246" s="12">
        <v>115.25</v>
      </c>
      <c r="Y246" s="12">
        <v>0.05</v>
      </c>
      <c r="Z246" s="12">
        <f t="shared" ref="Z246:Z293" si="261">SUM(B246:Y246)</f>
        <v>804.70999999999992</v>
      </c>
      <c r="AA246" s="150">
        <f t="shared" si="260"/>
        <v>8.0242077377449868E-3</v>
      </c>
      <c r="AB246" s="113"/>
      <c r="AC246" s="89">
        <v>357.53</v>
      </c>
      <c r="AD246" s="89">
        <v>447.13</v>
      </c>
      <c r="AE246" s="89">
        <v>0.05</v>
      </c>
      <c r="AF246" s="89"/>
      <c r="AG246" s="89">
        <v>804.70999999999992</v>
      </c>
      <c r="AH246" s="150">
        <v>0.55564116265486951</v>
      </c>
    </row>
    <row r="247" spans="1:34" x14ac:dyDescent="0.35">
      <c r="A247" s="6" t="s">
        <v>8</v>
      </c>
      <c r="B247" s="12">
        <v>17.91</v>
      </c>
      <c r="C247" s="12">
        <v>6.1099999999999994</v>
      </c>
      <c r="D247" s="12">
        <v>0</v>
      </c>
      <c r="E247" s="12">
        <v>0</v>
      </c>
      <c r="F247" s="12">
        <v>0</v>
      </c>
      <c r="G247" s="12">
        <v>0</v>
      </c>
      <c r="H247" s="12">
        <v>6.39</v>
      </c>
      <c r="I247" s="12">
        <v>0</v>
      </c>
      <c r="J247" s="12">
        <v>0.39</v>
      </c>
      <c r="K247" s="12">
        <v>19.63</v>
      </c>
      <c r="L247" s="12">
        <v>16.25</v>
      </c>
      <c r="M247" s="12">
        <v>3.98</v>
      </c>
      <c r="N247" s="12">
        <v>1.6600000000000001</v>
      </c>
      <c r="O247" s="12">
        <v>6.92</v>
      </c>
      <c r="P247" s="12">
        <v>167.57999999999998</v>
      </c>
      <c r="Q247" s="12">
        <v>82.59</v>
      </c>
      <c r="R247" s="12">
        <v>304.03999999999996</v>
      </c>
      <c r="S247" s="12">
        <v>1402.1</v>
      </c>
      <c r="T247" s="12">
        <v>1191.53</v>
      </c>
      <c r="U247" s="12">
        <v>593.34999999999991</v>
      </c>
      <c r="V247" s="12">
        <v>939.09000000000015</v>
      </c>
      <c r="W247" s="12">
        <v>1809.7099999999998</v>
      </c>
      <c r="X247" s="12">
        <v>821.60000000000014</v>
      </c>
      <c r="Y247" s="12">
        <v>1.1000000000000001</v>
      </c>
      <c r="Z247" s="12">
        <f t="shared" si="261"/>
        <v>7391.9300000000012</v>
      </c>
      <c r="AA247" s="150">
        <f t="shared" si="260"/>
        <v>7.3709015549538737E-2</v>
      </c>
      <c r="AB247" s="136"/>
      <c r="AC247" s="89">
        <v>3820.43</v>
      </c>
      <c r="AD247" s="89">
        <v>3570.4000000000005</v>
      </c>
      <c r="AE247" s="89">
        <v>1.1000000000000001</v>
      </c>
      <c r="AF247" s="89">
        <v>4.2699999999999996</v>
      </c>
      <c r="AG247" s="89">
        <v>7396.2000000000007</v>
      </c>
      <c r="AH247" s="150">
        <v>0.48273437711257133</v>
      </c>
    </row>
    <row r="248" spans="1:34" x14ac:dyDescent="0.35">
      <c r="A248" s="6" t="s">
        <v>26</v>
      </c>
      <c r="B248" s="12">
        <v>819.74000000000035</v>
      </c>
      <c r="C248" s="12">
        <v>315.90000000000003</v>
      </c>
      <c r="D248" s="12">
        <v>56.45</v>
      </c>
      <c r="E248" s="12">
        <v>36.659999999999997</v>
      </c>
      <c r="F248" s="12">
        <v>65.070000000000007</v>
      </c>
      <c r="G248" s="12">
        <v>93.669999999999987</v>
      </c>
      <c r="H248" s="12">
        <v>92.059999999999988</v>
      </c>
      <c r="I248" s="12">
        <v>54.72999999999999</v>
      </c>
      <c r="J248" s="12">
        <v>84.509999999999991</v>
      </c>
      <c r="K248" s="12">
        <v>91.90000000000002</v>
      </c>
      <c r="L248" s="12">
        <v>62.330000000000013</v>
      </c>
      <c r="M248" s="12">
        <v>121.05</v>
      </c>
      <c r="N248" s="12">
        <v>52.8</v>
      </c>
      <c r="O248" s="12">
        <v>90.350000000000037</v>
      </c>
      <c r="P248" s="12">
        <v>115.25</v>
      </c>
      <c r="Q248" s="12">
        <v>267.36</v>
      </c>
      <c r="R248" s="12">
        <v>576.48</v>
      </c>
      <c r="S248" s="12">
        <v>530.12</v>
      </c>
      <c r="T248" s="12">
        <v>591.61999999999978</v>
      </c>
      <c r="U248" s="12">
        <v>280.82000000000005</v>
      </c>
      <c r="V248" s="12">
        <v>225.94</v>
      </c>
      <c r="W248" s="12">
        <v>147.90999999999997</v>
      </c>
      <c r="X248" s="12">
        <v>112.33999999999999</v>
      </c>
      <c r="Y248" s="12">
        <v>5.3600000000000012</v>
      </c>
      <c r="Z248" s="12">
        <f t="shared" si="261"/>
        <v>4890.4199999999992</v>
      </c>
      <c r="AA248" s="150">
        <f t="shared" si="260"/>
        <v>4.876507810866379E-2</v>
      </c>
      <c r="AB248" s="136"/>
      <c r="AC248" s="89">
        <v>4398.87</v>
      </c>
      <c r="AD248" s="89">
        <v>486.18999999999994</v>
      </c>
      <c r="AE248" s="89">
        <v>5.3600000000000012</v>
      </c>
      <c r="AF248" s="89">
        <v>7.48</v>
      </c>
      <c r="AG248" s="89">
        <v>4897.8999999999987</v>
      </c>
      <c r="AH248" s="150">
        <v>9.9264991118642704E-2</v>
      </c>
    </row>
    <row r="249" spans="1:34" x14ac:dyDescent="0.35">
      <c r="A249" s="6" t="s">
        <v>27</v>
      </c>
      <c r="B249" s="12">
        <v>1.79</v>
      </c>
      <c r="C249" s="12">
        <v>22.1</v>
      </c>
      <c r="D249" s="12">
        <v>0</v>
      </c>
      <c r="E249" s="12">
        <v>1.02</v>
      </c>
      <c r="F249" s="12">
        <v>0</v>
      </c>
      <c r="G249" s="12">
        <v>0.19</v>
      </c>
      <c r="H249" s="12">
        <v>0.17</v>
      </c>
      <c r="I249" s="12">
        <v>0</v>
      </c>
      <c r="J249" s="12">
        <v>0</v>
      </c>
      <c r="K249" s="12">
        <v>3.31</v>
      </c>
      <c r="L249" s="12">
        <v>17.93</v>
      </c>
      <c r="M249" s="12">
        <v>0.2</v>
      </c>
      <c r="N249" s="12">
        <v>24.92</v>
      </c>
      <c r="O249" s="12">
        <v>0</v>
      </c>
      <c r="P249" s="12">
        <v>24.24</v>
      </c>
      <c r="Q249" s="12">
        <v>82.92</v>
      </c>
      <c r="R249" s="12">
        <v>10.87</v>
      </c>
      <c r="S249" s="12">
        <v>145.79000000000002</v>
      </c>
      <c r="T249" s="12">
        <v>77.199999999999989</v>
      </c>
      <c r="U249" s="12">
        <v>27.64</v>
      </c>
      <c r="V249" s="12">
        <v>21.12</v>
      </c>
      <c r="W249" s="12">
        <v>196.29999999999998</v>
      </c>
      <c r="X249" s="12">
        <v>86.81</v>
      </c>
      <c r="Y249" s="12">
        <v>0</v>
      </c>
      <c r="Z249" s="12">
        <f t="shared" si="261"/>
        <v>744.52</v>
      </c>
      <c r="AA249" s="150">
        <f t="shared" si="260"/>
        <v>7.4240200133040453E-3</v>
      </c>
      <c r="AB249" s="136"/>
      <c r="AC249" s="89">
        <v>440.29</v>
      </c>
      <c r="AD249" s="89">
        <v>304.23</v>
      </c>
      <c r="AE249" s="89">
        <v>0</v>
      </c>
      <c r="AF249" s="89"/>
      <c r="AG249" s="89">
        <v>744.52</v>
      </c>
      <c r="AH249" s="150">
        <v>0.40862569172084029</v>
      </c>
    </row>
    <row r="250" spans="1:34" x14ac:dyDescent="0.35">
      <c r="A250" s="6" t="s">
        <v>28</v>
      </c>
      <c r="B250" s="12">
        <v>33.54</v>
      </c>
      <c r="C250" s="12">
        <v>1.84</v>
      </c>
      <c r="D250" s="12">
        <v>0</v>
      </c>
      <c r="E250" s="12">
        <v>0</v>
      </c>
      <c r="F250" s="12">
        <v>0</v>
      </c>
      <c r="G250" s="12">
        <v>0</v>
      </c>
      <c r="H250" s="12">
        <v>0</v>
      </c>
      <c r="I250" s="12">
        <v>10.69</v>
      </c>
      <c r="J250" s="12">
        <v>0.43</v>
      </c>
      <c r="K250" s="12">
        <v>6.67</v>
      </c>
      <c r="L250" s="12">
        <v>0.17</v>
      </c>
      <c r="M250" s="54">
        <v>12.77</v>
      </c>
      <c r="N250" s="12">
        <v>0</v>
      </c>
      <c r="O250" s="12">
        <v>1.3300000000000003</v>
      </c>
      <c r="P250" s="12">
        <v>0.37</v>
      </c>
      <c r="Q250" s="12">
        <v>16.559999999999999</v>
      </c>
      <c r="R250" s="12">
        <v>70.420000000000016</v>
      </c>
      <c r="S250" s="12">
        <v>273.88</v>
      </c>
      <c r="T250" s="12">
        <v>365.36</v>
      </c>
      <c r="U250" s="12">
        <v>50.949999999999996</v>
      </c>
      <c r="V250" s="12">
        <v>118.74</v>
      </c>
      <c r="W250" s="12">
        <v>293.73</v>
      </c>
      <c r="X250" s="12">
        <v>371.39</v>
      </c>
      <c r="Y250" s="12">
        <v>0.37000000000000011</v>
      </c>
      <c r="Z250" s="12">
        <f t="shared" si="261"/>
        <v>1629.21</v>
      </c>
      <c r="AA250" s="150">
        <f t="shared" si="260"/>
        <v>1.6245752492713539E-2</v>
      </c>
      <c r="AB250" s="136"/>
      <c r="AC250" s="89">
        <v>844.98</v>
      </c>
      <c r="AD250" s="89">
        <v>783.86</v>
      </c>
      <c r="AE250" s="89">
        <v>0.37000000000000011</v>
      </c>
      <c r="AF250" s="89">
        <v>6.91</v>
      </c>
      <c r="AG250" s="89">
        <v>1636.1200000000001</v>
      </c>
      <c r="AH250" s="150">
        <v>0.47909688775884407</v>
      </c>
    </row>
    <row r="251" spans="1:34" x14ac:dyDescent="0.35">
      <c r="A251" s="6" t="s">
        <v>29</v>
      </c>
      <c r="B251" s="12">
        <v>13.129999999999999</v>
      </c>
      <c r="C251" s="12">
        <v>0.06</v>
      </c>
      <c r="D251" s="12">
        <v>0</v>
      </c>
      <c r="E251" s="12">
        <v>0</v>
      </c>
      <c r="F251" s="12">
        <v>0</v>
      </c>
      <c r="G251" s="12">
        <v>0.25</v>
      </c>
      <c r="H251" s="12">
        <v>0</v>
      </c>
      <c r="I251" s="12">
        <v>0</v>
      </c>
      <c r="J251" s="12">
        <v>0</v>
      </c>
      <c r="K251" s="12">
        <v>28.4</v>
      </c>
      <c r="L251" s="12">
        <v>0</v>
      </c>
      <c r="M251" s="12">
        <v>0</v>
      </c>
      <c r="N251" s="12">
        <v>1.49</v>
      </c>
      <c r="O251" s="12">
        <v>0</v>
      </c>
      <c r="P251" s="12">
        <v>7.28</v>
      </c>
      <c r="Q251" s="12">
        <v>0</v>
      </c>
      <c r="R251" s="12">
        <v>10.81</v>
      </c>
      <c r="S251" s="12">
        <v>10.72</v>
      </c>
      <c r="T251" s="12">
        <v>52.640000000000008</v>
      </c>
      <c r="U251" s="12">
        <v>27.07</v>
      </c>
      <c r="V251" s="12">
        <v>26.360000000000003</v>
      </c>
      <c r="W251" s="12">
        <v>57.94</v>
      </c>
      <c r="X251" s="12">
        <v>125.47999999999999</v>
      </c>
      <c r="Y251" s="12">
        <v>0.14000000000000001</v>
      </c>
      <c r="Z251" s="12">
        <f t="shared" si="261"/>
        <v>361.77</v>
      </c>
      <c r="AA251" s="150">
        <f t="shared" si="260"/>
        <v>3.6074084245057278E-3</v>
      </c>
      <c r="AC251" s="89">
        <v>151.85</v>
      </c>
      <c r="AD251" s="89">
        <v>209.77999999999997</v>
      </c>
      <c r="AE251" s="89">
        <v>0.14000000000000001</v>
      </c>
      <c r="AF251" s="89">
        <v>3.3519000000000001</v>
      </c>
      <c r="AG251" s="89">
        <v>365.12189999999998</v>
      </c>
      <c r="AH251" s="150">
        <v>0.57454784278894244</v>
      </c>
    </row>
    <row r="252" spans="1:34" x14ac:dyDescent="0.35">
      <c r="A252" s="6" t="s">
        <v>30</v>
      </c>
      <c r="B252" s="12">
        <v>39.260000000000005</v>
      </c>
      <c r="C252" s="12">
        <v>12.41</v>
      </c>
      <c r="D252" s="12">
        <v>9.98</v>
      </c>
      <c r="E252" s="12">
        <v>0</v>
      </c>
      <c r="F252" s="12">
        <v>4</v>
      </c>
      <c r="G252" s="12">
        <v>0</v>
      </c>
      <c r="H252" s="12">
        <v>0</v>
      </c>
      <c r="I252" s="12">
        <v>4.59</v>
      </c>
      <c r="J252" s="12">
        <v>45.559999999999995</v>
      </c>
      <c r="K252" s="12">
        <v>152.32999999999998</v>
      </c>
      <c r="L252" s="12">
        <v>32.779999999999994</v>
      </c>
      <c r="M252" s="12">
        <v>40.879999999999995</v>
      </c>
      <c r="N252" s="12">
        <v>14.57</v>
      </c>
      <c r="O252" s="12">
        <v>14.86</v>
      </c>
      <c r="P252" s="12">
        <v>131.44999999999999</v>
      </c>
      <c r="Q252" s="12">
        <v>221.88</v>
      </c>
      <c r="R252" s="12">
        <v>627.36999999999989</v>
      </c>
      <c r="S252" s="12">
        <v>1972.3499999999997</v>
      </c>
      <c r="T252" s="12">
        <v>1869.5099999999998</v>
      </c>
      <c r="U252" s="12">
        <v>1076.2</v>
      </c>
      <c r="V252" s="12">
        <v>806.43999999999983</v>
      </c>
      <c r="W252" s="12">
        <v>2046.0400000000002</v>
      </c>
      <c r="X252" s="12">
        <v>2040.8199999999997</v>
      </c>
      <c r="Y252" s="12">
        <v>1.2300000000000002</v>
      </c>
      <c r="Z252" s="12">
        <f t="shared" si="261"/>
        <v>11164.509999999998</v>
      </c>
      <c r="AA252" s="150">
        <f t="shared" si="260"/>
        <v>0.11132749379295806</v>
      </c>
      <c r="AC252" s="89">
        <v>6269.9799999999987</v>
      </c>
      <c r="AD252" s="89">
        <v>4893.2999999999993</v>
      </c>
      <c r="AE252" s="89">
        <v>1.2300000000000002</v>
      </c>
      <c r="AF252" s="89">
        <v>2.35</v>
      </c>
      <c r="AG252" s="89">
        <v>11166.859999999999</v>
      </c>
      <c r="AH252" s="150">
        <v>0.43819838343097339</v>
      </c>
    </row>
    <row r="253" spans="1:34" x14ac:dyDescent="0.35">
      <c r="A253" s="118" t="s">
        <v>12</v>
      </c>
      <c r="B253" s="119">
        <f>SUM(B254:B256)</f>
        <v>2469.6299999999992</v>
      </c>
      <c r="C253" s="119">
        <f t="shared" ref="C253:Y253" si="262">SUM(C254:C256)</f>
        <v>686.94000000000017</v>
      </c>
      <c r="D253" s="119">
        <f t="shared" si="262"/>
        <v>175.69000000000003</v>
      </c>
      <c r="E253" s="119">
        <f t="shared" si="262"/>
        <v>131.54</v>
      </c>
      <c r="F253" s="119">
        <f t="shared" si="262"/>
        <v>191.40999999999997</v>
      </c>
      <c r="G253" s="119">
        <f t="shared" si="262"/>
        <v>124.26999999999998</v>
      </c>
      <c r="H253" s="119">
        <f t="shared" si="262"/>
        <v>396.53</v>
      </c>
      <c r="I253" s="119">
        <f t="shared" si="262"/>
        <v>273.83</v>
      </c>
      <c r="J253" s="119">
        <f t="shared" si="262"/>
        <v>371.48</v>
      </c>
      <c r="K253" s="119">
        <f t="shared" si="262"/>
        <v>450.48000000000008</v>
      </c>
      <c r="L253" s="119">
        <f t="shared" si="262"/>
        <v>325.79000000000002</v>
      </c>
      <c r="M253" s="119">
        <f t="shared" si="262"/>
        <v>449.49999999999989</v>
      </c>
      <c r="N253" s="119">
        <f t="shared" si="262"/>
        <v>270.20000000000005</v>
      </c>
      <c r="O253" s="119">
        <f t="shared" si="262"/>
        <v>417.25</v>
      </c>
      <c r="P253" s="119">
        <f t="shared" si="262"/>
        <v>365.49</v>
      </c>
      <c r="Q253" s="119">
        <f t="shared" si="262"/>
        <v>696.3</v>
      </c>
      <c r="R253" s="119">
        <f t="shared" si="262"/>
        <v>1199.94</v>
      </c>
      <c r="S253" s="119">
        <f t="shared" si="262"/>
        <v>1327.56</v>
      </c>
      <c r="T253" s="119">
        <f t="shared" si="262"/>
        <v>2630.82</v>
      </c>
      <c r="U253" s="119">
        <f t="shared" si="262"/>
        <v>1650.8</v>
      </c>
      <c r="V253" s="119">
        <f t="shared" si="262"/>
        <v>1504.6100000000001</v>
      </c>
      <c r="W253" s="119">
        <f t="shared" si="262"/>
        <v>2579.91</v>
      </c>
      <c r="X253" s="119">
        <f t="shared" si="262"/>
        <v>2158.12</v>
      </c>
      <c r="Y253" s="119">
        <f t="shared" si="262"/>
        <v>18.759999999999998</v>
      </c>
      <c r="Z253" s="119">
        <f>SUM(B253:Y253)</f>
        <v>20866.849999999999</v>
      </c>
      <c r="AA253" s="144">
        <f t="shared" si="260"/>
        <v>0.20807488316581624</v>
      </c>
      <c r="AC253" s="119">
        <v>14605.449999999999</v>
      </c>
      <c r="AD253" s="119">
        <v>6242.6399999999994</v>
      </c>
      <c r="AE253" s="119">
        <v>18.759999999999998</v>
      </c>
      <c r="AF253" s="119"/>
      <c r="AG253" s="119">
        <v>20866.849999999995</v>
      </c>
      <c r="AH253" s="144">
        <v>0.29916542266801177</v>
      </c>
    </row>
    <row r="254" spans="1:34" x14ac:dyDescent="0.35">
      <c r="A254" s="6" t="s">
        <v>31</v>
      </c>
      <c r="B254" s="12">
        <v>302.92</v>
      </c>
      <c r="C254" s="12">
        <v>40.410000000000004</v>
      </c>
      <c r="D254" s="12">
        <v>2.09</v>
      </c>
      <c r="E254" s="12">
        <v>17.060000000000002</v>
      </c>
      <c r="F254" s="54">
        <v>28.78</v>
      </c>
      <c r="G254" s="12">
        <v>19.64</v>
      </c>
      <c r="H254" s="12">
        <v>55.079999999999991</v>
      </c>
      <c r="I254" s="12">
        <v>36.049999999999997</v>
      </c>
      <c r="J254" s="12">
        <v>102.95</v>
      </c>
      <c r="K254" s="12">
        <v>80.179999999999993</v>
      </c>
      <c r="L254" s="12">
        <v>60.400000000000006</v>
      </c>
      <c r="M254" s="12">
        <v>53.87</v>
      </c>
      <c r="N254" s="12">
        <v>71.300000000000011</v>
      </c>
      <c r="O254" s="12">
        <v>45.959999999999994</v>
      </c>
      <c r="P254" s="12">
        <v>34.809999999999995</v>
      </c>
      <c r="Q254" s="12">
        <v>73.509999999999991</v>
      </c>
      <c r="R254" s="12">
        <v>245.54</v>
      </c>
      <c r="S254" s="12">
        <v>386.09999999999997</v>
      </c>
      <c r="T254" s="12">
        <v>1673.0400000000002</v>
      </c>
      <c r="U254" s="12">
        <v>642.69000000000005</v>
      </c>
      <c r="V254" s="12">
        <v>502.21</v>
      </c>
      <c r="W254" s="12">
        <v>1309.4999999999998</v>
      </c>
      <c r="X254" s="12">
        <v>915.42</v>
      </c>
      <c r="Y254" s="12">
        <v>3.4099999999999997</v>
      </c>
      <c r="Z254" s="12">
        <f t="shared" si="261"/>
        <v>6702.92</v>
      </c>
      <c r="AA254" s="150">
        <f t="shared" si="260"/>
        <v>6.683851639657222E-2</v>
      </c>
      <c r="AC254" s="89">
        <v>3972.38</v>
      </c>
      <c r="AD254" s="89">
        <v>2727.1299999999997</v>
      </c>
      <c r="AE254" s="89">
        <v>3.4099999999999997</v>
      </c>
      <c r="AF254" s="89"/>
      <c r="AG254" s="89">
        <v>6702.92</v>
      </c>
      <c r="AH254" s="150">
        <v>0.40685701157107645</v>
      </c>
    </row>
    <row r="255" spans="1:34" x14ac:dyDescent="0.35">
      <c r="A255" s="6" t="s">
        <v>32</v>
      </c>
      <c r="B255" s="12">
        <v>207.57999999999998</v>
      </c>
      <c r="C255" s="12">
        <v>87.910000000000011</v>
      </c>
      <c r="D255" s="12">
        <v>0.22999999999999998</v>
      </c>
      <c r="E255" s="12">
        <v>9.16</v>
      </c>
      <c r="F255" s="12">
        <v>21.02</v>
      </c>
      <c r="G255" s="12">
        <v>3.24</v>
      </c>
      <c r="H255" s="12">
        <v>73.73</v>
      </c>
      <c r="I255" s="12">
        <v>22.56</v>
      </c>
      <c r="J255" s="12">
        <v>20.02</v>
      </c>
      <c r="K255" s="12">
        <v>54.199999999999989</v>
      </c>
      <c r="L255" s="12">
        <v>20.049999999999997</v>
      </c>
      <c r="M255" s="12">
        <v>47.67</v>
      </c>
      <c r="N255" s="12">
        <v>12.47</v>
      </c>
      <c r="O255" s="12">
        <v>75.67</v>
      </c>
      <c r="P255" s="12">
        <v>18.400000000000002</v>
      </c>
      <c r="Q255" s="54">
        <v>55.310000000000009</v>
      </c>
      <c r="R255" s="12">
        <v>88.390000000000015</v>
      </c>
      <c r="S255" s="12">
        <v>94.999999999999972</v>
      </c>
      <c r="T255" s="12">
        <v>76.190000000000012</v>
      </c>
      <c r="U255" s="12">
        <v>187.53000000000003</v>
      </c>
      <c r="V255" s="12">
        <v>213.37</v>
      </c>
      <c r="W255" s="12">
        <v>199.8</v>
      </c>
      <c r="X255" s="12">
        <v>103.86000000000001</v>
      </c>
      <c r="Y255" s="12">
        <v>1.19</v>
      </c>
      <c r="Z255" s="12">
        <f>SUM(B255:Y255)</f>
        <v>1694.5500000000002</v>
      </c>
      <c r="AA255" s="150">
        <f t="shared" si="260"/>
        <v>1.6897293710772539E-2</v>
      </c>
      <c r="AB255" s="133"/>
      <c r="AC255" s="89">
        <v>1176.3300000000002</v>
      </c>
      <c r="AD255" s="89">
        <v>517.03</v>
      </c>
      <c r="AE255" s="89">
        <v>1.19</v>
      </c>
      <c r="AF255" s="89"/>
      <c r="AG255" s="89">
        <v>1694.5500000000002</v>
      </c>
      <c r="AH255" s="150">
        <v>0.30511345194889494</v>
      </c>
    </row>
    <row r="256" spans="1:34" x14ac:dyDescent="0.35">
      <c r="A256" s="6" t="s">
        <v>33</v>
      </c>
      <c r="B256" s="12">
        <v>1959.1299999999994</v>
      </c>
      <c r="C256" s="12">
        <v>558.62000000000012</v>
      </c>
      <c r="D256" s="12">
        <v>173.37000000000003</v>
      </c>
      <c r="E256" s="12">
        <v>105.31999999999998</v>
      </c>
      <c r="F256" s="12">
        <v>141.60999999999996</v>
      </c>
      <c r="G256" s="12">
        <v>101.38999999999999</v>
      </c>
      <c r="H256" s="12">
        <v>267.71999999999997</v>
      </c>
      <c r="I256" s="12">
        <v>215.22</v>
      </c>
      <c r="J256" s="12">
        <v>248.51000000000002</v>
      </c>
      <c r="K256" s="12">
        <v>316.10000000000008</v>
      </c>
      <c r="L256" s="12">
        <v>245.34</v>
      </c>
      <c r="M256" s="12">
        <v>347.95999999999992</v>
      </c>
      <c r="N256" s="12">
        <v>186.43</v>
      </c>
      <c r="O256" s="12">
        <v>295.62</v>
      </c>
      <c r="P256" s="12">
        <v>312.28000000000003</v>
      </c>
      <c r="Q256" s="12">
        <v>567.48</v>
      </c>
      <c r="R256" s="12">
        <v>866.0100000000001</v>
      </c>
      <c r="S256" s="12">
        <v>846.46000000000015</v>
      </c>
      <c r="T256" s="12">
        <v>881.58999999999992</v>
      </c>
      <c r="U256" s="12">
        <v>820.57999999999993</v>
      </c>
      <c r="V256" s="12">
        <v>789.03000000000009</v>
      </c>
      <c r="W256" s="12">
        <v>1070.6099999999999</v>
      </c>
      <c r="X256" s="12">
        <v>1138.8400000000001</v>
      </c>
      <c r="Y256" s="12">
        <v>14.159999999999997</v>
      </c>
      <c r="Z256" s="12">
        <f t="shared" si="261"/>
        <v>12469.38</v>
      </c>
      <c r="AA256" s="150">
        <f t="shared" si="260"/>
        <v>0.12433907305847149</v>
      </c>
      <c r="AB256" s="136"/>
      <c r="AC256" s="89">
        <v>9456.739999999998</v>
      </c>
      <c r="AD256" s="89">
        <v>2998.48</v>
      </c>
      <c r="AE256" s="89">
        <v>14.159999999999997</v>
      </c>
      <c r="AF256" s="89"/>
      <c r="AG256" s="89">
        <v>12469.379999999997</v>
      </c>
      <c r="AH256" s="150">
        <v>0.24046744906322534</v>
      </c>
    </row>
    <row r="257" spans="1:44" x14ac:dyDescent="0.35">
      <c r="A257" s="118" t="s">
        <v>13</v>
      </c>
      <c r="B257" s="119">
        <f>SUM(B258:B260)</f>
        <v>1984.5300000000002</v>
      </c>
      <c r="C257" s="119">
        <f t="shared" ref="C257:Y257" si="263">SUM(C258:C260)</f>
        <v>405.17</v>
      </c>
      <c r="D257" s="119">
        <f t="shared" si="263"/>
        <v>23.2</v>
      </c>
      <c r="E257" s="119">
        <f t="shared" si="263"/>
        <v>12.860000000000001</v>
      </c>
      <c r="F257" s="119">
        <f t="shared" si="263"/>
        <v>31.630000000000003</v>
      </c>
      <c r="G257" s="119">
        <f t="shared" si="263"/>
        <v>68.399999999999991</v>
      </c>
      <c r="H257" s="119">
        <f t="shared" si="263"/>
        <v>121.99000000000001</v>
      </c>
      <c r="I257" s="119">
        <f t="shared" si="263"/>
        <v>38.099999999999994</v>
      </c>
      <c r="J257" s="119">
        <f t="shared" si="263"/>
        <v>45.17</v>
      </c>
      <c r="K257" s="119">
        <f t="shared" si="263"/>
        <v>62.47</v>
      </c>
      <c r="L257" s="119">
        <f t="shared" si="263"/>
        <v>152.89000000000001</v>
      </c>
      <c r="M257" s="119">
        <f t="shared" si="263"/>
        <v>109.55000000000001</v>
      </c>
      <c r="N257" s="119">
        <f t="shared" si="263"/>
        <v>86.12</v>
      </c>
      <c r="O257" s="119">
        <f t="shared" si="263"/>
        <v>68.44</v>
      </c>
      <c r="P257" s="119">
        <f t="shared" si="263"/>
        <v>83.66</v>
      </c>
      <c r="Q257" s="119">
        <f t="shared" si="263"/>
        <v>257.95999999999998</v>
      </c>
      <c r="R257" s="119">
        <f t="shared" si="263"/>
        <v>363.84000000000003</v>
      </c>
      <c r="S257" s="119">
        <f t="shared" si="263"/>
        <v>489.6099999999999</v>
      </c>
      <c r="T257" s="119">
        <f t="shared" si="263"/>
        <v>478.93999999999994</v>
      </c>
      <c r="U257" s="119">
        <f t="shared" si="263"/>
        <v>326.89</v>
      </c>
      <c r="V257" s="119">
        <f t="shared" si="263"/>
        <v>242.62000000000003</v>
      </c>
      <c r="W257" s="119">
        <f t="shared" si="263"/>
        <v>196.22000000000003</v>
      </c>
      <c r="X257" s="119">
        <f t="shared" si="263"/>
        <v>122.52999999999999</v>
      </c>
      <c r="Y257" s="119">
        <f t="shared" si="263"/>
        <v>12.01</v>
      </c>
      <c r="Z257" s="119">
        <f>SUM(B257:Y257)</f>
        <v>5784.8</v>
      </c>
      <c r="AA257" s="144">
        <f t="shared" si="260"/>
        <v>5.7683434928492511E-2</v>
      </c>
      <c r="AB257" s="136"/>
      <c r="AC257" s="119">
        <v>5211.42</v>
      </c>
      <c r="AD257" s="119">
        <v>561.37</v>
      </c>
      <c r="AE257" s="119">
        <v>12.01</v>
      </c>
      <c r="AF257" s="119">
        <v>102.53999999999999</v>
      </c>
      <c r="AG257" s="119">
        <v>5887.34</v>
      </c>
      <c r="AH257" s="144">
        <v>9.5352060523088519E-2</v>
      </c>
    </row>
    <row r="258" spans="1:44" x14ac:dyDescent="0.35">
      <c r="A258" s="6" t="s">
        <v>34</v>
      </c>
      <c r="B258" s="12">
        <v>934.13999999999976</v>
      </c>
      <c r="C258" s="12">
        <v>229.63</v>
      </c>
      <c r="D258" s="12">
        <v>2.71</v>
      </c>
      <c r="E258" s="12">
        <v>2.04</v>
      </c>
      <c r="F258" s="12">
        <v>11.08</v>
      </c>
      <c r="G258" s="12">
        <v>9.9899999999999984</v>
      </c>
      <c r="H258" s="12">
        <v>32.39</v>
      </c>
      <c r="I258" s="12">
        <v>10.709999999999999</v>
      </c>
      <c r="J258" s="12">
        <v>5.27</v>
      </c>
      <c r="K258" s="12">
        <v>5.64</v>
      </c>
      <c r="L258" s="12">
        <v>30.660000000000004</v>
      </c>
      <c r="M258" s="12">
        <v>8.81</v>
      </c>
      <c r="N258" s="12">
        <v>11.67</v>
      </c>
      <c r="O258" s="12">
        <v>23.599999999999998</v>
      </c>
      <c r="P258" s="12">
        <v>9.8400000000000016</v>
      </c>
      <c r="Q258" s="12">
        <v>102.89999999999999</v>
      </c>
      <c r="R258" s="12">
        <v>118.53000000000003</v>
      </c>
      <c r="S258" s="12">
        <v>265.22999999999996</v>
      </c>
      <c r="T258" s="12">
        <v>235.12</v>
      </c>
      <c r="U258" s="12">
        <v>145.66999999999999</v>
      </c>
      <c r="V258" s="12">
        <v>80.83</v>
      </c>
      <c r="W258" s="12">
        <v>56.88000000000001</v>
      </c>
      <c r="X258" s="12">
        <v>44.629999999999988</v>
      </c>
      <c r="Y258" s="12">
        <v>4.87</v>
      </c>
      <c r="Z258" s="12">
        <f t="shared" si="261"/>
        <v>2382.84</v>
      </c>
      <c r="AA258" s="150">
        <f t="shared" si="260"/>
        <v>2.3760613346184671E-2</v>
      </c>
      <c r="AB258" s="136"/>
      <c r="AC258" s="89">
        <v>2195.63</v>
      </c>
      <c r="AD258" s="89">
        <v>182.34</v>
      </c>
      <c r="AE258" s="89">
        <v>4.87</v>
      </c>
      <c r="AF258" s="89">
        <v>41.569800000000001</v>
      </c>
      <c r="AG258" s="89">
        <v>2424.4098000000004</v>
      </c>
      <c r="AH258" s="150">
        <v>7.5210057309618189E-2</v>
      </c>
      <c r="AO258" s="342"/>
      <c r="AP258" s="342" t="s">
        <v>256</v>
      </c>
      <c r="AQ258" s="342" t="s">
        <v>96</v>
      </c>
      <c r="AR258" s="342" t="s">
        <v>257</v>
      </c>
    </row>
    <row r="259" spans="1:44" x14ac:dyDescent="0.35">
      <c r="A259" s="6" t="s">
        <v>61</v>
      </c>
      <c r="B259" s="12">
        <v>425.04000000000025</v>
      </c>
      <c r="C259" s="54">
        <v>46.809999999999995</v>
      </c>
      <c r="D259" s="12">
        <v>11.579999999999998</v>
      </c>
      <c r="E259" s="12">
        <v>6.26</v>
      </c>
      <c r="F259" s="12">
        <v>4.8900000000000006</v>
      </c>
      <c r="G259" s="12">
        <v>24.72</v>
      </c>
      <c r="H259" s="12">
        <v>29.95</v>
      </c>
      <c r="I259" s="12">
        <v>8.92</v>
      </c>
      <c r="J259" s="12">
        <v>13.65</v>
      </c>
      <c r="K259" s="12">
        <v>18.579999999999998</v>
      </c>
      <c r="L259" s="12">
        <v>72.61</v>
      </c>
      <c r="M259" s="12">
        <v>52.77</v>
      </c>
      <c r="N259" s="12">
        <v>18.03</v>
      </c>
      <c r="O259" s="12">
        <v>21.919999999999998</v>
      </c>
      <c r="P259" s="12">
        <v>44.410000000000004</v>
      </c>
      <c r="Q259" s="54">
        <v>90.350000000000023</v>
      </c>
      <c r="R259" s="12">
        <v>94.269999999999982</v>
      </c>
      <c r="S259" s="12">
        <v>103.89999999999999</v>
      </c>
      <c r="T259" s="12">
        <v>90.84999999999998</v>
      </c>
      <c r="U259" s="12">
        <v>91.74</v>
      </c>
      <c r="V259" s="12">
        <v>61.739999999999995</v>
      </c>
      <c r="W259" s="12">
        <v>50.019999999999996</v>
      </c>
      <c r="X259" s="12">
        <v>26.88</v>
      </c>
      <c r="Y259" s="12">
        <v>3.1599999999999997</v>
      </c>
      <c r="Z259" s="12">
        <f t="shared" si="261"/>
        <v>1413.0500000000002</v>
      </c>
      <c r="AA259" s="150">
        <f t="shared" si="260"/>
        <v>1.4090301778057384E-2</v>
      </c>
      <c r="AB259" s="133"/>
      <c r="AC259" s="89">
        <v>1271.25</v>
      </c>
      <c r="AD259" s="89">
        <v>138.63999999999999</v>
      </c>
      <c r="AE259" s="89">
        <v>3.1599999999999997</v>
      </c>
      <c r="AF259" s="89">
        <v>15.085899999999999</v>
      </c>
      <c r="AG259" s="89">
        <v>1428.1359</v>
      </c>
      <c r="AH259" s="150">
        <v>9.7077596046706752E-2</v>
      </c>
      <c r="AJ259" s="210" t="s">
        <v>255</v>
      </c>
      <c r="AO259" s="118" t="s">
        <v>5</v>
      </c>
      <c r="AP259" s="343">
        <v>10805.17</v>
      </c>
      <c r="AQ259" s="343">
        <v>27855.901899999997</v>
      </c>
      <c r="AR259" s="190">
        <f>AP259/AQ259</f>
        <v>0.38789517707197274</v>
      </c>
    </row>
    <row r="260" spans="1:44" x14ac:dyDescent="0.35">
      <c r="A260" s="6" t="s">
        <v>36</v>
      </c>
      <c r="B260" s="12">
        <v>625.35000000000014</v>
      </c>
      <c r="C260" s="12">
        <v>128.73000000000002</v>
      </c>
      <c r="D260" s="12">
        <v>8.91</v>
      </c>
      <c r="E260" s="12">
        <v>4.5600000000000005</v>
      </c>
      <c r="F260" s="12">
        <v>15.660000000000004</v>
      </c>
      <c r="G260" s="12">
        <v>33.69</v>
      </c>
      <c r="H260" s="12">
        <v>59.650000000000006</v>
      </c>
      <c r="I260" s="12">
        <v>18.469999999999995</v>
      </c>
      <c r="J260" s="12">
        <v>26.249999999999996</v>
      </c>
      <c r="K260" s="12">
        <v>38.25</v>
      </c>
      <c r="L260" s="54">
        <v>49.62</v>
      </c>
      <c r="M260" s="12">
        <v>47.970000000000006</v>
      </c>
      <c r="N260" s="12">
        <v>56.42</v>
      </c>
      <c r="O260" s="12">
        <v>22.919999999999998</v>
      </c>
      <c r="P260" s="12">
        <v>29.409999999999997</v>
      </c>
      <c r="Q260" s="12">
        <v>64.709999999999994</v>
      </c>
      <c r="R260" s="12">
        <v>151.04000000000002</v>
      </c>
      <c r="S260" s="12">
        <v>120.47999999999999</v>
      </c>
      <c r="T260" s="12">
        <v>152.97</v>
      </c>
      <c r="U260" s="12">
        <v>89.47999999999999</v>
      </c>
      <c r="V260" s="12">
        <v>100.05000000000004</v>
      </c>
      <c r="W260" s="12">
        <v>89.320000000000022</v>
      </c>
      <c r="X260" s="12">
        <v>51.019999999999996</v>
      </c>
      <c r="Y260" s="12">
        <v>3.98</v>
      </c>
      <c r="Z260" s="12">
        <f t="shared" si="261"/>
        <v>1988.9100000000003</v>
      </c>
      <c r="AA260" s="150">
        <f t="shared" si="260"/>
        <v>1.9832519804250458E-2</v>
      </c>
      <c r="AB260" s="136"/>
      <c r="AC260" s="89">
        <v>1744.5400000000004</v>
      </c>
      <c r="AD260" s="89">
        <v>240.39000000000004</v>
      </c>
      <c r="AE260" s="89">
        <v>3.98</v>
      </c>
      <c r="AF260" s="89">
        <v>45.884300000000003</v>
      </c>
      <c r="AG260" s="89">
        <v>2034.7943000000005</v>
      </c>
      <c r="AH260" s="150">
        <v>0.1181397058169467</v>
      </c>
      <c r="AK260" t="s">
        <v>256</v>
      </c>
      <c r="AL260" t="s">
        <v>96</v>
      </c>
      <c r="AM260" t="s">
        <v>257</v>
      </c>
      <c r="AO260" s="118" t="s">
        <v>12</v>
      </c>
      <c r="AP260" s="343">
        <v>6242.6399999999994</v>
      </c>
      <c r="AQ260" s="343">
        <v>20866.849999999995</v>
      </c>
      <c r="AR260" s="190">
        <f t="shared" ref="AR260:AR264" si="264">AP260/AQ260</f>
        <v>0.29916542266801177</v>
      </c>
    </row>
    <row r="261" spans="1:44" x14ac:dyDescent="0.35">
      <c r="A261" s="118" t="s">
        <v>14</v>
      </c>
      <c r="B261" s="119">
        <f>SUM(B262:B265)</f>
        <v>2083.9899999999989</v>
      </c>
      <c r="C261" s="119">
        <f t="shared" ref="C261:Y261" si="265">SUM(C262:C265)</f>
        <v>203.79000000000002</v>
      </c>
      <c r="D261" s="119">
        <f t="shared" si="265"/>
        <v>18.77</v>
      </c>
      <c r="E261" s="119">
        <f t="shared" si="265"/>
        <v>17.52</v>
      </c>
      <c r="F261" s="119">
        <f t="shared" si="265"/>
        <v>47.97</v>
      </c>
      <c r="G261" s="119">
        <f t="shared" si="265"/>
        <v>30.43</v>
      </c>
      <c r="H261" s="119">
        <f t="shared" si="265"/>
        <v>67.669999999999987</v>
      </c>
      <c r="I261" s="119">
        <f t="shared" si="265"/>
        <v>47.980000000000004</v>
      </c>
      <c r="J261" s="119">
        <f t="shared" si="265"/>
        <v>81.99</v>
      </c>
      <c r="K261" s="119">
        <f t="shared" si="265"/>
        <v>183.63</v>
      </c>
      <c r="L261" s="119">
        <f t="shared" si="265"/>
        <v>90.060000000000016</v>
      </c>
      <c r="M261" s="119">
        <f t="shared" si="265"/>
        <v>99.460000000000008</v>
      </c>
      <c r="N261" s="119">
        <f t="shared" si="265"/>
        <v>141.47</v>
      </c>
      <c r="O261" s="119">
        <f t="shared" si="265"/>
        <v>99.62</v>
      </c>
      <c r="P261" s="119">
        <f t="shared" si="265"/>
        <v>277.91999999999996</v>
      </c>
      <c r="Q261" s="119">
        <f t="shared" si="265"/>
        <v>455.86999999999995</v>
      </c>
      <c r="R261" s="119">
        <f t="shared" si="265"/>
        <v>744.41000000000008</v>
      </c>
      <c r="S261" s="119">
        <f t="shared" si="265"/>
        <v>1282.5100000000002</v>
      </c>
      <c r="T261" s="119">
        <f t="shared" si="265"/>
        <v>1568.4100000000003</v>
      </c>
      <c r="U261" s="119">
        <f t="shared" si="265"/>
        <v>801.3</v>
      </c>
      <c r="V261" s="119">
        <f t="shared" si="265"/>
        <v>736.04000000000008</v>
      </c>
      <c r="W261" s="119">
        <f t="shared" si="265"/>
        <v>1227.81</v>
      </c>
      <c r="X261" s="119">
        <f t="shared" si="265"/>
        <v>609.44000000000005</v>
      </c>
      <c r="Y261" s="119">
        <f t="shared" si="265"/>
        <v>0.08</v>
      </c>
      <c r="Z261" s="119">
        <f>SUM(B261:Y261)</f>
        <v>10918.14</v>
      </c>
      <c r="AA261" s="144">
        <f t="shared" si="260"/>
        <v>0.10887080248758317</v>
      </c>
      <c r="AB261" s="136"/>
      <c r="AC261" s="119">
        <v>8344.7699999999986</v>
      </c>
      <c r="AD261" s="119">
        <v>2573.29</v>
      </c>
      <c r="AE261" s="119">
        <v>0.08</v>
      </c>
      <c r="AF261" s="119"/>
      <c r="AG261" s="119">
        <v>10918.139999999998</v>
      </c>
      <c r="AH261" s="144">
        <v>0.23568941229916457</v>
      </c>
      <c r="AJ261" s="6" t="s">
        <v>30</v>
      </c>
      <c r="AK261" s="89">
        <v>4893.2999999999993</v>
      </c>
      <c r="AL261" s="89">
        <v>11166.859999999999</v>
      </c>
      <c r="AM261" s="382">
        <f>AK261/AL261</f>
        <v>0.43819838343097339</v>
      </c>
      <c r="AO261" s="118" t="s">
        <v>15</v>
      </c>
      <c r="AP261" s="343">
        <v>4129.2800000000007</v>
      </c>
      <c r="AQ261" s="343">
        <v>17510.86</v>
      </c>
      <c r="AR261" s="190">
        <f t="shared" si="264"/>
        <v>0.23581251863129513</v>
      </c>
    </row>
    <row r="262" spans="1:44" x14ac:dyDescent="0.35">
      <c r="A262" s="6" t="s">
        <v>37</v>
      </c>
      <c r="B262" s="12">
        <v>9.6100000000000012</v>
      </c>
      <c r="C262" s="12">
        <v>0.06</v>
      </c>
      <c r="D262" s="12">
        <v>0</v>
      </c>
      <c r="E262" s="12">
        <v>0.01</v>
      </c>
      <c r="F262" s="12">
        <v>0</v>
      </c>
      <c r="G262" s="12">
        <v>0</v>
      </c>
      <c r="H262" s="12">
        <v>0</v>
      </c>
      <c r="I262" s="12">
        <v>0</v>
      </c>
      <c r="J262" s="12">
        <v>0</v>
      </c>
      <c r="K262" s="12">
        <v>0</v>
      </c>
      <c r="L262" s="12">
        <v>0</v>
      </c>
      <c r="M262" s="12">
        <v>0.48</v>
      </c>
      <c r="N262" s="12">
        <v>0</v>
      </c>
      <c r="O262" s="12">
        <v>0</v>
      </c>
      <c r="P262" s="12">
        <v>0</v>
      </c>
      <c r="Q262" s="12">
        <v>0</v>
      </c>
      <c r="R262" s="12">
        <v>5.67</v>
      </c>
      <c r="S262" s="12">
        <v>0</v>
      </c>
      <c r="T262" s="12">
        <v>0.44</v>
      </c>
      <c r="U262" s="12">
        <v>0</v>
      </c>
      <c r="V262" s="12">
        <v>2.62</v>
      </c>
      <c r="W262" s="12">
        <v>2.2999999999999998</v>
      </c>
      <c r="X262" s="12">
        <v>0</v>
      </c>
      <c r="Y262" s="12">
        <v>0</v>
      </c>
      <c r="Z262" s="12">
        <f t="shared" si="261"/>
        <v>21.190000000000005</v>
      </c>
      <c r="AA262" s="150">
        <f t="shared" si="260"/>
        <v>2.1129719024594741E-4</v>
      </c>
      <c r="AB262" s="136"/>
      <c r="AC262" s="89">
        <v>16.270000000000003</v>
      </c>
      <c r="AD262" s="89">
        <v>4.92</v>
      </c>
      <c r="AE262" s="89">
        <v>0</v>
      </c>
      <c r="AF262" s="89"/>
      <c r="AG262" s="89">
        <v>21.190000000000005</v>
      </c>
      <c r="AH262" s="150">
        <v>0.23218499292118919</v>
      </c>
      <c r="AJ262" s="6" t="s">
        <v>8</v>
      </c>
      <c r="AK262" s="89">
        <v>3570.4000000000005</v>
      </c>
      <c r="AL262" s="89">
        <v>7396.2000000000007</v>
      </c>
      <c r="AM262" s="382">
        <f t="shared" ref="AM262:AM287" si="266">AK262/AL262</f>
        <v>0.48273437711257133</v>
      </c>
      <c r="AO262" s="118" t="s">
        <v>17</v>
      </c>
      <c r="AP262" s="343">
        <v>3592.3599999999997</v>
      </c>
      <c r="AQ262" s="343">
        <v>8220.880000000001</v>
      </c>
      <c r="AR262" s="190">
        <f t="shared" si="264"/>
        <v>0.43697998267825333</v>
      </c>
    </row>
    <row r="263" spans="1:44" x14ac:dyDescent="0.35">
      <c r="A263" s="6" t="s">
        <v>38</v>
      </c>
      <c r="B263" s="12">
        <v>1.48</v>
      </c>
      <c r="C263" s="54">
        <v>0.05</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2.44</v>
      </c>
      <c r="U263" s="12">
        <v>0.09</v>
      </c>
      <c r="V263" s="12">
        <v>0</v>
      </c>
      <c r="W263" s="12">
        <v>23.16</v>
      </c>
      <c r="X263" s="12">
        <v>0.09</v>
      </c>
      <c r="Y263" s="12">
        <v>0</v>
      </c>
      <c r="Z263" s="12">
        <f t="shared" si="261"/>
        <v>27.31</v>
      </c>
      <c r="AA263" s="150">
        <f t="shared" si="260"/>
        <v>2.7232308945808502E-4</v>
      </c>
      <c r="AB263" s="133"/>
      <c r="AC263" s="89">
        <v>4.0599999999999996</v>
      </c>
      <c r="AD263" s="89">
        <v>23.25</v>
      </c>
      <c r="AE263" s="89">
        <v>0</v>
      </c>
      <c r="AF263" s="89"/>
      <c r="AG263" s="89">
        <v>27.31</v>
      </c>
      <c r="AH263" s="150">
        <v>0.85133650677407546</v>
      </c>
      <c r="AJ263" s="6" t="s">
        <v>33</v>
      </c>
      <c r="AK263" s="89">
        <v>2998.48</v>
      </c>
      <c r="AL263" s="89">
        <v>12469.379999999997</v>
      </c>
      <c r="AM263" s="382">
        <f t="shared" si="266"/>
        <v>0.24046744906322534</v>
      </c>
      <c r="AO263" s="118" t="s">
        <v>14</v>
      </c>
      <c r="AP263" s="343">
        <v>2573.29</v>
      </c>
      <c r="AQ263" s="343">
        <v>10918.139999999998</v>
      </c>
      <c r="AR263" s="190">
        <f t="shared" si="264"/>
        <v>0.23568941229916457</v>
      </c>
    </row>
    <row r="264" spans="1:44" x14ac:dyDescent="0.35">
      <c r="A264" s="6" t="s">
        <v>39</v>
      </c>
      <c r="B264" s="12">
        <v>889.75999999999954</v>
      </c>
      <c r="C264" s="12">
        <v>101.19999999999999</v>
      </c>
      <c r="D264" s="12">
        <v>7.93</v>
      </c>
      <c r="E264" s="12">
        <v>5.1100000000000003</v>
      </c>
      <c r="F264" s="12">
        <v>38.200000000000003</v>
      </c>
      <c r="G264" s="12">
        <v>11.860000000000001</v>
      </c>
      <c r="H264" s="12">
        <v>39.489999999999995</v>
      </c>
      <c r="I264" s="12">
        <v>31.710000000000004</v>
      </c>
      <c r="J264" s="12">
        <v>62.019999999999996</v>
      </c>
      <c r="K264" s="12">
        <v>143.80000000000001</v>
      </c>
      <c r="L264" s="12">
        <v>74.52000000000001</v>
      </c>
      <c r="M264" s="12">
        <v>74.14</v>
      </c>
      <c r="N264" s="12">
        <v>104.58000000000001</v>
      </c>
      <c r="O264" s="12">
        <v>60.52000000000001</v>
      </c>
      <c r="P264" s="12">
        <v>206.1</v>
      </c>
      <c r="Q264" s="12">
        <v>336.96</v>
      </c>
      <c r="R264" s="12">
        <v>473.74000000000007</v>
      </c>
      <c r="S264" s="12">
        <v>944.06000000000017</v>
      </c>
      <c r="T264" s="12">
        <v>1171.77</v>
      </c>
      <c r="U264" s="12">
        <v>599.29</v>
      </c>
      <c r="V264" s="12">
        <v>437.32</v>
      </c>
      <c r="W264" s="12">
        <v>968.51</v>
      </c>
      <c r="X264" s="12">
        <v>490.65000000000003</v>
      </c>
      <c r="Y264" s="12">
        <v>0.08</v>
      </c>
      <c r="Z264" s="12">
        <f t="shared" si="261"/>
        <v>7273.3199999999988</v>
      </c>
      <c r="AA264" s="150">
        <f t="shared" si="260"/>
        <v>7.2526289747977993E-2</v>
      </c>
      <c r="AB264" s="136"/>
      <c r="AC264" s="89">
        <v>5376.7599999999993</v>
      </c>
      <c r="AD264" s="89">
        <v>1896.48</v>
      </c>
      <c r="AE264" s="89">
        <v>0.08</v>
      </c>
      <c r="AF264" s="89"/>
      <c r="AG264" s="89">
        <v>7273.32</v>
      </c>
      <c r="AH264" s="150">
        <v>0.26074474930293184</v>
      </c>
      <c r="AJ264" s="6" t="s">
        <v>31</v>
      </c>
      <c r="AK264" s="89">
        <v>2727.1299999999997</v>
      </c>
      <c r="AL264" s="89">
        <v>6702.92</v>
      </c>
      <c r="AM264" s="382">
        <f t="shared" si="266"/>
        <v>0.40685701157107645</v>
      </c>
      <c r="AO264" s="118" t="s">
        <v>22</v>
      </c>
      <c r="AP264" s="343">
        <v>704.51</v>
      </c>
      <c r="AQ264" s="343">
        <v>5403.25</v>
      </c>
      <c r="AR264" s="190">
        <f t="shared" si="264"/>
        <v>0.13038634155369452</v>
      </c>
    </row>
    <row r="265" spans="1:44" x14ac:dyDescent="0.35">
      <c r="A265" s="6" t="s">
        <v>40</v>
      </c>
      <c r="B265" s="12">
        <v>1183.1399999999994</v>
      </c>
      <c r="C265" s="12">
        <v>102.48000000000002</v>
      </c>
      <c r="D265" s="12">
        <v>10.84</v>
      </c>
      <c r="E265" s="12">
        <v>12.399999999999999</v>
      </c>
      <c r="F265" s="12">
        <v>9.77</v>
      </c>
      <c r="G265" s="12">
        <v>18.57</v>
      </c>
      <c r="H265" s="12">
        <v>28.18</v>
      </c>
      <c r="I265" s="12">
        <v>16.27</v>
      </c>
      <c r="J265" s="12">
        <v>19.97</v>
      </c>
      <c r="K265" s="12">
        <v>39.829999999999991</v>
      </c>
      <c r="L265" s="12">
        <v>15.540000000000001</v>
      </c>
      <c r="M265" s="12">
        <v>24.839999999999996</v>
      </c>
      <c r="N265" s="12">
        <v>36.889999999999993</v>
      </c>
      <c r="O265" s="12">
        <v>39.099999999999994</v>
      </c>
      <c r="P265" s="12">
        <v>71.819999999999993</v>
      </c>
      <c r="Q265" s="12">
        <v>118.90999999999998</v>
      </c>
      <c r="R265" s="12">
        <v>265</v>
      </c>
      <c r="S265" s="12">
        <v>338.45</v>
      </c>
      <c r="T265" s="12">
        <v>393.7600000000001</v>
      </c>
      <c r="U265" s="12">
        <v>201.91999999999996</v>
      </c>
      <c r="V265" s="12">
        <v>296.10000000000008</v>
      </c>
      <c r="W265" s="12">
        <v>233.83999999999997</v>
      </c>
      <c r="X265" s="12">
        <v>118.70000000000002</v>
      </c>
      <c r="Y265" s="12">
        <v>0</v>
      </c>
      <c r="Z265" s="12">
        <f t="shared" si="261"/>
        <v>3596.3199999999993</v>
      </c>
      <c r="AA265" s="150">
        <f t="shared" si="260"/>
        <v>3.5860892459901143E-2</v>
      </c>
      <c r="AB265" s="136"/>
      <c r="AC265" s="89">
        <v>2947.6799999999994</v>
      </c>
      <c r="AD265" s="89">
        <v>648.6400000000001</v>
      </c>
      <c r="AE265" s="89">
        <v>0</v>
      </c>
      <c r="AF265" s="89"/>
      <c r="AG265" s="89">
        <v>3596.3199999999997</v>
      </c>
      <c r="AH265" s="150">
        <v>0.18036214797348404</v>
      </c>
      <c r="AJ265" s="6" t="s">
        <v>55</v>
      </c>
      <c r="AK265" s="89">
        <v>2445.2599999999998</v>
      </c>
      <c r="AL265" s="89">
        <v>5707.7800000000007</v>
      </c>
      <c r="AM265" s="382">
        <f t="shared" si="266"/>
        <v>0.42840824278440998</v>
      </c>
    </row>
    <row r="266" spans="1:44" x14ac:dyDescent="0.35">
      <c r="A266" s="118" t="s">
        <v>15</v>
      </c>
      <c r="B266" s="119">
        <f>SUM(B267:B271)</f>
        <v>1381.57</v>
      </c>
      <c r="C266" s="119">
        <f t="shared" ref="C266:Y266" si="267">SUM(C267:C271)</f>
        <v>411.37</v>
      </c>
      <c r="D266" s="119">
        <f t="shared" si="267"/>
        <v>98.56</v>
      </c>
      <c r="E266" s="119">
        <f t="shared" si="267"/>
        <v>121.37999999999997</v>
      </c>
      <c r="F266" s="119">
        <f t="shared" si="267"/>
        <v>53.68</v>
      </c>
      <c r="G266" s="119">
        <f t="shared" si="267"/>
        <v>167.22</v>
      </c>
      <c r="H266" s="119">
        <f t="shared" si="267"/>
        <v>184.54000000000002</v>
      </c>
      <c r="I266" s="119">
        <f t="shared" si="267"/>
        <v>130.37</v>
      </c>
      <c r="J266" s="119">
        <f t="shared" si="267"/>
        <v>332.11</v>
      </c>
      <c r="K266" s="119">
        <f t="shared" si="267"/>
        <v>203.86</v>
      </c>
      <c r="L266" s="119">
        <f t="shared" si="267"/>
        <v>169.39</v>
      </c>
      <c r="M266" s="119">
        <f t="shared" si="267"/>
        <v>154.91999999999999</v>
      </c>
      <c r="N266" s="119">
        <f t="shared" si="267"/>
        <v>232.18000000000004</v>
      </c>
      <c r="O266" s="119">
        <f t="shared" si="267"/>
        <v>325.40999999999997</v>
      </c>
      <c r="P266" s="119">
        <f t="shared" si="267"/>
        <v>353.09000000000009</v>
      </c>
      <c r="Q266" s="119">
        <f t="shared" si="267"/>
        <v>850.22000000000014</v>
      </c>
      <c r="R266" s="119">
        <f t="shared" si="267"/>
        <v>1793.1799999999998</v>
      </c>
      <c r="S266" s="119">
        <f t="shared" si="267"/>
        <v>2988.9300000000003</v>
      </c>
      <c r="T266" s="119">
        <f t="shared" si="267"/>
        <v>2193.5500000000002</v>
      </c>
      <c r="U266" s="119">
        <f t="shared" si="267"/>
        <v>1220.52</v>
      </c>
      <c r="V266" s="119">
        <f t="shared" si="267"/>
        <v>1361.3300000000002</v>
      </c>
      <c r="W266" s="119">
        <f t="shared" si="267"/>
        <v>1651.81</v>
      </c>
      <c r="X266" s="119">
        <f t="shared" si="267"/>
        <v>1116.1399999999999</v>
      </c>
      <c r="Y266" s="119">
        <f t="shared" si="267"/>
        <v>6.7100000000000009</v>
      </c>
      <c r="Z266" s="119">
        <f>SUM(B266:Y266)</f>
        <v>17502.039999999997</v>
      </c>
      <c r="AA266" s="144">
        <f t="shared" si="260"/>
        <v>0.17452250474620953</v>
      </c>
      <c r="AC266" s="119">
        <v>13366.05</v>
      </c>
      <c r="AD266" s="119">
        <v>4129.2800000000007</v>
      </c>
      <c r="AE266" s="119">
        <v>6.7100000000000009</v>
      </c>
      <c r="AF266" s="119">
        <v>8.82</v>
      </c>
      <c r="AG266" s="119">
        <v>17510.86</v>
      </c>
      <c r="AH266" s="144">
        <v>0.23581251863129513</v>
      </c>
      <c r="AJ266" s="6" t="s">
        <v>39</v>
      </c>
      <c r="AK266" s="89">
        <v>1896.48</v>
      </c>
      <c r="AL266" s="89">
        <v>7273.32</v>
      </c>
      <c r="AM266" s="382">
        <f t="shared" si="266"/>
        <v>0.26074474930293184</v>
      </c>
    </row>
    <row r="267" spans="1:44" x14ac:dyDescent="0.35">
      <c r="A267" s="6" t="s">
        <v>41</v>
      </c>
      <c r="B267" s="12">
        <v>1159.0700000000002</v>
      </c>
      <c r="C267" s="12">
        <v>303.58</v>
      </c>
      <c r="D267" s="12">
        <v>68.69</v>
      </c>
      <c r="E267" s="12">
        <v>114.85999999999997</v>
      </c>
      <c r="F267" s="12">
        <v>35.21</v>
      </c>
      <c r="G267" s="12">
        <v>149.54</v>
      </c>
      <c r="H267" s="12">
        <v>103.29</v>
      </c>
      <c r="I267" s="12">
        <v>79.52</v>
      </c>
      <c r="J267" s="12">
        <v>214.21999999999997</v>
      </c>
      <c r="K267" s="12">
        <v>163</v>
      </c>
      <c r="L267" s="12">
        <v>122.42999999999999</v>
      </c>
      <c r="M267" s="12">
        <v>100.67000000000002</v>
      </c>
      <c r="N267" s="12">
        <v>174.32000000000002</v>
      </c>
      <c r="O267" s="12">
        <v>260.83999999999997</v>
      </c>
      <c r="P267" s="12">
        <v>292.68000000000006</v>
      </c>
      <c r="Q267" s="12">
        <v>615.11000000000013</v>
      </c>
      <c r="R267" s="12">
        <v>1104.9599999999998</v>
      </c>
      <c r="S267" s="12">
        <v>1885.46</v>
      </c>
      <c r="T267" s="12">
        <v>1381.2</v>
      </c>
      <c r="U267" s="12">
        <v>768.33999999999992</v>
      </c>
      <c r="V267" s="12">
        <v>854.25000000000011</v>
      </c>
      <c r="W267" s="12">
        <v>586.02</v>
      </c>
      <c r="X267" s="12">
        <v>392.53999999999996</v>
      </c>
      <c r="Y267" s="12">
        <v>3.49</v>
      </c>
      <c r="Z267" s="12">
        <f t="shared" si="261"/>
        <v>10933.289999999999</v>
      </c>
      <c r="AA267" s="150">
        <f t="shared" si="260"/>
        <v>0.10902187150278969</v>
      </c>
      <c r="AC267" s="89">
        <v>9096.99</v>
      </c>
      <c r="AD267" s="89">
        <v>1832.81</v>
      </c>
      <c r="AE267" s="89">
        <v>3.49</v>
      </c>
      <c r="AF267" s="89">
        <v>1.34</v>
      </c>
      <c r="AG267" s="89">
        <v>10934.63</v>
      </c>
      <c r="AH267" s="150">
        <v>0.16761518222381552</v>
      </c>
      <c r="AJ267" s="6" t="s">
        <v>41</v>
      </c>
      <c r="AK267" s="89">
        <v>1832.81</v>
      </c>
      <c r="AL267" s="89">
        <v>10934.63</v>
      </c>
      <c r="AM267" s="382">
        <f t="shared" si="266"/>
        <v>0.16761518222381552</v>
      </c>
    </row>
    <row r="268" spans="1:44" x14ac:dyDescent="0.35">
      <c r="A268" s="6" t="s">
        <v>42</v>
      </c>
      <c r="B268" s="12">
        <v>56.36</v>
      </c>
      <c r="C268" s="12">
        <v>14.190000000000001</v>
      </c>
      <c r="D268" s="12">
        <v>23.2</v>
      </c>
      <c r="E268" s="12">
        <v>1.0900000000000001</v>
      </c>
      <c r="F268" s="12">
        <v>2.3200000000000003</v>
      </c>
      <c r="G268" s="12">
        <v>4.5999999999999996</v>
      </c>
      <c r="H268" s="54">
        <v>4.2399999999999993</v>
      </c>
      <c r="I268" s="54">
        <v>4.82</v>
      </c>
      <c r="J268" s="12">
        <v>66.540000000000006</v>
      </c>
      <c r="K268" s="12">
        <v>23.020000000000003</v>
      </c>
      <c r="L268" s="12">
        <v>10.850000000000001</v>
      </c>
      <c r="M268" s="12">
        <v>35.54</v>
      </c>
      <c r="N268" s="12">
        <v>29.72</v>
      </c>
      <c r="O268" s="12">
        <v>19.380000000000003</v>
      </c>
      <c r="P268" s="12">
        <v>12.23</v>
      </c>
      <c r="Q268" s="12">
        <v>87.06</v>
      </c>
      <c r="R268" s="12">
        <v>263.62</v>
      </c>
      <c r="S268" s="12">
        <v>529.38000000000011</v>
      </c>
      <c r="T268" s="12">
        <v>401.55</v>
      </c>
      <c r="U268" s="12">
        <v>124.37</v>
      </c>
      <c r="V268" s="12">
        <v>296.79000000000002</v>
      </c>
      <c r="W268" s="12">
        <v>376.28999999999991</v>
      </c>
      <c r="X268" s="12">
        <v>447.38</v>
      </c>
      <c r="Y268" s="12">
        <v>1.5400000000000003</v>
      </c>
      <c r="Z268" s="12">
        <f t="shared" si="261"/>
        <v>2836.08</v>
      </c>
      <c r="AA268" s="150">
        <f t="shared" si="260"/>
        <v>2.8280119646660044E-2</v>
      </c>
      <c r="AC268" s="89">
        <v>1714.08</v>
      </c>
      <c r="AD268" s="89">
        <v>1120.46</v>
      </c>
      <c r="AE268" s="89">
        <v>1.5400000000000003</v>
      </c>
      <c r="AF268" s="89">
        <v>5.3</v>
      </c>
      <c r="AG268" s="89">
        <v>2841.38</v>
      </c>
      <c r="AH268" s="150">
        <v>0.39433655477268087</v>
      </c>
      <c r="AJ268" s="6" t="s">
        <v>56</v>
      </c>
      <c r="AK268" s="89">
        <v>1147.0999999999999</v>
      </c>
      <c r="AL268" s="89">
        <v>2513.1</v>
      </c>
      <c r="AM268" s="382">
        <f t="shared" si="266"/>
        <v>0.45644821137240854</v>
      </c>
    </row>
    <row r="269" spans="1:44" x14ac:dyDescent="0.35">
      <c r="A269" s="6" t="s">
        <v>43</v>
      </c>
      <c r="B269" s="12">
        <v>37.08</v>
      </c>
      <c r="C269" s="12">
        <v>9.4899999999999984</v>
      </c>
      <c r="D269" s="12">
        <v>0</v>
      </c>
      <c r="E269" s="12">
        <v>0.02</v>
      </c>
      <c r="F269" s="12">
        <v>0</v>
      </c>
      <c r="G269" s="12">
        <v>0.22</v>
      </c>
      <c r="H269" s="12">
        <v>48.77</v>
      </c>
      <c r="I269" s="12">
        <v>0</v>
      </c>
      <c r="J269" s="12">
        <v>2.95</v>
      </c>
      <c r="K269" s="12">
        <v>4.59</v>
      </c>
      <c r="L269" s="12">
        <v>0.81</v>
      </c>
      <c r="M269" s="12">
        <v>1.67</v>
      </c>
      <c r="N269" s="54">
        <v>0</v>
      </c>
      <c r="O269" s="12">
        <v>14.67</v>
      </c>
      <c r="P269" s="12">
        <v>0.19</v>
      </c>
      <c r="Q269" s="12">
        <v>14.19</v>
      </c>
      <c r="R269" s="12">
        <v>46.62</v>
      </c>
      <c r="S269" s="12">
        <v>219.99</v>
      </c>
      <c r="T269" s="12">
        <v>133.95000000000002</v>
      </c>
      <c r="U269" s="12">
        <v>65.760000000000005</v>
      </c>
      <c r="V269" s="12">
        <v>59.72</v>
      </c>
      <c r="W269" s="12">
        <v>111.23</v>
      </c>
      <c r="X269" s="12">
        <v>101.55</v>
      </c>
      <c r="Y269" s="12">
        <v>0.24</v>
      </c>
      <c r="Z269" s="12">
        <f t="shared" si="261"/>
        <v>873.71</v>
      </c>
      <c r="AA269" s="150">
        <f t="shared" si="260"/>
        <v>8.7122448367053639E-3</v>
      </c>
      <c r="AC269" s="89">
        <v>600.97</v>
      </c>
      <c r="AD269" s="89">
        <v>272.5</v>
      </c>
      <c r="AE269" s="89">
        <v>0.24</v>
      </c>
      <c r="AF269" s="89">
        <v>0.17</v>
      </c>
      <c r="AG269" s="89">
        <v>873.88</v>
      </c>
      <c r="AH269" s="150">
        <v>0.31182771089852152</v>
      </c>
      <c r="AJ269" s="6" t="s">
        <v>42</v>
      </c>
      <c r="AK269" s="89">
        <v>1120.46</v>
      </c>
      <c r="AL269" s="89">
        <v>2841.38</v>
      </c>
      <c r="AM269" s="382">
        <f t="shared" si="266"/>
        <v>0.39433655477268087</v>
      </c>
    </row>
    <row r="270" spans="1:44" x14ac:dyDescent="0.35">
      <c r="A270" s="6" t="s">
        <v>44</v>
      </c>
      <c r="B270" s="12">
        <v>0</v>
      </c>
      <c r="C270" s="12">
        <v>0</v>
      </c>
      <c r="D270" s="12">
        <v>0</v>
      </c>
      <c r="E270" s="12">
        <v>0</v>
      </c>
      <c r="F270" s="12">
        <v>0</v>
      </c>
      <c r="G270" s="12">
        <v>0</v>
      </c>
      <c r="H270" s="12">
        <v>0</v>
      </c>
      <c r="I270" s="12">
        <v>0</v>
      </c>
      <c r="J270" s="12">
        <v>0</v>
      </c>
      <c r="K270" s="12">
        <v>0</v>
      </c>
      <c r="L270" s="12">
        <v>0</v>
      </c>
      <c r="M270" s="12">
        <v>0.97</v>
      </c>
      <c r="N270" s="12">
        <v>0</v>
      </c>
      <c r="O270" s="12">
        <v>0</v>
      </c>
      <c r="P270" s="12">
        <v>0</v>
      </c>
      <c r="Q270" s="12">
        <v>7</v>
      </c>
      <c r="R270" s="12">
        <v>7.32</v>
      </c>
      <c r="S270" s="12">
        <v>5.1099999999999994</v>
      </c>
      <c r="T270" s="12">
        <v>9.24</v>
      </c>
      <c r="U270" s="12">
        <v>2.17</v>
      </c>
      <c r="V270" s="12">
        <v>0</v>
      </c>
      <c r="W270" s="12">
        <v>2.96</v>
      </c>
      <c r="X270" s="12">
        <v>0</v>
      </c>
      <c r="Y270" s="12">
        <v>0.2</v>
      </c>
      <c r="Z270" s="12">
        <f t="shared" si="261"/>
        <v>34.970000000000006</v>
      </c>
      <c r="AA270" s="150">
        <f t="shared" si="260"/>
        <v>3.4870517899484568E-4</v>
      </c>
      <c r="AC270" s="89">
        <v>31.810000000000002</v>
      </c>
      <c r="AD270" s="89">
        <v>2.96</v>
      </c>
      <c r="AE270" s="89">
        <v>0.2</v>
      </c>
      <c r="AF270" s="89">
        <v>0.09</v>
      </c>
      <c r="AG270" s="89">
        <v>35.060000000000009</v>
      </c>
      <c r="AH270" s="150">
        <v>8.4426697090701636E-2</v>
      </c>
      <c r="AJ270" s="6" t="s">
        <v>45</v>
      </c>
      <c r="AK270" s="89">
        <v>900.55</v>
      </c>
      <c r="AL270" s="89">
        <v>2825.91</v>
      </c>
      <c r="AM270" s="382">
        <f t="shared" si="266"/>
        <v>0.31867610787321604</v>
      </c>
    </row>
    <row r="271" spans="1:44" x14ac:dyDescent="0.35">
      <c r="A271" s="6" t="s">
        <v>45</v>
      </c>
      <c r="B271" s="12">
        <v>129.05999999999997</v>
      </c>
      <c r="C271" s="12">
        <v>84.109999999999985</v>
      </c>
      <c r="D271" s="12">
        <v>6.67</v>
      </c>
      <c r="E271" s="12">
        <v>5.4099999999999993</v>
      </c>
      <c r="F271" s="12">
        <v>16.149999999999999</v>
      </c>
      <c r="G271" s="12">
        <v>12.860000000000001</v>
      </c>
      <c r="H271" s="12">
        <v>28.24</v>
      </c>
      <c r="I271" s="12">
        <v>46.030000000000008</v>
      </c>
      <c r="J271" s="12">
        <v>48.400000000000006</v>
      </c>
      <c r="K271" s="12">
        <v>13.25</v>
      </c>
      <c r="L271" s="12">
        <v>35.299999999999997</v>
      </c>
      <c r="M271" s="12">
        <v>16.07</v>
      </c>
      <c r="N271" s="12">
        <v>28.140000000000004</v>
      </c>
      <c r="O271" s="12">
        <v>30.520000000000003</v>
      </c>
      <c r="P271" s="12">
        <v>47.99</v>
      </c>
      <c r="Q271" s="12">
        <v>126.86000000000001</v>
      </c>
      <c r="R271" s="12">
        <v>370.66000000000008</v>
      </c>
      <c r="S271" s="12">
        <v>348.99</v>
      </c>
      <c r="T271" s="12">
        <v>267.61</v>
      </c>
      <c r="U271" s="12">
        <v>259.88</v>
      </c>
      <c r="V271" s="12">
        <v>150.57</v>
      </c>
      <c r="W271" s="12">
        <v>575.30999999999995</v>
      </c>
      <c r="X271" s="12">
        <v>174.67000000000002</v>
      </c>
      <c r="Y271" s="12">
        <v>1.2400000000000002</v>
      </c>
      <c r="Z271" s="12">
        <f t="shared" si="261"/>
        <v>2823.9900000000002</v>
      </c>
      <c r="AA271" s="150">
        <f t="shared" si="260"/>
        <v>2.8159563581059598E-2</v>
      </c>
      <c r="AC271" s="89">
        <v>1922.2000000000003</v>
      </c>
      <c r="AD271" s="89">
        <v>900.55</v>
      </c>
      <c r="AE271" s="89">
        <v>1.2400000000000002</v>
      </c>
      <c r="AF271" s="89">
        <v>1.92</v>
      </c>
      <c r="AG271" s="89">
        <v>2825.91</v>
      </c>
      <c r="AH271" s="150">
        <v>0.31867610787321604</v>
      </c>
      <c r="AJ271" s="5" t="s">
        <v>28</v>
      </c>
      <c r="AK271" s="89">
        <v>783.86</v>
      </c>
      <c r="AL271" s="89">
        <v>1636.1200000000001</v>
      </c>
      <c r="AM271" s="527">
        <f t="shared" si="266"/>
        <v>0.47909688775884407</v>
      </c>
    </row>
    <row r="272" spans="1:44" x14ac:dyDescent="0.35">
      <c r="A272" s="118" t="s">
        <v>16</v>
      </c>
      <c r="B272" s="119">
        <f>SUM(B273:B280)</f>
        <v>7.83</v>
      </c>
      <c r="C272" s="119">
        <f t="shared" ref="C272:Y272" si="268">SUM(C273:C280)</f>
        <v>2.99</v>
      </c>
      <c r="D272" s="119">
        <f t="shared" si="268"/>
        <v>0</v>
      </c>
      <c r="E272" s="119">
        <f t="shared" si="268"/>
        <v>0</v>
      </c>
      <c r="F272" s="119">
        <f t="shared" si="268"/>
        <v>5.98</v>
      </c>
      <c r="G272" s="119">
        <f t="shared" si="268"/>
        <v>3.13</v>
      </c>
      <c r="H272" s="119">
        <f t="shared" si="268"/>
        <v>0</v>
      </c>
      <c r="I272" s="119">
        <f t="shared" si="268"/>
        <v>0</v>
      </c>
      <c r="J272" s="119">
        <f t="shared" si="268"/>
        <v>0.66</v>
      </c>
      <c r="K272" s="119">
        <f t="shared" si="268"/>
        <v>0.34</v>
      </c>
      <c r="L272" s="119">
        <f t="shared" si="268"/>
        <v>0.18</v>
      </c>
      <c r="M272" s="119">
        <f t="shared" si="268"/>
        <v>0.88000000000000012</v>
      </c>
      <c r="N272" s="119">
        <f t="shared" si="268"/>
        <v>0.1</v>
      </c>
      <c r="O272" s="119">
        <f t="shared" si="268"/>
        <v>2.73</v>
      </c>
      <c r="P272" s="119">
        <f t="shared" si="268"/>
        <v>4.09</v>
      </c>
      <c r="Q272" s="119">
        <f t="shared" si="268"/>
        <v>9.02</v>
      </c>
      <c r="R272" s="119">
        <f t="shared" si="268"/>
        <v>42.02</v>
      </c>
      <c r="S272" s="119">
        <f t="shared" si="268"/>
        <v>70.2</v>
      </c>
      <c r="T272" s="119">
        <f t="shared" si="268"/>
        <v>44.08</v>
      </c>
      <c r="U272" s="119">
        <f t="shared" si="268"/>
        <v>112.92</v>
      </c>
      <c r="V272" s="119">
        <f t="shared" si="268"/>
        <v>91.389999999999986</v>
      </c>
      <c r="W272" s="119">
        <f t="shared" si="268"/>
        <v>69.569999999999993</v>
      </c>
      <c r="X272" s="119">
        <f t="shared" si="268"/>
        <v>79.430000000000007</v>
      </c>
      <c r="Y272" s="119">
        <f t="shared" si="268"/>
        <v>0.85</v>
      </c>
      <c r="Z272" s="119">
        <f>SUM(B272:Y272)</f>
        <v>548.39</v>
      </c>
      <c r="AA272" s="144">
        <f t="shared" si="260"/>
        <v>5.4682994883895738E-3</v>
      </c>
      <c r="AC272" s="119">
        <v>307.15000000000003</v>
      </c>
      <c r="AD272" s="119">
        <v>240.39</v>
      </c>
      <c r="AE272" s="119">
        <v>0.85</v>
      </c>
      <c r="AF272" s="119"/>
      <c r="AG272" s="119">
        <v>548.39</v>
      </c>
      <c r="AH272" s="144">
        <v>0.43835591458633455</v>
      </c>
      <c r="AJ272" s="5" t="s">
        <v>22</v>
      </c>
      <c r="AK272" s="89">
        <v>704.51</v>
      </c>
      <c r="AL272" s="89">
        <v>5403.25</v>
      </c>
      <c r="AM272" s="527">
        <f t="shared" si="266"/>
        <v>0.13038634155369452</v>
      </c>
    </row>
    <row r="273" spans="1:39" x14ac:dyDescent="0.35">
      <c r="A273" s="6" t="s">
        <v>46</v>
      </c>
      <c r="B273" s="12">
        <v>0</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5.97</v>
      </c>
      <c r="V273" s="12">
        <v>0</v>
      </c>
      <c r="W273" s="12">
        <v>6.37</v>
      </c>
      <c r="X273" s="12">
        <v>0</v>
      </c>
      <c r="Y273" s="12">
        <v>0</v>
      </c>
      <c r="Z273" s="12">
        <f t="shared" si="261"/>
        <v>12.34</v>
      </c>
      <c r="AA273" s="150">
        <f t="shared" si="260"/>
        <v>1.2304895364015998E-4</v>
      </c>
      <c r="AC273" s="89">
        <v>5.97</v>
      </c>
      <c r="AD273" s="89">
        <v>6.37</v>
      </c>
      <c r="AE273" s="89">
        <v>0</v>
      </c>
      <c r="AF273" s="89"/>
      <c r="AG273" s="89">
        <v>12.34</v>
      </c>
      <c r="AH273" s="150">
        <v>0.51620745542949753</v>
      </c>
      <c r="AJ273" s="5" t="s">
        <v>40</v>
      </c>
      <c r="AK273" s="89">
        <v>648.6400000000001</v>
      </c>
      <c r="AL273" s="89">
        <v>3596.3199999999997</v>
      </c>
      <c r="AM273" s="527">
        <f t="shared" si="266"/>
        <v>0.18036214797348404</v>
      </c>
    </row>
    <row r="274" spans="1:39" x14ac:dyDescent="0.35">
      <c r="A274" s="6" t="s">
        <v>47</v>
      </c>
      <c r="B274" s="12">
        <v>0</v>
      </c>
      <c r="C274" s="12">
        <v>0</v>
      </c>
      <c r="D274" s="12">
        <v>0</v>
      </c>
      <c r="E274" s="12">
        <v>0</v>
      </c>
      <c r="F274" s="12">
        <v>0</v>
      </c>
      <c r="G274" s="12">
        <v>0.24</v>
      </c>
      <c r="H274" s="12">
        <v>0</v>
      </c>
      <c r="I274" s="12">
        <v>0</v>
      </c>
      <c r="J274" s="12">
        <v>0</v>
      </c>
      <c r="K274" s="12">
        <v>0</v>
      </c>
      <c r="L274" s="12">
        <v>0.18</v>
      </c>
      <c r="M274" s="12">
        <v>0</v>
      </c>
      <c r="N274" s="12">
        <v>0.1</v>
      </c>
      <c r="O274" s="12">
        <v>0</v>
      </c>
      <c r="P274" s="12">
        <v>0</v>
      </c>
      <c r="Q274" s="12">
        <v>0</v>
      </c>
      <c r="R274" s="12">
        <v>0</v>
      </c>
      <c r="S274" s="12">
        <v>0</v>
      </c>
      <c r="T274" s="12">
        <v>0</v>
      </c>
      <c r="U274" s="12">
        <v>0.24</v>
      </c>
      <c r="V274" s="12">
        <v>0.26</v>
      </c>
      <c r="W274" s="12">
        <v>0</v>
      </c>
      <c r="X274" s="12">
        <v>0.08</v>
      </c>
      <c r="Y274" s="12">
        <v>0</v>
      </c>
      <c r="Z274" s="12">
        <f t="shared" si="261"/>
        <v>1.1000000000000001</v>
      </c>
      <c r="AA274" s="150">
        <f t="shared" si="260"/>
        <v>1.0968707374730633E-5</v>
      </c>
      <c r="AC274" s="89">
        <v>0.76</v>
      </c>
      <c r="AD274" s="89">
        <v>0.34</v>
      </c>
      <c r="AE274" s="89">
        <v>0</v>
      </c>
      <c r="AF274" s="89"/>
      <c r="AG274" s="89">
        <v>1.1000000000000001</v>
      </c>
      <c r="AH274" s="150">
        <v>0.30909090909090908</v>
      </c>
      <c r="AJ274" s="5" t="s">
        <v>32</v>
      </c>
      <c r="AK274" s="89">
        <v>517.03</v>
      </c>
      <c r="AL274" s="89">
        <v>1694.5500000000002</v>
      </c>
      <c r="AM274" s="527">
        <f t="shared" si="266"/>
        <v>0.30511345194889494</v>
      </c>
    </row>
    <row r="275" spans="1:39" x14ac:dyDescent="0.35">
      <c r="A275" s="6" t="s">
        <v>48</v>
      </c>
      <c r="B275" s="12">
        <v>0</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12.66</v>
      </c>
      <c r="S275" s="12">
        <v>0</v>
      </c>
      <c r="T275" s="12">
        <v>0</v>
      </c>
      <c r="U275" s="12">
        <v>12.45</v>
      </c>
      <c r="V275" s="12">
        <v>3.2900000000000005</v>
      </c>
      <c r="W275" s="12">
        <v>1.7000000000000002</v>
      </c>
      <c r="X275" s="12">
        <v>29.21</v>
      </c>
      <c r="Y275" s="12">
        <v>0</v>
      </c>
      <c r="Z275" s="12">
        <f t="shared" si="261"/>
        <v>59.31</v>
      </c>
      <c r="AA275" s="150">
        <f t="shared" si="260"/>
        <v>5.9141275854115798E-4</v>
      </c>
      <c r="AC275" s="89">
        <v>25.11</v>
      </c>
      <c r="AD275" s="89">
        <v>34.200000000000003</v>
      </c>
      <c r="AE275" s="89">
        <v>0</v>
      </c>
      <c r="AF275" s="89"/>
      <c r="AG275" s="89">
        <v>59.31</v>
      </c>
      <c r="AH275" s="150">
        <v>0.57663125948406679</v>
      </c>
      <c r="AJ275" s="5" t="s">
        <v>26</v>
      </c>
      <c r="AK275" s="89">
        <v>486.18999999999994</v>
      </c>
      <c r="AL275" s="89">
        <v>4897.8999999999987</v>
      </c>
      <c r="AM275" s="527">
        <f t="shared" si="266"/>
        <v>9.9264991118642704E-2</v>
      </c>
    </row>
    <row r="276" spans="1:39" x14ac:dyDescent="0.35">
      <c r="A276" s="6" t="s">
        <v>49</v>
      </c>
      <c r="B276" s="12">
        <v>0</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0.14000000000000001</v>
      </c>
      <c r="U276" s="12">
        <v>1.1399999999999999</v>
      </c>
      <c r="V276" s="12">
        <v>8.0599999999999987</v>
      </c>
      <c r="W276" s="12">
        <v>4.25</v>
      </c>
      <c r="X276" s="12">
        <v>12.13</v>
      </c>
      <c r="Y276" s="12">
        <v>0</v>
      </c>
      <c r="Z276" s="12">
        <f t="shared" si="261"/>
        <v>25.72</v>
      </c>
      <c r="AA276" s="150">
        <f t="shared" ref="AA276:AA293" si="269">Z276/$Z$294</f>
        <v>2.5646832152551984E-4</v>
      </c>
      <c r="AC276" s="89">
        <v>1.2799999999999998</v>
      </c>
      <c r="AD276" s="89">
        <v>24.439999999999998</v>
      </c>
      <c r="AE276" s="89">
        <v>0</v>
      </c>
      <c r="AF276" s="89"/>
      <c r="AG276" s="89">
        <v>25.72</v>
      </c>
      <c r="AH276" s="150">
        <v>0.95023328149300146</v>
      </c>
      <c r="AJ276" s="5" t="s">
        <v>7</v>
      </c>
      <c r="AK276" s="89">
        <v>447.13</v>
      </c>
      <c r="AL276" s="89">
        <v>804.70999999999992</v>
      </c>
      <c r="AM276" s="527">
        <f t="shared" si="266"/>
        <v>0.55564116265486951</v>
      </c>
    </row>
    <row r="277" spans="1:39" x14ac:dyDescent="0.35">
      <c r="A277" s="6" t="s">
        <v>50</v>
      </c>
      <c r="B277" s="12">
        <v>0</v>
      </c>
      <c r="C277" s="12">
        <v>0</v>
      </c>
      <c r="D277" s="12">
        <v>0</v>
      </c>
      <c r="E277" s="12">
        <v>0</v>
      </c>
      <c r="F277" s="12">
        <v>0</v>
      </c>
      <c r="G277" s="12">
        <v>0</v>
      </c>
      <c r="H277" s="12">
        <v>0</v>
      </c>
      <c r="I277" s="12">
        <v>0</v>
      </c>
      <c r="J277" s="12">
        <v>0</v>
      </c>
      <c r="K277" s="12">
        <v>0</v>
      </c>
      <c r="L277" s="12">
        <v>0</v>
      </c>
      <c r="M277" s="12">
        <v>0</v>
      </c>
      <c r="N277" s="12">
        <v>0</v>
      </c>
      <c r="O277" s="12">
        <v>0</v>
      </c>
      <c r="P277" s="12">
        <v>0</v>
      </c>
      <c r="Q277" s="12">
        <v>2.0299999999999998</v>
      </c>
      <c r="R277" s="12">
        <v>0</v>
      </c>
      <c r="S277" s="12">
        <v>0</v>
      </c>
      <c r="T277" s="12">
        <v>13.29</v>
      </c>
      <c r="U277" s="12">
        <v>25.34</v>
      </c>
      <c r="V277" s="12">
        <v>22.07</v>
      </c>
      <c r="W277" s="12">
        <v>0</v>
      </c>
      <c r="X277" s="12">
        <v>0</v>
      </c>
      <c r="Y277" s="12">
        <v>0</v>
      </c>
      <c r="Z277" s="12">
        <f t="shared" si="261"/>
        <v>62.73</v>
      </c>
      <c r="AA277" s="150">
        <f t="shared" si="269"/>
        <v>6.2551546692441134E-4</v>
      </c>
      <c r="AC277" s="89">
        <v>40.659999999999997</v>
      </c>
      <c r="AD277" s="89">
        <v>22.07</v>
      </c>
      <c r="AE277" s="89">
        <v>0</v>
      </c>
      <c r="AF277" s="89"/>
      <c r="AG277" s="89">
        <v>62.73</v>
      </c>
      <c r="AH277" s="150">
        <v>0.35182528295871196</v>
      </c>
      <c r="AJ277" s="5" t="s">
        <v>23</v>
      </c>
      <c r="AK277" s="89">
        <v>421.94</v>
      </c>
      <c r="AL277" s="89">
        <v>1722.21</v>
      </c>
      <c r="AM277" s="527">
        <f t="shared" si="266"/>
        <v>0.24499915805854106</v>
      </c>
    </row>
    <row r="278" spans="1:39" x14ac:dyDescent="0.35">
      <c r="A278" s="6" t="s">
        <v>52</v>
      </c>
      <c r="B278" s="12">
        <v>6.3500000000000005</v>
      </c>
      <c r="C278" s="12">
        <v>2.95</v>
      </c>
      <c r="D278" s="12">
        <v>0</v>
      </c>
      <c r="E278" s="12">
        <v>0</v>
      </c>
      <c r="F278" s="12">
        <v>5.98</v>
      </c>
      <c r="G278" s="12">
        <v>2.89</v>
      </c>
      <c r="H278" s="12">
        <v>0</v>
      </c>
      <c r="I278" s="12">
        <v>0</v>
      </c>
      <c r="J278" s="12">
        <v>0</v>
      </c>
      <c r="K278" s="12">
        <v>0.11</v>
      </c>
      <c r="L278" s="12">
        <v>0</v>
      </c>
      <c r="M278" s="12">
        <v>0.32</v>
      </c>
      <c r="N278" s="12">
        <v>0</v>
      </c>
      <c r="O278" s="12">
        <v>0</v>
      </c>
      <c r="P278" s="12">
        <v>0</v>
      </c>
      <c r="Q278" s="12">
        <v>0</v>
      </c>
      <c r="R278" s="12">
        <v>2.35</v>
      </c>
      <c r="S278" s="12">
        <v>0.26</v>
      </c>
      <c r="T278" s="12">
        <v>0.3</v>
      </c>
      <c r="U278" s="12">
        <v>54.76</v>
      </c>
      <c r="V278" s="12">
        <v>1.51</v>
      </c>
      <c r="W278" s="12">
        <v>0</v>
      </c>
      <c r="X278" s="12">
        <v>0.06</v>
      </c>
      <c r="Y278" s="12">
        <v>0</v>
      </c>
      <c r="Z278" s="12">
        <f t="shared" si="261"/>
        <v>77.840000000000018</v>
      </c>
      <c r="AA278" s="150">
        <f t="shared" si="269"/>
        <v>7.7618562004457502E-4</v>
      </c>
      <c r="AC278" s="89">
        <v>76.27000000000001</v>
      </c>
      <c r="AD278" s="89">
        <v>1.57</v>
      </c>
      <c r="AE278" s="89">
        <v>0</v>
      </c>
      <c r="AF278" s="89"/>
      <c r="AG278" s="89">
        <v>77.84</v>
      </c>
      <c r="AH278" s="150">
        <v>2.0169578622816032E-2</v>
      </c>
      <c r="AJ278" s="5" t="s">
        <v>27</v>
      </c>
      <c r="AK278" s="89">
        <v>304.23</v>
      </c>
      <c r="AL278" s="89">
        <v>744.52</v>
      </c>
      <c r="AM278" s="527">
        <f t="shared" si="266"/>
        <v>0.40862569172084029</v>
      </c>
    </row>
    <row r="279" spans="1:39" x14ac:dyDescent="0.35">
      <c r="A279" s="6" t="s">
        <v>53</v>
      </c>
      <c r="B279" s="12">
        <v>0</v>
      </c>
      <c r="C279" s="12">
        <v>0.04</v>
      </c>
      <c r="D279" s="12">
        <v>0</v>
      </c>
      <c r="E279" s="12">
        <v>0</v>
      </c>
      <c r="F279" s="12">
        <v>0</v>
      </c>
      <c r="G279" s="12">
        <v>0</v>
      </c>
      <c r="H279" s="12">
        <v>0</v>
      </c>
      <c r="I279" s="12">
        <v>0</v>
      </c>
      <c r="J279" s="12">
        <v>0.66</v>
      </c>
      <c r="K279" s="12">
        <v>0.23</v>
      </c>
      <c r="L279" s="12">
        <v>0</v>
      </c>
      <c r="M279" s="12">
        <v>0.56000000000000005</v>
      </c>
      <c r="N279" s="12">
        <v>0</v>
      </c>
      <c r="O279" s="12">
        <v>0</v>
      </c>
      <c r="P279" s="54">
        <v>4.09</v>
      </c>
      <c r="Q279" s="12">
        <v>6.99</v>
      </c>
      <c r="R279" s="12">
        <v>19.37</v>
      </c>
      <c r="S279" s="12">
        <v>68.009999999999991</v>
      </c>
      <c r="T279" s="12">
        <v>28.770000000000003</v>
      </c>
      <c r="U279" s="12">
        <v>10.220000000000001</v>
      </c>
      <c r="V279" s="12">
        <v>47.82</v>
      </c>
      <c r="W279" s="12">
        <v>52.569999999999993</v>
      </c>
      <c r="X279" s="12">
        <v>25.060000000000002</v>
      </c>
      <c r="Y279" s="12">
        <v>0.85</v>
      </c>
      <c r="Z279" s="12">
        <f t="shared" si="261"/>
        <v>265.24</v>
      </c>
      <c r="AA279" s="150">
        <f t="shared" si="269"/>
        <v>2.6448544946123206E-3</v>
      </c>
      <c r="AC279" s="89">
        <v>138.94</v>
      </c>
      <c r="AD279" s="89">
        <v>125.44999999999999</v>
      </c>
      <c r="AE279" s="89">
        <v>0.85</v>
      </c>
      <c r="AF279" s="89"/>
      <c r="AG279" s="89">
        <v>265.24</v>
      </c>
      <c r="AH279" s="150">
        <v>0.47296787814809221</v>
      </c>
      <c r="AJ279" s="5" t="s">
        <v>20</v>
      </c>
      <c r="AK279" s="89">
        <v>284.75</v>
      </c>
      <c r="AL279" s="89">
        <v>883.65000000000009</v>
      </c>
      <c r="AM279" s="527">
        <f t="shared" si="266"/>
        <v>0.32224296950149944</v>
      </c>
    </row>
    <row r="280" spans="1:39" x14ac:dyDescent="0.35">
      <c r="A280" s="6" t="s">
        <v>54</v>
      </c>
      <c r="B280" s="12">
        <v>1.48</v>
      </c>
      <c r="C280" s="12">
        <v>0</v>
      </c>
      <c r="D280" s="12">
        <v>0</v>
      </c>
      <c r="E280" s="12">
        <v>0</v>
      </c>
      <c r="F280" s="12">
        <v>0</v>
      </c>
      <c r="G280" s="12">
        <v>0</v>
      </c>
      <c r="H280" s="12">
        <v>0</v>
      </c>
      <c r="I280" s="12">
        <v>0</v>
      </c>
      <c r="J280" s="12">
        <v>0</v>
      </c>
      <c r="K280" s="12">
        <v>0</v>
      </c>
      <c r="L280" s="12">
        <v>0</v>
      </c>
      <c r="M280" s="12">
        <v>0</v>
      </c>
      <c r="N280" s="12">
        <v>0</v>
      </c>
      <c r="O280" s="12">
        <v>2.73</v>
      </c>
      <c r="P280" s="12">
        <v>0</v>
      </c>
      <c r="Q280" s="12">
        <v>0</v>
      </c>
      <c r="R280" s="12">
        <v>7.64</v>
      </c>
      <c r="S280" s="12">
        <v>1.93</v>
      </c>
      <c r="T280" s="12">
        <v>1.5799999999999998</v>
      </c>
      <c r="U280" s="12">
        <v>2.8</v>
      </c>
      <c r="V280" s="12">
        <v>8.3800000000000008</v>
      </c>
      <c r="W280" s="12">
        <v>4.68</v>
      </c>
      <c r="X280" s="54">
        <v>12.89</v>
      </c>
      <c r="Y280" s="12">
        <v>0</v>
      </c>
      <c r="Z280" s="12">
        <f t="shared" si="261"/>
        <v>44.11</v>
      </c>
      <c r="AA280" s="150">
        <f t="shared" si="269"/>
        <v>4.3984516572669833E-4</v>
      </c>
      <c r="AC280" s="89">
        <v>18.16</v>
      </c>
      <c r="AD280" s="89">
        <v>25.950000000000003</v>
      </c>
      <c r="AE280" s="89">
        <v>0</v>
      </c>
      <c r="AF280" s="89"/>
      <c r="AG280" s="89">
        <v>44.11</v>
      </c>
      <c r="AH280" s="150">
        <v>0.58830197234187265</v>
      </c>
      <c r="AJ280" s="5" t="s">
        <v>43</v>
      </c>
      <c r="AK280" s="89">
        <v>272.5</v>
      </c>
      <c r="AL280" s="89">
        <v>873.88</v>
      </c>
      <c r="AM280" s="527">
        <f t="shared" si="266"/>
        <v>0.31182771089852152</v>
      </c>
    </row>
    <row r="281" spans="1:39" x14ac:dyDescent="0.35">
      <c r="A281" s="118" t="s">
        <v>18</v>
      </c>
      <c r="B281" s="119">
        <f>SUM(B282)</f>
        <v>113.82000000000001</v>
      </c>
      <c r="C281" s="119">
        <f t="shared" ref="C281:Y281" si="270">SUM(C282)</f>
        <v>2.72</v>
      </c>
      <c r="D281" s="119">
        <f t="shared" si="270"/>
        <v>21.11</v>
      </c>
      <c r="E281" s="119">
        <f t="shared" si="270"/>
        <v>3.65</v>
      </c>
      <c r="F281" s="119">
        <f t="shared" si="270"/>
        <v>4.88</v>
      </c>
      <c r="G281" s="119">
        <f t="shared" si="270"/>
        <v>10.53</v>
      </c>
      <c r="H281" s="119">
        <f t="shared" si="270"/>
        <v>12.68</v>
      </c>
      <c r="I281" s="119">
        <f t="shared" si="270"/>
        <v>7.39</v>
      </c>
      <c r="J281" s="119">
        <f t="shared" si="270"/>
        <v>0</v>
      </c>
      <c r="K281" s="119">
        <f t="shared" si="270"/>
        <v>0</v>
      </c>
      <c r="L281" s="119">
        <f t="shared" si="270"/>
        <v>0</v>
      </c>
      <c r="M281" s="119">
        <f t="shared" si="270"/>
        <v>1.29</v>
      </c>
      <c r="N281" s="119">
        <f t="shared" si="270"/>
        <v>0</v>
      </c>
      <c r="O281" s="119">
        <f t="shared" si="270"/>
        <v>0</v>
      </c>
      <c r="P281" s="119">
        <f t="shared" si="270"/>
        <v>0</v>
      </c>
      <c r="Q281" s="119">
        <f t="shared" si="270"/>
        <v>8.48</v>
      </c>
      <c r="R281" s="119">
        <f t="shared" si="270"/>
        <v>43.67</v>
      </c>
      <c r="S281" s="119">
        <f t="shared" si="270"/>
        <v>91.789999999999992</v>
      </c>
      <c r="T281" s="119">
        <f t="shared" si="270"/>
        <v>26.730000000000004</v>
      </c>
      <c r="U281" s="119">
        <f t="shared" si="270"/>
        <v>91.850000000000009</v>
      </c>
      <c r="V281" s="119">
        <f t="shared" si="270"/>
        <v>22.6</v>
      </c>
      <c r="W281" s="119">
        <f t="shared" si="270"/>
        <v>18.310000000000002</v>
      </c>
      <c r="X281" s="119">
        <f t="shared" si="270"/>
        <v>3.24</v>
      </c>
      <c r="Y281" s="119">
        <f t="shared" si="270"/>
        <v>0.16999999999999998</v>
      </c>
      <c r="Z281" s="119">
        <f>SUM(B281:Y281)</f>
        <v>484.91000000000008</v>
      </c>
      <c r="AA281" s="144">
        <f t="shared" si="269"/>
        <v>4.8353053573460284E-3</v>
      </c>
      <c r="AC281" s="119">
        <v>440.59000000000003</v>
      </c>
      <c r="AD281" s="119">
        <v>44.150000000000006</v>
      </c>
      <c r="AE281" s="119">
        <v>0.16999999999999998</v>
      </c>
      <c r="AF281" s="119">
        <v>73.902699999999996</v>
      </c>
      <c r="AG281" s="119">
        <v>558.81270000000006</v>
      </c>
      <c r="AH281" s="144">
        <v>7.9006794226401805E-2</v>
      </c>
      <c r="AJ281" s="5" t="s">
        <v>36</v>
      </c>
      <c r="AK281" s="89">
        <v>240.39000000000004</v>
      </c>
      <c r="AL281" s="89">
        <v>2034.7943000000005</v>
      </c>
      <c r="AM281" s="527">
        <f t="shared" si="266"/>
        <v>0.1181397058169467</v>
      </c>
    </row>
    <row r="282" spans="1:39" x14ac:dyDescent="0.35">
      <c r="A282" s="6" t="s">
        <v>18</v>
      </c>
      <c r="B282" s="12">
        <v>113.82000000000001</v>
      </c>
      <c r="C282" s="12">
        <v>2.72</v>
      </c>
      <c r="D282" s="12">
        <v>21.11</v>
      </c>
      <c r="E282" s="12">
        <v>3.65</v>
      </c>
      <c r="F282" s="12">
        <v>4.88</v>
      </c>
      <c r="G282" s="12">
        <v>10.53</v>
      </c>
      <c r="H282" s="12">
        <v>12.68</v>
      </c>
      <c r="I282" s="12">
        <v>7.39</v>
      </c>
      <c r="J282" s="12">
        <v>0</v>
      </c>
      <c r="K282" s="12">
        <v>0</v>
      </c>
      <c r="L282" s="12">
        <v>0</v>
      </c>
      <c r="M282" s="12">
        <v>1.29</v>
      </c>
      <c r="N282" s="12">
        <v>0</v>
      </c>
      <c r="O282" s="12">
        <v>0</v>
      </c>
      <c r="P282" s="12">
        <v>0</v>
      </c>
      <c r="Q282" s="12">
        <v>8.48</v>
      </c>
      <c r="R282" s="12">
        <v>43.67</v>
      </c>
      <c r="S282" s="12">
        <v>91.789999999999992</v>
      </c>
      <c r="T282" s="12">
        <v>26.730000000000004</v>
      </c>
      <c r="U282" s="12">
        <v>91.850000000000009</v>
      </c>
      <c r="V282" s="12">
        <v>22.6</v>
      </c>
      <c r="W282" s="12">
        <v>18.310000000000002</v>
      </c>
      <c r="X282" s="12">
        <v>3.24</v>
      </c>
      <c r="Y282" s="12">
        <v>0.16999999999999998</v>
      </c>
      <c r="Z282" s="12">
        <f t="shared" si="261"/>
        <v>484.91000000000008</v>
      </c>
      <c r="AA282" s="150">
        <f t="shared" si="269"/>
        <v>4.8353053573460284E-3</v>
      </c>
      <c r="AC282" s="89">
        <v>440.59000000000003</v>
      </c>
      <c r="AD282" s="89">
        <v>44.150000000000006</v>
      </c>
      <c r="AE282" s="89">
        <v>0.16999999999999998</v>
      </c>
      <c r="AF282" s="89">
        <v>73.902699999999996</v>
      </c>
      <c r="AG282" s="89">
        <v>558.81270000000006</v>
      </c>
      <c r="AH282" s="150">
        <v>7.9006794226401805E-2</v>
      </c>
      <c r="AJ282" s="5" t="s">
        <v>29</v>
      </c>
      <c r="AK282" s="89">
        <v>209.77999999999997</v>
      </c>
      <c r="AL282" s="89">
        <v>365.12189999999998</v>
      </c>
      <c r="AM282" s="527">
        <f t="shared" si="266"/>
        <v>0.57454784278894244</v>
      </c>
    </row>
    <row r="283" spans="1:39" x14ac:dyDescent="0.35">
      <c r="A283" s="118" t="s">
        <v>17</v>
      </c>
      <c r="B283" s="119">
        <f>SUM(B284:B285)</f>
        <v>132.5</v>
      </c>
      <c r="C283" s="119">
        <f t="shared" ref="C283:Y283" si="271">SUM(C284:C285)</f>
        <v>5.01</v>
      </c>
      <c r="D283" s="119">
        <f t="shared" si="271"/>
        <v>0</v>
      </c>
      <c r="E283" s="119">
        <f t="shared" si="271"/>
        <v>0</v>
      </c>
      <c r="F283" s="119">
        <f t="shared" si="271"/>
        <v>0</v>
      </c>
      <c r="G283" s="119">
        <f t="shared" si="271"/>
        <v>0</v>
      </c>
      <c r="H283" s="119">
        <f t="shared" si="271"/>
        <v>10.130000000000001</v>
      </c>
      <c r="I283" s="119">
        <f t="shared" si="271"/>
        <v>176</v>
      </c>
      <c r="J283" s="119">
        <f t="shared" si="271"/>
        <v>17.39</v>
      </c>
      <c r="K283" s="119">
        <f t="shared" si="271"/>
        <v>43.31</v>
      </c>
      <c r="L283" s="119">
        <f t="shared" si="271"/>
        <v>12.75</v>
      </c>
      <c r="M283" s="119">
        <f t="shared" si="271"/>
        <v>137.59000000000003</v>
      </c>
      <c r="N283" s="119">
        <f t="shared" si="271"/>
        <v>52.44</v>
      </c>
      <c r="O283" s="119">
        <f t="shared" si="271"/>
        <v>41.160000000000004</v>
      </c>
      <c r="P283" s="119">
        <f t="shared" si="271"/>
        <v>75.61</v>
      </c>
      <c r="Q283" s="119">
        <f t="shared" si="271"/>
        <v>125.89</v>
      </c>
      <c r="R283" s="119">
        <f t="shared" si="271"/>
        <v>728.32000000000016</v>
      </c>
      <c r="S283" s="119">
        <f t="shared" si="271"/>
        <v>880.69</v>
      </c>
      <c r="T283" s="119">
        <f t="shared" si="271"/>
        <v>1125.02</v>
      </c>
      <c r="U283" s="119">
        <f t="shared" si="271"/>
        <v>1061.6599999999999</v>
      </c>
      <c r="V283" s="119">
        <f t="shared" si="271"/>
        <v>886.03</v>
      </c>
      <c r="W283" s="119">
        <f t="shared" si="271"/>
        <v>1982.09</v>
      </c>
      <c r="X283" s="119">
        <f t="shared" si="271"/>
        <v>724.2399999999999</v>
      </c>
      <c r="Y283" s="119">
        <f t="shared" si="271"/>
        <v>2.87</v>
      </c>
      <c r="Z283" s="119">
        <f>SUM(B283:Y283)</f>
        <v>8220.7000000000007</v>
      </c>
      <c r="AA283" s="144">
        <f t="shared" si="269"/>
        <v>8.1973138832225553E-2</v>
      </c>
      <c r="AC283" s="119">
        <v>4625.47</v>
      </c>
      <c r="AD283" s="119">
        <v>3592.3599999999997</v>
      </c>
      <c r="AE283" s="119">
        <v>2.87</v>
      </c>
      <c r="AF283" s="131">
        <v>0.18</v>
      </c>
      <c r="AG283" s="119">
        <v>8220.880000000001</v>
      </c>
      <c r="AH283" s="144">
        <v>0.43697998267825333</v>
      </c>
      <c r="AJ283" s="5" t="s">
        <v>34</v>
      </c>
      <c r="AK283" s="89">
        <v>182.34</v>
      </c>
      <c r="AL283" s="89">
        <v>2424.4098000000004</v>
      </c>
      <c r="AM283" s="527">
        <f t="shared" si="266"/>
        <v>7.5210057309618189E-2</v>
      </c>
    </row>
    <row r="284" spans="1:39" x14ac:dyDescent="0.35">
      <c r="A284" s="6" t="s">
        <v>55</v>
      </c>
      <c r="B284" s="12">
        <v>132.44</v>
      </c>
      <c r="C284" s="12">
        <v>4.91</v>
      </c>
      <c r="D284" s="12">
        <v>0</v>
      </c>
      <c r="E284" s="12">
        <v>0</v>
      </c>
      <c r="F284" s="12">
        <v>0</v>
      </c>
      <c r="G284" s="12">
        <v>0</v>
      </c>
      <c r="H284" s="12">
        <v>5.6800000000000006</v>
      </c>
      <c r="I284" s="12">
        <v>175.79</v>
      </c>
      <c r="J284" s="12">
        <v>15.18</v>
      </c>
      <c r="K284" s="12">
        <v>14.610000000000001</v>
      </c>
      <c r="L284" s="12">
        <v>12.75</v>
      </c>
      <c r="M284" s="12">
        <v>75.720000000000013</v>
      </c>
      <c r="N284" s="12">
        <v>52.44</v>
      </c>
      <c r="O284" s="12">
        <v>10.96</v>
      </c>
      <c r="P284" s="12">
        <v>53.25</v>
      </c>
      <c r="Q284" s="12">
        <v>121.17</v>
      </c>
      <c r="R284" s="12">
        <v>448.01000000000005</v>
      </c>
      <c r="S284" s="12">
        <v>625.98</v>
      </c>
      <c r="T284" s="12">
        <v>620.87</v>
      </c>
      <c r="U284" s="12">
        <v>890.26999999999987</v>
      </c>
      <c r="V284" s="12">
        <v>482.87</v>
      </c>
      <c r="W284" s="12">
        <v>1394.56</v>
      </c>
      <c r="X284" s="12">
        <v>567.82999999999993</v>
      </c>
      <c r="Y284" s="12">
        <v>2.31</v>
      </c>
      <c r="Z284" s="12">
        <f t="shared" si="261"/>
        <v>5707.6</v>
      </c>
      <c r="AA284" s="150">
        <f t="shared" si="269"/>
        <v>5.69136311018296E-2</v>
      </c>
      <c r="AC284" s="89">
        <v>3260.03</v>
      </c>
      <c r="AD284" s="89">
        <v>2445.2599999999998</v>
      </c>
      <c r="AE284" s="89">
        <v>2.31</v>
      </c>
      <c r="AF284" s="89">
        <v>0.18</v>
      </c>
      <c r="AG284" s="89">
        <v>5707.7800000000007</v>
      </c>
      <c r="AH284" s="150">
        <v>0.42840824278440998</v>
      </c>
      <c r="AJ284" s="5" t="s">
        <v>61</v>
      </c>
      <c r="AK284" s="89">
        <v>138.63999999999999</v>
      </c>
      <c r="AL284" s="89">
        <v>1428.1359</v>
      </c>
      <c r="AM284" s="527">
        <f t="shared" si="266"/>
        <v>9.7077596046706752E-2</v>
      </c>
    </row>
    <row r="285" spans="1:39" x14ac:dyDescent="0.35">
      <c r="A285" s="6" t="s">
        <v>56</v>
      </c>
      <c r="B285" s="12">
        <v>0.06</v>
      </c>
      <c r="C285" s="12">
        <v>0.1</v>
      </c>
      <c r="D285" s="12">
        <v>0</v>
      </c>
      <c r="E285" s="12">
        <v>0</v>
      </c>
      <c r="F285" s="12">
        <v>0</v>
      </c>
      <c r="G285" s="12">
        <v>0</v>
      </c>
      <c r="H285" s="12">
        <v>4.45</v>
      </c>
      <c r="I285" s="12">
        <v>0.21</v>
      </c>
      <c r="J285" s="12">
        <v>2.21</v>
      </c>
      <c r="K285" s="12">
        <v>28.7</v>
      </c>
      <c r="L285" s="12">
        <v>0</v>
      </c>
      <c r="M285" s="12">
        <v>61.870000000000005</v>
      </c>
      <c r="N285" s="12">
        <v>0</v>
      </c>
      <c r="O285" s="12">
        <v>30.200000000000003</v>
      </c>
      <c r="P285" s="12">
        <v>22.36</v>
      </c>
      <c r="Q285" s="12">
        <v>4.72</v>
      </c>
      <c r="R285" s="12">
        <v>280.31000000000006</v>
      </c>
      <c r="S285" s="12">
        <v>254.70999999999998</v>
      </c>
      <c r="T285" s="12">
        <v>504.14999999999992</v>
      </c>
      <c r="U285" s="12">
        <v>171.39</v>
      </c>
      <c r="V285" s="12">
        <v>403.15999999999997</v>
      </c>
      <c r="W285" s="12">
        <v>587.53</v>
      </c>
      <c r="X285" s="12">
        <v>156.41</v>
      </c>
      <c r="Y285" s="12">
        <v>0.56000000000000005</v>
      </c>
      <c r="Z285" s="12">
        <f t="shared" si="261"/>
        <v>2513.1</v>
      </c>
      <c r="AA285" s="150">
        <f t="shared" si="269"/>
        <v>2.5059507730395954E-2</v>
      </c>
      <c r="AC285" s="89">
        <v>1365.44</v>
      </c>
      <c r="AD285" s="89">
        <v>1147.0999999999999</v>
      </c>
      <c r="AE285" s="89">
        <v>0.56000000000000005</v>
      </c>
      <c r="AF285" s="89"/>
      <c r="AG285" s="89">
        <v>2513.1</v>
      </c>
      <c r="AH285" s="150">
        <v>0.45644821137240854</v>
      </c>
      <c r="AJ285" s="5" t="s">
        <v>53</v>
      </c>
      <c r="AK285" s="89">
        <v>125.44999999999999</v>
      </c>
      <c r="AL285" s="89">
        <v>265.24</v>
      </c>
      <c r="AM285" s="527">
        <f t="shared" si="266"/>
        <v>0.47296787814809221</v>
      </c>
    </row>
    <row r="286" spans="1:39" x14ac:dyDescent="0.35">
      <c r="A286" s="118" t="s">
        <v>20</v>
      </c>
      <c r="B286" s="119">
        <v>133.63000000000002</v>
      </c>
      <c r="C286" s="119">
        <v>35.409999999999997</v>
      </c>
      <c r="D286" s="119">
        <v>1.4900000000000002</v>
      </c>
      <c r="E286" s="119">
        <v>1.88</v>
      </c>
      <c r="F286" s="119">
        <v>21.619999999999997</v>
      </c>
      <c r="G286" s="119">
        <v>9.92</v>
      </c>
      <c r="H286" s="119">
        <v>16.16</v>
      </c>
      <c r="I286" s="119">
        <v>12.91</v>
      </c>
      <c r="J286" s="119">
        <v>15.950000000000001</v>
      </c>
      <c r="K286" s="119">
        <v>5.54</v>
      </c>
      <c r="L286" s="119">
        <v>8.74</v>
      </c>
      <c r="M286" s="119">
        <v>11.73</v>
      </c>
      <c r="N286" s="119">
        <v>16.57</v>
      </c>
      <c r="O286" s="119">
        <v>9.8899999999999988</v>
      </c>
      <c r="P286" s="119">
        <v>36.470000000000006</v>
      </c>
      <c r="Q286" s="119">
        <v>29.42</v>
      </c>
      <c r="R286" s="119">
        <v>61.629999999999995</v>
      </c>
      <c r="S286" s="119">
        <v>46.910000000000004</v>
      </c>
      <c r="T286" s="119">
        <v>54.3</v>
      </c>
      <c r="U286" s="119">
        <v>63.000000000000007</v>
      </c>
      <c r="V286" s="119">
        <v>75.570000000000007</v>
      </c>
      <c r="W286" s="119">
        <v>114.91999999999999</v>
      </c>
      <c r="X286" s="119">
        <v>94.259999999999991</v>
      </c>
      <c r="Y286" s="119">
        <v>5.73</v>
      </c>
      <c r="Z286" s="119">
        <f>SUM(B286:Y286)</f>
        <v>883.65000000000009</v>
      </c>
      <c r="AA286" s="144">
        <f t="shared" si="269"/>
        <v>8.8113620651642938E-3</v>
      </c>
      <c r="AC286" s="119">
        <v>593.17000000000007</v>
      </c>
      <c r="AD286" s="119">
        <v>284.75</v>
      </c>
      <c r="AE286" s="119">
        <v>5.73</v>
      </c>
      <c r="AF286" s="119"/>
      <c r="AG286" s="119">
        <v>883.65000000000009</v>
      </c>
      <c r="AH286" s="144">
        <v>0.32224296950149944</v>
      </c>
      <c r="AJ286" s="5" t="s">
        <v>6</v>
      </c>
      <c r="AK286" s="89">
        <v>110.27999999999999</v>
      </c>
      <c r="AL286" s="89">
        <v>844.47</v>
      </c>
      <c r="AM286" s="527">
        <f t="shared" si="266"/>
        <v>0.13059078475256669</v>
      </c>
    </row>
    <row r="287" spans="1:39" x14ac:dyDescent="0.35">
      <c r="A287" s="6" t="s">
        <v>20</v>
      </c>
      <c r="B287" s="12">
        <v>133.63000000000002</v>
      </c>
      <c r="C287" s="12">
        <v>35.409999999999997</v>
      </c>
      <c r="D287" s="12">
        <v>1.4900000000000002</v>
      </c>
      <c r="E287" s="12">
        <v>1.88</v>
      </c>
      <c r="F287" s="12">
        <v>21.619999999999997</v>
      </c>
      <c r="G287" s="12">
        <v>9.92</v>
      </c>
      <c r="H287" s="12">
        <v>16.16</v>
      </c>
      <c r="I287" s="12">
        <v>12.91</v>
      </c>
      <c r="J287" s="12">
        <v>15.950000000000001</v>
      </c>
      <c r="K287" s="12">
        <v>5.54</v>
      </c>
      <c r="L287" s="12">
        <v>8.74</v>
      </c>
      <c r="M287" s="12">
        <v>11.73</v>
      </c>
      <c r="N287" s="12">
        <v>16.57</v>
      </c>
      <c r="O287" s="12">
        <v>9.8899999999999988</v>
      </c>
      <c r="P287" s="12">
        <v>36.470000000000006</v>
      </c>
      <c r="Q287" s="12">
        <v>29.42</v>
      </c>
      <c r="R287" s="12">
        <v>61.629999999999995</v>
      </c>
      <c r="S287" s="12">
        <v>46.910000000000004</v>
      </c>
      <c r="T287" s="12">
        <v>54.3</v>
      </c>
      <c r="U287" s="12">
        <v>63.000000000000007</v>
      </c>
      <c r="V287" s="12">
        <v>75.570000000000007</v>
      </c>
      <c r="W287" s="12">
        <v>114.91999999999999</v>
      </c>
      <c r="X287" s="12">
        <v>94.259999999999991</v>
      </c>
      <c r="Y287" s="12">
        <v>5.73</v>
      </c>
      <c r="Z287" s="12">
        <f t="shared" si="261"/>
        <v>883.65000000000009</v>
      </c>
      <c r="AA287" s="150">
        <f t="shared" si="269"/>
        <v>8.8113620651642938E-3</v>
      </c>
      <c r="AC287" s="89">
        <v>593.17000000000007</v>
      </c>
      <c r="AD287" s="89">
        <v>284.75</v>
      </c>
      <c r="AE287" s="89">
        <v>5.73</v>
      </c>
      <c r="AF287" s="89"/>
      <c r="AG287" s="89">
        <v>883.65000000000009</v>
      </c>
      <c r="AH287" s="150">
        <v>0.32224296950149944</v>
      </c>
      <c r="AJ287" s="5" t="s">
        <v>21</v>
      </c>
      <c r="AK287" s="89">
        <v>101.66</v>
      </c>
      <c r="AL287" s="89">
        <v>122.5</v>
      </c>
      <c r="AM287" s="527">
        <f t="shared" si="266"/>
        <v>0.82987755102040817</v>
      </c>
    </row>
    <row r="288" spans="1:39" x14ac:dyDescent="0.35">
      <c r="A288" s="118" t="s">
        <v>21</v>
      </c>
      <c r="B288" s="119">
        <v>0</v>
      </c>
      <c r="C288" s="119">
        <v>0.17</v>
      </c>
      <c r="D288" s="119">
        <v>0</v>
      </c>
      <c r="E288" s="119">
        <v>0</v>
      </c>
      <c r="F288" s="119">
        <v>0</v>
      </c>
      <c r="G288" s="119">
        <v>0.19</v>
      </c>
      <c r="H288" s="119">
        <v>0</v>
      </c>
      <c r="I288" s="119">
        <v>0</v>
      </c>
      <c r="J288" s="119">
        <v>0</v>
      </c>
      <c r="K288" s="119">
        <v>0</v>
      </c>
      <c r="L288" s="119">
        <v>0</v>
      </c>
      <c r="M288" s="119">
        <v>0</v>
      </c>
      <c r="N288" s="119">
        <v>0</v>
      </c>
      <c r="O288" s="119">
        <v>0</v>
      </c>
      <c r="P288" s="119">
        <v>0</v>
      </c>
      <c r="Q288" s="119">
        <v>0.34</v>
      </c>
      <c r="R288" s="119">
        <v>0</v>
      </c>
      <c r="S288" s="119">
        <v>6.81</v>
      </c>
      <c r="T288" s="119">
        <v>3.84</v>
      </c>
      <c r="U288" s="119">
        <v>9.36</v>
      </c>
      <c r="V288" s="119">
        <v>26.08</v>
      </c>
      <c r="W288" s="119">
        <v>2.1799999999999997</v>
      </c>
      <c r="X288" s="119">
        <v>73.400000000000006</v>
      </c>
      <c r="Y288" s="119">
        <v>0.13</v>
      </c>
      <c r="Z288" s="119">
        <f>SUM(B288:Y288)</f>
        <v>122.5</v>
      </c>
      <c r="AA288" s="144">
        <f t="shared" si="269"/>
        <v>1.2215151394586385E-3</v>
      </c>
      <c r="AC288" s="119">
        <v>20.71</v>
      </c>
      <c r="AD288" s="119">
        <v>101.66</v>
      </c>
      <c r="AE288" s="119">
        <v>0.13</v>
      </c>
      <c r="AF288" s="119"/>
      <c r="AG288" s="119">
        <v>122.5</v>
      </c>
      <c r="AH288" s="144">
        <v>0.82987755102040817</v>
      </c>
    </row>
    <row r="289" spans="1:40" x14ac:dyDescent="0.35">
      <c r="A289" s="6" t="s">
        <v>21</v>
      </c>
      <c r="B289" s="12">
        <v>0</v>
      </c>
      <c r="C289" s="12">
        <v>0.17</v>
      </c>
      <c r="D289" s="12">
        <v>0</v>
      </c>
      <c r="E289" s="12">
        <v>0</v>
      </c>
      <c r="F289" s="12">
        <v>0</v>
      </c>
      <c r="G289" s="12">
        <v>0.19</v>
      </c>
      <c r="H289" s="12">
        <v>0</v>
      </c>
      <c r="I289" s="12">
        <v>0</v>
      </c>
      <c r="J289" s="12">
        <v>0</v>
      </c>
      <c r="K289" s="12">
        <v>0</v>
      </c>
      <c r="L289" s="12">
        <v>0</v>
      </c>
      <c r="M289" s="12">
        <v>0</v>
      </c>
      <c r="N289" s="12">
        <v>0</v>
      </c>
      <c r="O289" s="12">
        <v>0</v>
      </c>
      <c r="P289" s="12">
        <v>0</v>
      </c>
      <c r="Q289" s="12">
        <v>0.34</v>
      </c>
      <c r="R289" s="12">
        <v>0</v>
      </c>
      <c r="S289" s="12">
        <v>6.81</v>
      </c>
      <c r="T289" s="12">
        <v>3.84</v>
      </c>
      <c r="U289" s="12">
        <v>9.36</v>
      </c>
      <c r="V289" s="12">
        <v>26.08</v>
      </c>
      <c r="W289" s="12">
        <v>2.1799999999999997</v>
      </c>
      <c r="X289" s="12">
        <v>73.400000000000006</v>
      </c>
      <c r="Y289" s="12">
        <v>0.13</v>
      </c>
      <c r="Z289" s="12">
        <f t="shared" si="261"/>
        <v>122.5</v>
      </c>
      <c r="AA289" s="150">
        <f t="shared" si="269"/>
        <v>1.2215151394586385E-3</v>
      </c>
      <c r="AC289" s="89">
        <v>20.71</v>
      </c>
      <c r="AD289" s="89">
        <v>101.66</v>
      </c>
      <c r="AE289" s="89">
        <v>0.13</v>
      </c>
      <c r="AF289" s="89"/>
      <c r="AG289" s="89">
        <v>122.5</v>
      </c>
      <c r="AH289" s="150">
        <v>0.82987755102040817</v>
      </c>
    </row>
    <row r="290" spans="1:40" x14ac:dyDescent="0.35">
      <c r="A290" s="118" t="s">
        <v>22</v>
      </c>
      <c r="B290" s="119">
        <v>1685.3999999999999</v>
      </c>
      <c r="C290" s="119">
        <v>318.25</v>
      </c>
      <c r="D290" s="119">
        <v>41.43</v>
      </c>
      <c r="E290" s="119">
        <v>62.25</v>
      </c>
      <c r="F290" s="119">
        <v>23.04</v>
      </c>
      <c r="G290" s="119">
        <v>40.97999999999999</v>
      </c>
      <c r="H290" s="119">
        <v>100.89999999999999</v>
      </c>
      <c r="I290" s="119">
        <v>12.92</v>
      </c>
      <c r="J290" s="119">
        <v>99.91</v>
      </c>
      <c r="K290" s="119">
        <v>70.930000000000007</v>
      </c>
      <c r="L290" s="119">
        <v>139.38</v>
      </c>
      <c r="M290" s="119">
        <v>108.14000000000003</v>
      </c>
      <c r="N290" s="119">
        <v>36.370000000000005</v>
      </c>
      <c r="O290" s="119">
        <v>208.11</v>
      </c>
      <c r="P290" s="119">
        <v>75.539999999999992</v>
      </c>
      <c r="Q290" s="119">
        <v>155.41</v>
      </c>
      <c r="R290" s="119">
        <v>431.14</v>
      </c>
      <c r="S290" s="119">
        <v>438.65999999999997</v>
      </c>
      <c r="T290" s="119">
        <v>298.90999999999997</v>
      </c>
      <c r="U290" s="119">
        <v>336.73</v>
      </c>
      <c r="V290" s="119">
        <v>251.43</v>
      </c>
      <c r="W290" s="119">
        <v>183.36999999999995</v>
      </c>
      <c r="X290" s="119">
        <v>269.71000000000004</v>
      </c>
      <c r="Y290" s="119">
        <v>12.919999999999996</v>
      </c>
      <c r="Z290" s="119">
        <f>SUM(B290:Y290)</f>
        <v>5401.83</v>
      </c>
      <c r="AA290" s="144">
        <f t="shared" si="269"/>
        <v>5.3864629598219242E-2</v>
      </c>
      <c r="AC290" s="119">
        <v>4684.3999999999996</v>
      </c>
      <c r="AD290" s="119">
        <v>704.51</v>
      </c>
      <c r="AE290" s="119">
        <v>12.919999999999996</v>
      </c>
      <c r="AF290" s="119">
        <v>1.42</v>
      </c>
      <c r="AG290" s="119">
        <v>5403.25</v>
      </c>
      <c r="AH290" s="144">
        <v>0.13038634155369452</v>
      </c>
    </row>
    <row r="291" spans="1:40" x14ac:dyDescent="0.35">
      <c r="A291" s="6" t="s">
        <v>22</v>
      </c>
      <c r="B291" s="12">
        <v>1685.3999999999999</v>
      </c>
      <c r="C291" s="12">
        <v>318.25</v>
      </c>
      <c r="D291" s="12">
        <v>41.43</v>
      </c>
      <c r="E291" s="12">
        <v>62.25</v>
      </c>
      <c r="F291" s="12">
        <v>23.04</v>
      </c>
      <c r="G291" s="12">
        <v>40.97999999999999</v>
      </c>
      <c r="H291" s="12">
        <v>100.89999999999999</v>
      </c>
      <c r="I291" s="12">
        <v>12.92</v>
      </c>
      <c r="J291" s="12">
        <v>99.91</v>
      </c>
      <c r="K291" s="12">
        <v>70.930000000000007</v>
      </c>
      <c r="L291" s="12">
        <v>139.38</v>
      </c>
      <c r="M291" s="12">
        <v>108.14000000000003</v>
      </c>
      <c r="N291" s="12">
        <v>36.370000000000005</v>
      </c>
      <c r="O291" s="12">
        <v>208.11</v>
      </c>
      <c r="P291" s="12">
        <v>75.539999999999992</v>
      </c>
      <c r="Q291" s="12">
        <v>155.41</v>
      </c>
      <c r="R291" s="12">
        <v>431.14</v>
      </c>
      <c r="S291" s="12">
        <v>438.65999999999997</v>
      </c>
      <c r="T291" s="12">
        <v>298.90999999999997</v>
      </c>
      <c r="U291" s="12">
        <v>336.73</v>
      </c>
      <c r="V291" s="12">
        <v>251.43</v>
      </c>
      <c r="W291" s="12">
        <v>183.36999999999995</v>
      </c>
      <c r="X291" s="12">
        <v>269.71000000000004</v>
      </c>
      <c r="Y291" s="12">
        <v>12.919999999999996</v>
      </c>
      <c r="Z291" s="12">
        <f t="shared" si="261"/>
        <v>5401.83</v>
      </c>
      <c r="AA291" s="150">
        <f t="shared" si="269"/>
        <v>5.3864629598219242E-2</v>
      </c>
      <c r="AC291" s="89">
        <v>4684.3999999999996</v>
      </c>
      <c r="AD291" s="89">
        <v>704.51</v>
      </c>
      <c r="AE291" s="89">
        <v>12.919999999999996</v>
      </c>
      <c r="AF291" s="89">
        <v>1.42</v>
      </c>
      <c r="AG291" s="89">
        <v>5403.25</v>
      </c>
      <c r="AH291" s="150">
        <v>0.13038634155369452</v>
      </c>
    </row>
    <row r="292" spans="1:40" x14ac:dyDescent="0.35">
      <c r="A292" s="118" t="s">
        <v>23</v>
      </c>
      <c r="B292" s="119">
        <v>399.38000000000011</v>
      </c>
      <c r="C292" s="119">
        <v>38.03</v>
      </c>
      <c r="D292" s="119">
        <v>5.8599999999999994</v>
      </c>
      <c r="E292" s="119">
        <v>2.79</v>
      </c>
      <c r="F292" s="119">
        <v>11.25</v>
      </c>
      <c r="G292" s="119">
        <v>26.22</v>
      </c>
      <c r="H292" s="119">
        <v>9.5499999999999989</v>
      </c>
      <c r="I292" s="119">
        <v>8.0300000000000011</v>
      </c>
      <c r="J292" s="119">
        <v>13.33</v>
      </c>
      <c r="K292" s="119">
        <v>67.33</v>
      </c>
      <c r="L292" s="119">
        <v>29.33</v>
      </c>
      <c r="M292" s="119">
        <v>35.650000000000006</v>
      </c>
      <c r="N292" s="119">
        <v>13.580000000000002</v>
      </c>
      <c r="O292" s="119">
        <v>17.82</v>
      </c>
      <c r="P292" s="119">
        <v>20.95</v>
      </c>
      <c r="Q292" s="119">
        <v>72.36</v>
      </c>
      <c r="R292" s="119">
        <v>102.74000000000001</v>
      </c>
      <c r="S292" s="119">
        <v>170.23000000000002</v>
      </c>
      <c r="T292" s="119">
        <v>150.82000000000002</v>
      </c>
      <c r="U292" s="119">
        <v>100.80999999999999</v>
      </c>
      <c r="V292" s="119">
        <v>127.27</v>
      </c>
      <c r="W292" s="119">
        <v>193.75</v>
      </c>
      <c r="X292" s="119">
        <v>100.92</v>
      </c>
      <c r="Y292" s="119">
        <v>3.62</v>
      </c>
      <c r="Z292" s="119">
        <f>SUM(B292:Y292)</f>
        <v>1721.6200000000001</v>
      </c>
      <c r="AA292" s="144">
        <f t="shared" si="269"/>
        <v>1.7167223627712502E-2</v>
      </c>
      <c r="AC292" s="119">
        <v>1296.0600000000002</v>
      </c>
      <c r="AD292" s="119">
        <v>421.94</v>
      </c>
      <c r="AE292" s="119">
        <v>3.62</v>
      </c>
      <c r="AF292" s="119">
        <v>0.59</v>
      </c>
      <c r="AG292" s="119">
        <v>1722.21</v>
      </c>
      <c r="AH292" s="144">
        <v>0.24499915805854106</v>
      </c>
    </row>
    <row r="293" spans="1:40" x14ac:dyDescent="0.35">
      <c r="A293" s="6" t="s">
        <v>23</v>
      </c>
      <c r="B293" s="12">
        <v>399.38000000000011</v>
      </c>
      <c r="C293" s="12">
        <v>38.03</v>
      </c>
      <c r="D293" s="12">
        <v>5.8599999999999994</v>
      </c>
      <c r="E293" s="12">
        <v>2.79</v>
      </c>
      <c r="F293" s="12">
        <v>11.25</v>
      </c>
      <c r="G293" s="12">
        <v>26.22</v>
      </c>
      <c r="H293" s="12">
        <v>9.5499999999999989</v>
      </c>
      <c r="I293" s="12">
        <v>8.0300000000000011</v>
      </c>
      <c r="J293" s="12">
        <v>13.33</v>
      </c>
      <c r="K293" s="12">
        <v>67.33</v>
      </c>
      <c r="L293" s="12">
        <v>29.33</v>
      </c>
      <c r="M293" s="12">
        <v>35.650000000000006</v>
      </c>
      <c r="N293" s="12">
        <v>13.580000000000002</v>
      </c>
      <c r="O293" s="12">
        <v>17.82</v>
      </c>
      <c r="P293" s="12">
        <v>20.95</v>
      </c>
      <c r="Q293" s="12">
        <v>72.36</v>
      </c>
      <c r="R293" s="12">
        <v>102.74000000000001</v>
      </c>
      <c r="S293" s="12">
        <v>170.23000000000002</v>
      </c>
      <c r="T293" s="12">
        <v>150.82000000000002</v>
      </c>
      <c r="U293" s="12">
        <v>100.80999999999999</v>
      </c>
      <c r="V293" s="12">
        <v>127.27</v>
      </c>
      <c r="W293" s="12">
        <v>193.75</v>
      </c>
      <c r="X293" s="12">
        <v>100.92</v>
      </c>
      <c r="Y293" s="12">
        <v>3.62</v>
      </c>
      <c r="Z293" s="12">
        <f t="shared" si="261"/>
        <v>1721.6200000000001</v>
      </c>
      <c r="AA293" s="150">
        <f t="shared" si="269"/>
        <v>1.7167223627712502E-2</v>
      </c>
      <c r="AC293" s="89">
        <v>1296.0600000000002</v>
      </c>
      <c r="AD293" s="89">
        <v>421.94</v>
      </c>
      <c r="AE293" s="89">
        <v>3.62</v>
      </c>
      <c r="AF293" s="89">
        <v>0.59</v>
      </c>
      <c r="AG293" s="89">
        <v>1722.21</v>
      </c>
      <c r="AH293" s="150">
        <v>0.24499915805854106</v>
      </c>
    </row>
    <row r="294" spans="1:40" ht="15.5" x14ac:dyDescent="0.35">
      <c r="A294" s="180" t="s">
        <v>25</v>
      </c>
      <c r="B294" s="142">
        <f>SUM(B292,B290,B288,B286,B283,B281,B272,B266,B261,B257,B253,B244)</f>
        <v>11726.769999999999</v>
      </c>
      <c r="C294" s="142">
        <f t="shared" ref="C294:Y294" si="272">SUM(C292,C290,C288,C286,C283,C281,C272,C266,C261,C257,C253,C244)</f>
        <v>2534.2600000000002</v>
      </c>
      <c r="D294" s="142">
        <f t="shared" si="272"/>
        <v>463.24</v>
      </c>
      <c r="E294" s="142">
        <f t="shared" si="272"/>
        <v>404.14</v>
      </c>
      <c r="F294" s="142">
        <f t="shared" si="272"/>
        <v>487.92999999999995</v>
      </c>
      <c r="G294" s="142">
        <f t="shared" si="272"/>
        <v>585.03</v>
      </c>
      <c r="H294" s="142">
        <f t="shared" si="272"/>
        <v>1030.5999999999999</v>
      </c>
      <c r="I294" s="142">
        <f t="shared" si="272"/>
        <v>778.11</v>
      </c>
      <c r="J294" s="142">
        <f t="shared" si="272"/>
        <v>1124.51</v>
      </c>
      <c r="K294" s="142">
        <f t="shared" si="272"/>
        <v>1403.2200000000003</v>
      </c>
      <c r="L294" s="142">
        <f t="shared" si="272"/>
        <v>1078.1500000000001</v>
      </c>
      <c r="M294" s="142">
        <f t="shared" si="272"/>
        <v>1298.49</v>
      </c>
      <c r="N294" s="142">
        <f t="shared" si="272"/>
        <v>947.38000000000011</v>
      </c>
      <c r="O294" s="142">
        <f>SUM(O292,O290,O288,O286,O283,O281,O272,O266,O261,O257,O253,O244)</f>
        <v>1310.0800000000002</v>
      </c>
      <c r="P294" s="142">
        <f t="shared" si="272"/>
        <v>1749.0300000000002</v>
      </c>
      <c r="Q294" s="142">
        <f t="shared" si="272"/>
        <v>3400</v>
      </c>
      <c r="R294" s="142">
        <f t="shared" si="272"/>
        <v>7162.9</v>
      </c>
      <c r="S294" s="142">
        <f t="shared" si="272"/>
        <v>12260.47</v>
      </c>
      <c r="T294" s="142">
        <f t="shared" si="272"/>
        <v>12819.939999999999</v>
      </c>
      <c r="U294" s="142">
        <f t="shared" si="272"/>
        <v>7944.27</v>
      </c>
      <c r="V294" s="142">
        <f t="shared" si="272"/>
        <v>7661.9199999999992</v>
      </c>
      <c r="W294" s="142">
        <f t="shared" si="272"/>
        <v>13000.239999999998</v>
      </c>
      <c r="X294" s="142">
        <f t="shared" si="272"/>
        <v>9039.35</v>
      </c>
      <c r="Y294" s="142">
        <f t="shared" si="272"/>
        <v>75.259999999999991</v>
      </c>
      <c r="Z294" s="142">
        <f>SUM(B294:Y294)</f>
        <v>100285.29</v>
      </c>
      <c r="AA294" s="188">
        <f>SUM(AA292,AA290,AA288,AA286,AA283,AA281,AA272,AA266,AA261,AA257,AA253,AA244)</f>
        <v>1</v>
      </c>
      <c r="AC294" s="142">
        <v>70508.52</v>
      </c>
      <c r="AD294" s="142">
        <v>29701.509999999995</v>
      </c>
      <c r="AE294" s="142">
        <v>75.259999999999991</v>
      </c>
      <c r="AF294" s="142">
        <v>213.49459999999999</v>
      </c>
      <c r="AG294" s="142">
        <v>100498.7846</v>
      </c>
      <c r="AH294" s="197">
        <v>0.29554098706980775</v>
      </c>
    </row>
    <row r="295" spans="1:40" x14ac:dyDescent="0.35">
      <c r="A295" s="378" t="s">
        <v>253</v>
      </c>
      <c r="B295" s="379"/>
      <c r="C295" s="379">
        <f>C294+B294</f>
        <v>14261.029999999999</v>
      </c>
      <c r="D295" s="379">
        <f>D294+C295</f>
        <v>14724.269999999999</v>
      </c>
      <c r="E295" s="379">
        <f>E294+D295</f>
        <v>15128.409999999998</v>
      </c>
      <c r="F295" s="379">
        <f t="shared" ref="F295" si="273">F294+E295</f>
        <v>15616.339999999998</v>
      </c>
      <c r="G295" s="379">
        <f t="shared" ref="G295" si="274">G294+F295</f>
        <v>16201.369999999999</v>
      </c>
      <c r="H295" s="379">
        <f t="shared" ref="H295" si="275">H294+G295</f>
        <v>17231.969999999998</v>
      </c>
      <c r="I295" s="379">
        <f t="shared" ref="I295" si="276">I294+H295</f>
        <v>18010.079999999998</v>
      </c>
      <c r="J295" s="379">
        <f t="shared" ref="J295" si="277">J294+I295</f>
        <v>19134.589999999997</v>
      </c>
      <c r="K295" s="379">
        <f t="shared" ref="K295" si="278">K294+J295</f>
        <v>20537.809999999998</v>
      </c>
      <c r="L295" s="379">
        <f t="shared" ref="L295" si="279">L294+K295</f>
        <v>21615.96</v>
      </c>
      <c r="M295" s="379">
        <f t="shared" ref="M295" si="280">M294+L295</f>
        <v>22914.45</v>
      </c>
      <c r="N295" s="379">
        <f t="shared" ref="N295" si="281">N294+M295</f>
        <v>23861.83</v>
      </c>
      <c r="O295" s="379">
        <f t="shared" ref="O295" si="282">O294+N295</f>
        <v>25171.910000000003</v>
      </c>
      <c r="P295" s="379">
        <f t="shared" ref="P295" si="283">P294+O295</f>
        <v>26920.940000000002</v>
      </c>
      <c r="Q295" s="379">
        <f t="shared" ref="Q295" si="284">Q294+P295</f>
        <v>30320.940000000002</v>
      </c>
      <c r="R295" s="379">
        <f t="shared" ref="R295" si="285">R294+Q295</f>
        <v>37483.840000000004</v>
      </c>
      <c r="S295" s="379">
        <f t="shared" ref="S295" si="286">S294+R295</f>
        <v>49744.310000000005</v>
      </c>
      <c r="T295" s="379">
        <f t="shared" ref="T295" si="287">T294+S295</f>
        <v>62564.25</v>
      </c>
      <c r="U295" s="379">
        <f t="shared" ref="U295" si="288">U294+T295</f>
        <v>70508.52</v>
      </c>
      <c r="V295" s="379">
        <f t="shared" ref="V295" si="289">V294+U295</f>
        <v>78170.44</v>
      </c>
      <c r="W295" s="379">
        <f t="shared" ref="W295" si="290">W294+V295</f>
        <v>91170.68</v>
      </c>
      <c r="X295" s="379">
        <f t="shared" ref="X295" si="291">X294+W295</f>
        <v>100210.03</v>
      </c>
    </row>
    <row r="296" spans="1:40" x14ac:dyDescent="0.35">
      <c r="A296" s="380" t="s">
        <v>254</v>
      </c>
      <c r="B296" s="379"/>
      <c r="C296" s="381"/>
      <c r="D296" s="381">
        <f t="shared" ref="D296:X296" si="292">D295/C295-1</f>
        <v>3.2482927249995353E-2</v>
      </c>
      <c r="E296" s="381">
        <f t="shared" si="292"/>
        <v>2.7447201117610565E-2</v>
      </c>
      <c r="F296" s="381">
        <f t="shared" si="292"/>
        <v>3.2252563223762465E-2</v>
      </c>
      <c r="G296" s="381">
        <f t="shared" si="292"/>
        <v>3.7462683317601941E-2</v>
      </c>
      <c r="H296" s="381">
        <f t="shared" si="292"/>
        <v>6.3611904425366461E-2</v>
      </c>
      <c r="I296" s="381">
        <f t="shared" si="292"/>
        <v>4.5155022902198638E-2</v>
      </c>
      <c r="J296" s="381">
        <f t="shared" si="292"/>
        <v>6.2437812602720077E-2</v>
      </c>
      <c r="K296" s="381">
        <f t="shared" si="292"/>
        <v>7.3334207840356269E-2</v>
      </c>
      <c r="L296" s="381">
        <f t="shared" si="292"/>
        <v>5.2495860074662337E-2</v>
      </c>
      <c r="M296" s="381">
        <f t="shared" si="292"/>
        <v>6.00708920630868E-2</v>
      </c>
      <c r="N296" s="381">
        <f t="shared" si="292"/>
        <v>4.1344217295200325E-2</v>
      </c>
      <c r="O296" s="381">
        <f t="shared" si="292"/>
        <v>5.4902746352647691E-2</v>
      </c>
      <c r="P296" s="381">
        <f t="shared" si="292"/>
        <v>6.948340431854394E-2</v>
      </c>
      <c r="Q296" s="381">
        <f t="shared" si="292"/>
        <v>0.12629573855890608</v>
      </c>
      <c r="R296" s="381">
        <f t="shared" si="292"/>
        <v>0.236236079752145</v>
      </c>
      <c r="S296" s="381">
        <f t="shared" si="292"/>
        <v>0.32708681927998828</v>
      </c>
      <c r="T296" s="381">
        <f t="shared" si="292"/>
        <v>0.25771671172039556</v>
      </c>
      <c r="U296" s="381">
        <f t="shared" si="292"/>
        <v>0.12697778683513361</v>
      </c>
      <c r="V296" s="381">
        <f t="shared" si="292"/>
        <v>0.10866658383979688</v>
      </c>
      <c r="W296" s="381">
        <f t="shared" si="292"/>
        <v>0.16630634290916091</v>
      </c>
      <c r="X296" s="381">
        <f t="shared" si="292"/>
        <v>9.9147554893744383E-2</v>
      </c>
    </row>
    <row r="297" spans="1:40" s="210" customFormat="1" x14ac:dyDescent="0.35">
      <c r="A297" s="522" t="s">
        <v>313</v>
      </c>
      <c r="B297" s="523">
        <f>B292+B290+B288+B286+B283+B281+B272+B266+B261+B257+B253+B244</f>
        <v>11726.769999999999</v>
      </c>
      <c r="C297" s="523">
        <f t="shared" ref="C297:J297" si="293">C292+C290+C288+C286+C283+C281+C272+C266+C261+C257+C253+C244</f>
        <v>2534.2600000000002</v>
      </c>
      <c r="D297" s="523">
        <f t="shared" si="293"/>
        <v>463.24</v>
      </c>
      <c r="E297" s="523">
        <f t="shared" si="293"/>
        <v>404.14</v>
      </c>
      <c r="F297" s="523">
        <f t="shared" si="293"/>
        <v>487.92999999999995</v>
      </c>
      <c r="G297" s="523">
        <f t="shared" si="293"/>
        <v>585.03</v>
      </c>
      <c r="H297" s="523">
        <f t="shared" si="293"/>
        <v>1030.5999999999999</v>
      </c>
      <c r="I297" s="523">
        <f t="shared" si="293"/>
        <v>778.11</v>
      </c>
      <c r="J297" s="523">
        <f t="shared" si="293"/>
        <v>1124.51</v>
      </c>
      <c r="K297" s="523">
        <f>K292+K290+K288+K286+K283+K281+K272+K266+K261+K257+K253+K244</f>
        <v>1403.2200000000003</v>
      </c>
      <c r="L297" s="523">
        <f t="shared" ref="L297:Z297" si="294">L292+L290+L288+L286+L283+L281+L272+L266+L261+L257+L253+L244</f>
        <v>1078.1500000000001</v>
      </c>
      <c r="M297" s="523">
        <f t="shared" si="294"/>
        <v>1298.49</v>
      </c>
      <c r="N297" s="523">
        <f t="shared" si="294"/>
        <v>947.38000000000011</v>
      </c>
      <c r="O297" s="523">
        <f t="shared" si="294"/>
        <v>1310.0800000000002</v>
      </c>
      <c r="P297" s="523">
        <f t="shared" si="294"/>
        <v>1749.0300000000002</v>
      </c>
      <c r="Q297" s="523">
        <f t="shared" si="294"/>
        <v>3400</v>
      </c>
      <c r="R297" s="523">
        <f t="shared" si="294"/>
        <v>7162.9</v>
      </c>
      <c r="S297" s="523">
        <f t="shared" si="294"/>
        <v>12260.47</v>
      </c>
      <c r="T297" s="523">
        <f t="shared" si="294"/>
        <v>12819.939999999999</v>
      </c>
      <c r="U297" s="523">
        <f t="shared" si="294"/>
        <v>7944.27</v>
      </c>
      <c r="V297" s="523">
        <f t="shared" si="294"/>
        <v>7661.9199999999992</v>
      </c>
      <c r="W297" s="523">
        <f t="shared" si="294"/>
        <v>13000.239999999998</v>
      </c>
      <c r="X297" s="523">
        <f t="shared" si="294"/>
        <v>9039.35</v>
      </c>
      <c r="Y297" s="523">
        <f t="shared" si="294"/>
        <v>75.259999999999991</v>
      </c>
      <c r="Z297" s="523">
        <f t="shared" si="294"/>
        <v>100285.29</v>
      </c>
      <c r="AC297" s="523">
        <f t="shared" ref="AC297:AG297" si="295">AC292+AC290+AC288+AC286+AC283+AC281+AC272+AC266+AC261+AC257+AC253+AC244</f>
        <v>70508.51999999999</v>
      </c>
      <c r="AD297" s="523">
        <f t="shared" si="295"/>
        <v>29701.510000000002</v>
      </c>
      <c r="AE297" s="523">
        <f t="shared" si="295"/>
        <v>75.259999999999991</v>
      </c>
      <c r="AF297" s="523">
        <f t="shared" si="295"/>
        <v>213.49459999999999</v>
      </c>
      <c r="AG297" s="523">
        <f t="shared" si="295"/>
        <v>100498.78459999998</v>
      </c>
      <c r="AH297" s="523"/>
      <c r="AI297" s="523">
        <f t="shared" ref="AI297:AN297" si="296">AI292+AI290+AI288+AI286+AI284+AI281+AI279+AI269+AI263+AI258+AI254+AI250+AI241</f>
        <v>0</v>
      </c>
      <c r="AJ297" s="523" t="e">
        <f t="shared" si="296"/>
        <v>#VALUE!</v>
      </c>
      <c r="AK297" s="523">
        <f t="shared" si="296"/>
        <v>4893</v>
      </c>
      <c r="AL297" s="523">
        <f t="shared" si="296"/>
        <v>20501.810199999996</v>
      </c>
      <c r="AM297" s="523">
        <f t="shared" si="296"/>
        <v>1.3028550599536257</v>
      </c>
      <c r="AN297" s="523">
        <f t="shared" si="296"/>
        <v>0</v>
      </c>
    </row>
    <row r="298" spans="1:40" x14ac:dyDescent="0.35">
      <c r="A298" s="380"/>
      <c r="B298" s="379"/>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row>
    <row r="299" spans="1:40" ht="15.5" x14ac:dyDescent="0.35">
      <c r="A299" s="146" t="s">
        <v>99</v>
      </c>
      <c r="B299" s="147" t="s">
        <v>134</v>
      </c>
      <c r="C299" s="147">
        <v>2000</v>
      </c>
      <c r="D299" s="147">
        <v>2001</v>
      </c>
      <c r="E299" s="147">
        <v>2002</v>
      </c>
      <c r="F299" s="147">
        <v>2003</v>
      </c>
      <c r="G299" s="147">
        <v>2004</v>
      </c>
      <c r="H299" s="147">
        <v>2005</v>
      </c>
      <c r="I299" s="147">
        <v>2006</v>
      </c>
      <c r="J299" s="147">
        <v>2007</v>
      </c>
      <c r="K299" s="147">
        <v>2008</v>
      </c>
      <c r="L299" s="147">
        <v>2009</v>
      </c>
      <c r="M299" s="147">
        <v>2010</v>
      </c>
      <c r="N299" s="147">
        <v>2011</v>
      </c>
      <c r="O299" s="147">
        <v>2012</v>
      </c>
      <c r="P299" s="147">
        <v>2013</v>
      </c>
      <c r="Q299" s="147">
        <v>2014</v>
      </c>
      <c r="R299" s="147">
        <v>2015</v>
      </c>
      <c r="S299" s="147">
        <v>2016</v>
      </c>
      <c r="T299" s="147">
        <v>2017</v>
      </c>
      <c r="U299" s="147">
        <v>2018</v>
      </c>
      <c r="V299" s="147">
        <v>2019</v>
      </c>
      <c r="W299" s="147">
        <v>2020</v>
      </c>
      <c r="X299" s="147">
        <v>2021</v>
      </c>
      <c r="Y299" s="148" t="s">
        <v>90</v>
      </c>
    </row>
    <row r="300" spans="1:40" x14ac:dyDescent="0.35">
      <c r="A300" s="145" t="s">
        <v>5</v>
      </c>
      <c r="B300" s="22">
        <f t="shared" ref="B300:Y300" si="297">B244/$Z$244</f>
        <v>4.7951732419782227E-2</v>
      </c>
      <c r="C300" s="22">
        <f t="shared" si="297"/>
        <v>1.5250166547729671E-2</v>
      </c>
      <c r="D300" s="22">
        <f t="shared" si="297"/>
        <v>2.7714835791484405E-3</v>
      </c>
      <c r="E300" s="22">
        <f t="shared" si="297"/>
        <v>1.8063331975080004E-3</v>
      </c>
      <c r="F300" s="22">
        <f t="shared" si="297"/>
        <v>3.4664206000317647E-3</v>
      </c>
      <c r="G300" s="22">
        <f t="shared" si="297"/>
        <v>3.7276508038488155E-3</v>
      </c>
      <c r="H300" s="22">
        <f t="shared" si="297"/>
        <v>3.9687587361201242E-3</v>
      </c>
      <c r="I300" s="22">
        <f t="shared" si="297"/>
        <v>2.5361248673187722E-3</v>
      </c>
      <c r="J300" s="22">
        <f t="shared" si="297"/>
        <v>5.2648486194325087E-3</v>
      </c>
      <c r="K300" s="22">
        <f t="shared" si="297"/>
        <v>1.1330635511641096E-2</v>
      </c>
      <c r="L300" s="22">
        <f t="shared" si="297"/>
        <v>5.3769584180445047E-3</v>
      </c>
      <c r="M300" s="22">
        <f t="shared" si="297"/>
        <v>6.8192940963411252E-3</v>
      </c>
      <c r="N300" s="22">
        <f t="shared" si="297"/>
        <v>3.5339739402210435E-3</v>
      </c>
      <c r="O300" s="22">
        <f t="shared" si="297"/>
        <v>4.2993389115144687E-3</v>
      </c>
      <c r="P300" s="22">
        <f t="shared" si="297"/>
        <v>1.6392824110505768E-2</v>
      </c>
      <c r="Q300" s="22">
        <f t="shared" si="297"/>
        <v>2.6544510105332909E-2</v>
      </c>
      <c r="R300" s="22">
        <f t="shared" si="297"/>
        <v>5.9361060386218252E-2</v>
      </c>
      <c r="S300" s="22">
        <f t="shared" si="297"/>
        <v>0.16049559717512055</v>
      </c>
      <c r="T300" s="22">
        <f t="shared" si="297"/>
        <v>0.152516757180956</v>
      </c>
      <c r="U300" s="22">
        <f t="shared" si="297"/>
        <v>7.7917388014168962E-2</v>
      </c>
      <c r="V300" s="22">
        <f t="shared" si="297"/>
        <v>8.3972754444327072E-2</v>
      </c>
      <c r="W300" s="22">
        <f t="shared" si="297"/>
        <v>0.17176874048234525</v>
      </c>
      <c r="X300" s="22">
        <f t="shared" si="297"/>
        <v>0.13251665656959827</v>
      </c>
      <c r="Y300" s="384">
        <f t="shared" si="297"/>
        <v>4.0999128274450556E-4</v>
      </c>
      <c r="AD300" s="141"/>
    </row>
    <row r="301" spans="1:40" x14ac:dyDescent="0.35">
      <c r="A301" s="145" t="s">
        <v>12</v>
      </c>
      <c r="B301" s="22">
        <f t="shared" ref="B301:Y301" si="298">B253/$Z$253</f>
        <v>0.11835183556693987</v>
      </c>
      <c r="C301" s="22">
        <f t="shared" si="298"/>
        <v>3.2920158049729607E-2</v>
      </c>
      <c r="D301" s="22">
        <f t="shared" si="298"/>
        <v>8.4195745884021803E-3</v>
      </c>
      <c r="E301" s="22">
        <f t="shared" si="298"/>
        <v>6.3037784811794785E-3</v>
      </c>
      <c r="F301" s="22">
        <f t="shared" si="298"/>
        <v>9.1729226021177116E-3</v>
      </c>
      <c r="G301" s="22">
        <f t="shared" si="298"/>
        <v>5.9553789862868611E-3</v>
      </c>
      <c r="H301" s="22">
        <f t="shared" si="298"/>
        <v>1.9002868185662904E-2</v>
      </c>
      <c r="I301" s="22">
        <f t="shared" si="298"/>
        <v>1.3122728154944325E-2</v>
      </c>
      <c r="J301" s="22">
        <f t="shared" si="298"/>
        <v>1.7802399499684908E-2</v>
      </c>
      <c r="K301" s="22">
        <f t="shared" si="298"/>
        <v>2.1588308728916924E-2</v>
      </c>
      <c r="L301" s="22">
        <f t="shared" si="298"/>
        <v>1.5612802123943002E-2</v>
      </c>
      <c r="M301" s="22">
        <f t="shared" si="298"/>
        <v>2.1541344285313783E-2</v>
      </c>
      <c r="N301" s="22">
        <f t="shared" si="298"/>
        <v>1.29487680220062E-2</v>
      </c>
      <c r="O301" s="22">
        <f t="shared" si="298"/>
        <v>1.9995830707557682E-2</v>
      </c>
      <c r="P301" s="22">
        <f t="shared" si="298"/>
        <v>1.7515341318886178E-2</v>
      </c>
      <c r="Q301" s="22">
        <f t="shared" si="298"/>
        <v>3.3368716409041134E-2</v>
      </c>
      <c r="R301" s="22">
        <f t="shared" si="298"/>
        <v>5.7504606588919753E-2</v>
      </c>
      <c r="S301" s="22">
        <f t="shared" si="298"/>
        <v>6.3620527295686707E-2</v>
      </c>
      <c r="T301" s="22">
        <f t="shared" si="298"/>
        <v>0.12607652808162231</v>
      </c>
      <c r="U301" s="22">
        <f t="shared" si="298"/>
        <v>7.9111126020458292E-2</v>
      </c>
      <c r="V301" s="22">
        <f t="shared" si="298"/>
        <v>7.2105277030313636E-2</v>
      </c>
      <c r="W301" s="22">
        <f t="shared" si="298"/>
        <v>0.12363677315934125</v>
      </c>
      <c r="X301" s="22">
        <f t="shared" si="298"/>
        <v>0.10342337247835683</v>
      </c>
      <c r="Y301" s="383">
        <f t="shared" si="298"/>
        <v>8.9903363468851305E-4</v>
      </c>
    </row>
    <row r="302" spans="1:40" x14ac:dyDescent="0.35">
      <c r="A302" s="145" t="s">
        <v>13</v>
      </c>
      <c r="B302" s="22">
        <f t="shared" ref="B302:Y302" si="299">B257/$Z$257</f>
        <v>0.34305939704052002</v>
      </c>
      <c r="C302" s="22">
        <f t="shared" si="299"/>
        <v>7.0040450836675427E-2</v>
      </c>
      <c r="D302" s="22">
        <f t="shared" si="299"/>
        <v>4.0105103028626743E-3</v>
      </c>
      <c r="E302" s="22">
        <f t="shared" si="299"/>
        <v>2.2230673489143965E-3</v>
      </c>
      <c r="F302" s="22">
        <f t="shared" si="299"/>
        <v>5.4677776241183794E-3</v>
      </c>
      <c r="G302" s="22">
        <f t="shared" si="299"/>
        <v>1.1824090720508919E-2</v>
      </c>
      <c r="H302" s="22">
        <f t="shared" si="299"/>
        <v>2.10880237864749E-2</v>
      </c>
      <c r="I302" s="22">
        <f t="shared" si="299"/>
        <v>6.5862259715115459E-3</v>
      </c>
      <c r="J302" s="22">
        <f t="shared" si="299"/>
        <v>7.8083944129442679E-3</v>
      </c>
      <c r="K302" s="22">
        <f t="shared" si="299"/>
        <v>1.0798990457751349E-2</v>
      </c>
      <c r="L302" s="22">
        <f t="shared" si="299"/>
        <v>2.6429608629511825E-2</v>
      </c>
      <c r="M302" s="22">
        <f t="shared" si="299"/>
        <v>1.8937560503388191E-2</v>
      </c>
      <c r="N302" s="22">
        <f t="shared" si="299"/>
        <v>1.4887290831143688E-2</v>
      </c>
      <c r="O302" s="22">
        <f t="shared" si="299"/>
        <v>1.183100539344489E-2</v>
      </c>
      <c r="P302" s="22">
        <f t="shared" si="299"/>
        <v>1.4462038445581523E-2</v>
      </c>
      <c r="Q302" s="22">
        <f t="shared" si="299"/>
        <v>4.4592725764071355E-2</v>
      </c>
      <c r="R302" s="22">
        <f t="shared" si="299"/>
        <v>6.2895865025584294E-2</v>
      </c>
      <c r="S302" s="22">
        <f t="shared" si="299"/>
        <v>8.4637325404508343E-2</v>
      </c>
      <c r="T302" s="22">
        <f t="shared" si="299"/>
        <v>8.2792836398838318E-2</v>
      </c>
      <c r="U302" s="22">
        <f t="shared" si="299"/>
        <v>5.6508435900981882E-2</v>
      </c>
      <c r="V302" s="22">
        <f t="shared" si="299"/>
        <v>4.1940948693126819E-2</v>
      </c>
      <c r="W302" s="22">
        <f t="shared" si="299"/>
        <v>3.391992808740147E-2</v>
      </c>
      <c r="X302" s="22">
        <f t="shared" si="299"/>
        <v>2.1181371871110494E-2</v>
      </c>
      <c r="Y302" s="383">
        <f t="shared" si="299"/>
        <v>2.076130549025031E-3</v>
      </c>
    </row>
    <row r="303" spans="1:40" x14ac:dyDescent="0.35">
      <c r="A303" s="145" t="s">
        <v>14</v>
      </c>
      <c r="B303" s="22">
        <f t="shared" ref="B303:Y303" si="300">B261/$Z$261</f>
        <v>0.19087408661182206</v>
      </c>
      <c r="C303" s="22">
        <f t="shared" si="300"/>
        <v>1.8665267160890044E-2</v>
      </c>
      <c r="D303" s="22">
        <f t="shared" si="300"/>
        <v>1.7191572923593212E-3</v>
      </c>
      <c r="E303" s="22">
        <f t="shared" si="300"/>
        <v>1.6046689271249498E-3</v>
      </c>
      <c r="F303" s="22">
        <f t="shared" si="300"/>
        <v>4.3936055042342378E-3</v>
      </c>
      <c r="G303" s="22">
        <f t="shared" si="300"/>
        <v>2.7871047632655379E-3</v>
      </c>
      <c r="H303" s="22">
        <f t="shared" si="300"/>
        <v>6.1979421403279304E-3</v>
      </c>
      <c r="I303" s="22">
        <f t="shared" si="300"/>
        <v>4.3945214111561137E-3</v>
      </c>
      <c r="J303" s="22">
        <f t="shared" si="300"/>
        <v>7.50952085245289E-3</v>
      </c>
      <c r="K303" s="22">
        <f t="shared" si="300"/>
        <v>1.68187988063901E-2</v>
      </c>
      <c r="L303" s="22">
        <f t="shared" si="300"/>
        <v>8.2486577384059939E-3</v>
      </c>
      <c r="M303" s="22">
        <f t="shared" si="300"/>
        <v>9.1096102449684663E-3</v>
      </c>
      <c r="N303" s="22">
        <f t="shared" si="300"/>
        <v>1.295733522376522E-2</v>
      </c>
      <c r="O303" s="22">
        <f t="shared" si="300"/>
        <v>9.1242647557184652E-3</v>
      </c>
      <c r="P303" s="22">
        <f t="shared" si="300"/>
        <v>2.5454885172749204E-2</v>
      </c>
      <c r="Q303" s="22">
        <f t="shared" si="300"/>
        <v>4.1753448847514314E-2</v>
      </c>
      <c r="R303" s="22">
        <f t="shared" si="300"/>
        <v>6.8181027171294761E-2</v>
      </c>
      <c r="S303" s="22">
        <f t="shared" si="300"/>
        <v>0.11746597863738698</v>
      </c>
      <c r="T303" s="22">
        <f t="shared" si="300"/>
        <v>0.14365175753379242</v>
      </c>
      <c r="U303" s="22">
        <f t="shared" si="300"/>
        <v>7.3391621649841463E-2</v>
      </c>
      <c r="V303" s="22">
        <f t="shared" si="300"/>
        <v>6.7414413077685406E-2</v>
      </c>
      <c r="W303" s="22">
        <f t="shared" si="300"/>
        <v>0.11245596777473087</v>
      </c>
      <c r="X303" s="22">
        <f t="shared" si="300"/>
        <v>5.5819031446748262E-2</v>
      </c>
      <c r="Y303" s="385">
        <f t="shared" si="300"/>
        <v>7.3272553749997719E-6</v>
      </c>
    </row>
    <row r="304" spans="1:40" x14ac:dyDescent="0.35">
      <c r="A304" s="145" t="s">
        <v>15</v>
      </c>
      <c r="B304" s="22">
        <f t="shared" ref="B304:Y304" si="301">B266/$Z$266</f>
        <v>7.8937655267614523E-2</v>
      </c>
      <c r="C304" s="22">
        <f t="shared" si="301"/>
        <v>2.3504117234333832E-2</v>
      </c>
      <c r="D304" s="22">
        <f t="shared" si="301"/>
        <v>5.6313435462380396E-3</v>
      </c>
      <c r="E304" s="22">
        <f t="shared" si="301"/>
        <v>6.9351915548130378E-3</v>
      </c>
      <c r="F304" s="22">
        <f t="shared" si="301"/>
        <v>3.0670710385760748E-3</v>
      </c>
      <c r="G304" s="22">
        <f t="shared" si="301"/>
        <v>9.5543148113019991E-3</v>
      </c>
      <c r="H304" s="22">
        <f t="shared" si="301"/>
        <v>1.0543913738055681E-2</v>
      </c>
      <c r="I304" s="22">
        <f t="shared" si="301"/>
        <v>7.4488459630991603E-3</v>
      </c>
      <c r="J304" s="22">
        <f t="shared" si="301"/>
        <v>1.8975502284305147E-2</v>
      </c>
      <c r="K304" s="22">
        <f t="shared" si="301"/>
        <v>1.1647785058198933E-2</v>
      </c>
      <c r="L304" s="22">
        <f t="shared" si="301"/>
        <v>9.6783003581296812E-3</v>
      </c>
      <c r="M304" s="22">
        <f t="shared" si="301"/>
        <v>8.8515395919561389E-3</v>
      </c>
      <c r="N304" s="22">
        <f t="shared" si="301"/>
        <v>1.3265882148595254E-2</v>
      </c>
      <c r="O304" s="22">
        <f t="shared" si="301"/>
        <v>1.8592689766450083E-2</v>
      </c>
      <c r="P304" s="22">
        <f t="shared" si="301"/>
        <v>2.0174219690961746E-2</v>
      </c>
      <c r="Q304" s="22">
        <f t="shared" si="301"/>
        <v>4.857833715384037E-2</v>
      </c>
      <c r="R304" s="22">
        <f t="shared" si="301"/>
        <v>0.10245548518915509</v>
      </c>
      <c r="S304" s="22">
        <f t="shared" si="301"/>
        <v>0.17077609238694466</v>
      </c>
      <c r="T304" s="22">
        <f t="shared" si="301"/>
        <v>0.12533110425984631</v>
      </c>
      <c r="U304" s="22">
        <f t="shared" si="301"/>
        <v>6.9735870789919358E-2</v>
      </c>
      <c r="V304" s="22">
        <f t="shared" si="301"/>
        <v>7.7781218646512079E-2</v>
      </c>
      <c r="W304" s="22">
        <f t="shared" si="301"/>
        <v>9.4378141062413309E-2</v>
      </c>
      <c r="X304" s="22">
        <f t="shared" si="301"/>
        <v>6.3771994578917662E-2</v>
      </c>
      <c r="Y304" s="384">
        <f t="shared" si="301"/>
        <v>3.8338387982200941E-4</v>
      </c>
    </row>
    <row r="305" spans="1:174" x14ac:dyDescent="0.35">
      <c r="A305" s="145" t="s">
        <v>16</v>
      </c>
      <c r="B305" s="22">
        <f t="shared" ref="B305:Y305" si="302">B272/$Z$272</f>
        <v>1.4278159703860392E-2</v>
      </c>
      <c r="C305" s="22">
        <f t="shared" si="302"/>
        <v>5.4523240759313633E-3</v>
      </c>
      <c r="D305" s="22">
        <f t="shared" si="302"/>
        <v>0</v>
      </c>
      <c r="E305" s="22">
        <f t="shared" si="302"/>
        <v>0</v>
      </c>
      <c r="F305" s="22">
        <f t="shared" si="302"/>
        <v>1.0904648151862727E-2</v>
      </c>
      <c r="G305" s="22">
        <f t="shared" si="302"/>
        <v>5.707616842028483E-3</v>
      </c>
      <c r="H305" s="22">
        <f t="shared" si="302"/>
        <v>0</v>
      </c>
      <c r="I305" s="22">
        <f t="shared" si="302"/>
        <v>0</v>
      </c>
      <c r="J305" s="22">
        <f t="shared" si="302"/>
        <v>1.2035230401721403E-3</v>
      </c>
      <c r="K305" s="22">
        <f t="shared" si="302"/>
        <v>6.1999671766443595E-4</v>
      </c>
      <c r="L305" s="22">
        <f t="shared" si="302"/>
        <v>3.2823355641058372E-4</v>
      </c>
      <c r="M305" s="22">
        <f t="shared" si="302"/>
        <v>1.6046973868961874E-3</v>
      </c>
      <c r="N305" s="22">
        <f t="shared" si="302"/>
        <v>1.8235197578365763E-4</v>
      </c>
      <c r="O305" s="22">
        <f t="shared" si="302"/>
        <v>4.9782089388938529E-3</v>
      </c>
      <c r="P305" s="22">
        <f t="shared" si="302"/>
        <v>7.4581958095515967E-3</v>
      </c>
      <c r="Q305" s="22">
        <f t="shared" si="302"/>
        <v>1.6448148215685916E-2</v>
      </c>
      <c r="R305" s="22">
        <f t="shared" si="302"/>
        <v>7.6624300224292938E-2</v>
      </c>
      <c r="S305" s="22">
        <f t="shared" si="302"/>
        <v>0.12801108700012764</v>
      </c>
      <c r="T305" s="22">
        <f t="shared" si="302"/>
        <v>8.038075092543627E-2</v>
      </c>
      <c r="U305" s="22">
        <f t="shared" si="302"/>
        <v>0.2059118510549062</v>
      </c>
      <c r="V305" s="22">
        <f t="shared" si="302"/>
        <v>0.16665147066868469</v>
      </c>
      <c r="W305" s="22">
        <f t="shared" si="302"/>
        <v>0.12686226955269059</v>
      </c>
      <c r="X305" s="22">
        <f t="shared" si="302"/>
        <v>0.14484217436495925</v>
      </c>
      <c r="Y305" s="383">
        <f t="shared" si="302"/>
        <v>1.5499917941610897E-3</v>
      </c>
    </row>
    <row r="306" spans="1:174" x14ac:dyDescent="0.35">
      <c r="A306" s="145" t="s">
        <v>18</v>
      </c>
      <c r="B306" s="22">
        <f t="shared" ref="B306:Y306" si="303">B281/$Z$281</f>
        <v>0.23472396939638282</v>
      </c>
      <c r="C306" s="22">
        <f t="shared" si="303"/>
        <v>5.6092883215442032E-3</v>
      </c>
      <c r="D306" s="22">
        <f t="shared" si="303"/>
        <v>4.3533851642572841E-2</v>
      </c>
      <c r="E306" s="22">
        <f t="shared" si="303"/>
        <v>7.5271699903074786E-3</v>
      </c>
      <c r="F306" s="22">
        <f t="shared" si="303"/>
        <v>1.0063723165123424E-2</v>
      </c>
      <c r="G306" s="22">
        <f t="shared" si="303"/>
        <v>2.1715369862448698E-2</v>
      </c>
      <c r="H306" s="22">
        <f t="shared" si="303"/>
        <v>2.6149182322492828E-2</v>
      </c>
      <c r="I306" s="22">
        <f t="shared" si="303"/>
        <v>1.5239941432430758E-2</v>
      </c>
      <c r="J306" s="22">
        <f t="shared" si="303"/>
        <v>0</v>
      </c>
      <c r="K306" s="22">
        <f t="shared" si="303"/>
        <v>0</v>
      </c>
      <c r="L306" s="22">
        <f t="shared" si="303"/>
        <v>0</v>
      </c>
      <c r="M306" s="22">
        <f t="shared" si="303"/>
        <v>2.660287476026479E-3</v>
      </c>
      <c r="N306" s="22">
        <f t="shared" si="303"/>
        <v>0</v>
      </c>
      <c r="O306" s="22">
        <f t="shared" si="303"/>
        <v>0</v>
      </c>
      <c r="P306" s="22">
        <f t="shared" si="303"/>
        <v>0</v>
      </c>
      <c r="Q306" s="22">
        <f t="shared" si="303"/>
        <v>1.7487781237755459E-2</v>
      </c>
      <c r="R306" s="22">
        <f t="shared" si="303"/>
        <v>9.0057948897733595E-2</v>
      </c>
      <c r="S306" s="22">
        <f t="shared" si="303"/>
        <v>0.18929285846858174</v>
      </c>
      <c r="T306" s="22">
        <f t="shared" si="303"/>
        <v>5.5123631189292858E-2</v>
      </c>
      <c r="U306" s="22">
        <f t="shared" si="303"/>
        <v>0.18941659276979231</v>
      </c>
      <c r="V306" s="22">
        <f t="shared" si="303"/>
        <v>4.6606586789301102E-2</v>
      </c>
      <c r="W306" s="22">
        <f t="shared" si="303"/>
        <v>3.7759584252747933E-2</v>
      </c>
      <c r="X306" s="22">
        <f t="shared" si="303"/>
        <v>6.6816522653688308E-3</v>
      </c>
      <c r="Y306" s="384">
        <f t="shared" si="303"/>
        <v>3.5058052009651265E-4</v>
      </c>
    </row>
    <row r="307" spans="1:174" x14ac:dyDescent="0.35">
      <c r="A307" s="145" t="s">
        <v>17</v>
      </c>
      <c r="B307" s="22">
        <f t="shared" ref="B307:Y307" si="304">B283/$Z$283</f>
        <v>1.6117848844988868E-2</v>
      </c>
      <c r="C307" s="22">
        <f t="shared" si="304"/>
        <v>6.0943715255391872E-4</v>
      </c>
      <c r="D307" s="22">
        <f t="shared" si="304"/>
        <v>0</v>
      </c>
      <c r="E307" s="22">
        <f t="shared" si="304"/>
        <v>0</v>
      </c>
      <c r="F307" s="22">
        <f t="shared" si="304"/>
        <v>0</v>
      </c>
      <c r="G307" s="22">
        <f t="shared" si="304"/>
        <v>0</v>
      </c>
      <c r="H307" s="22">
        <f t="shared" si="304"/>
        <v>1.2322551607527338E-3</v>
      </c>
      <c r="I307" s="22">
        <f t="shared" si="304"/>
        <v>2.1409369031834269E-2</v>
      </c>
      <c r="J307" s="22">
        <f t="shared" si="304"/>
        <v>2.1153916333158974E-3</v>
      </c>
      <c r="K307" s="22">
        <f t="shared" si="304"/>
        <v>5.2684077998223994E-3</v>
      </c>
      <c r="L307" s="22">
        <f t="shared" si="304"/>
        <v>1.5509628133857213E-3</v>
      </c>
      <c r="M307" s="22">
        <f t="shared" si="304"/>
        <v>1.6737017528920897E-2</v>
      </c>
      <c r="N307" s="22">
        <f t="shared" si="304"/>
        <v>6.3790188183488012E-3</v>
      </c>
      <c r="O307" s="22">
        <f t="shared" si="304"/>
        <v>5.006872894035788E-3</v>
      </c>
      <c r="P307" s="22">
        <f t="shared" si="304"/>
        <v>9.1975135937328936E-3</v>
      </c>
      <c r="Q307" s="22">
        <f t="shared" si="304"/>
        <v>1.5313781064872819E-2</v>
      </c>
      <c r="R307" s="22">
        <f t="shared" si="304"/>
        <v>8.8595861666281472E-2</v>
      </c>
      <c r="S307" s="22">
        <f t="shared" si="304"/>
        <v>0.10713077961730752</v>
      </c>
      <c r="T307" s="22">
        <f t="shared" si="304"/>
        <v>0.136852092887467</v>
      </c>
      <c r="U307" s="22">
        <f t="shared" si="304"/>
        <v>0.12914472003600663</v>
      </c>
      <c r="V307" s="22">
        <f t="shared" si="304"/>
        <v>0.10778035933679612</v>
      </c>
      <c r="W307" s="22">
        <f t="shared" si="304"/>
        <v>0.24110963786538855</v>
      </c>
      <c r="X307" s="22">
        <f t="shared" si="304"/>
        <v>8.8099553565998009E-2</v>
      </c>
      <c r="Y307" s="384">
        <f t="shared" si="304"/>
        <v>3.491186881895702E-4</v>
      </c>
    </row>
    <row r="308" spans="1:174" x14ac:dyDescent="0.35">
      <c r="A308" s="145" t="s">
        <v>20</v>
      </c>
      <c r="B308" s="22">
        <f t="shared" ref="B308:Y308" si="305">B286/$Z$286</f>
        <v>0.15122503253550615</v>
      </c>
      <c r="C308" s="22">
        <f t="shared" si="305"/>
        <v>4.0072426865840539E-2</v>
      </c>
      <c r="D308" s="22">
        <f t="shared" si="305"/>
        <v>1.6861879703502518E-3</v>
      </c>
      <c r="E308" s="22">
        <f t="shared" si="305"/>
        <v>2.1275391840660891E-3</v>
      </c>
      <c r="F308" s="22">
        <f t="shared" si="305"/>
        <v>2.4466700616760022E-2</v>
      </c>
      <c r="G308" s="22">
        <f t="shared" si="305"/>
        <v>1.1226164205284897E-2</v>
      </c>
      <c r="H308" s="22">
        <f t="shared" si="305"/>
        <v>1.8287783624738301E-2</v>
      </c>
      <c r="I308" s="22">
        <f t="shared" si="305"/>
        <v>1.4609856843772986E-2</v>
      </c>
      <c r="J308" s="22">
        <f t="shared" si="305"/>
        <v>1.8050132971199003E-2</v>
      </c>
      <c r="K308" s="22">
        <f t="shared" si="305"/>
        <v>6.2694505743224119E-3</v>
      </c>
      <c r="L308" s="22">
        <f t="shared" si="305"/>
        <v>9.8907938663497976E-3</v>
      </c>
      <c r="M308" s="22">
        <f t="shared" si="305"/>
        <v>1.3274486504837887E-2</v>
      </c>
      <c r="N308" s="22">
        <f t="shared" si="305"/>
        <v>1.8751768234029308E-2</v>
      </c>
      <c r="O308" s="22">
        <f t="shared" si="305"/>
        <v>1.1192214111922139E-2</v>
      </c>
      <c r="P308" s="22">
        <f t="shared" si="305"/>
        <v>4.1271996831324619E-2</v>
      </c>
      <c r="Q308" s="22">
        <f t="shared" si="305"/>
        <v>3.3293724891076786E-2</v>
      </c>
      <c r="R308" s="22">
        <f t="shared" si="305"/>
        <v>6.9744808464889937E-2</v>
      </c>
      <c r="S308" s="22">
        <f t="shared" si="305"/>
        <v>5.3086629321563966E-2</v>
      </c>
      <c r="T308" s="22">
        <f t="shared" si="305"/>
        <v>6.1449668986589705E-2</v>
      </c>
      <c r="U308" s="22">
        <f t="shared" si="305"/>
        <v>7.1295196061789176E-2</v>
      </c>
      <c r="V308" s="22">
        <f t="shared" si="305"/>
        <v>8.552028518078425E-2</v>
      </c>
      <c r="W308" s="22">
        <f t="shared" si="305"/>
        <v>0.13005149097493349</v>
      </c>
      <c r="X308" s="22">
        <f t="shared" si="305"/>
        <v>0.10667119334578168</v>
      </c>
      <c r="Y308" s="383">
        <f t="shared" si="305"/>
        <v>6.484467832286539E-3</v>
      </c>
    </row>
    <row r="309" spans="1:174" x14ac:dyDescent="0.35">
      <c r="A309" s="145" t="s">
        <v>21</v>
      </c>
      <c r="B309" s="22">
        <f t="shared" ref="B309:Y309" si="306">B288/$Z$288</f>
        <v>0</v>
      </c>
      <c r="C309" s="22">
        <f t="shared" si="306"/>
        <v>1.3877551020408164E-3</v>
      </c>
      <c r="D309" s="22">
        <f t="shared" si="306"/>
        <v>0</v>
      </c>
      <c r="E309" s="22">
        <f t="shared" si="306"/>
        <v>0</v>
      </c>
      <c r="F309" s="22">
        <f t="shared" si="306"/>
        <v>0</v>
      </c>
      <c r="G309" s="22">
        <f t="shared" si="306"/>
        <v>1.5510204081632653E-3</v>
      </c>
      <c r="H309" s="22">
        <f t="shared" si="306"/>
        <v>0</v>
      </c>
      <c r="I309" s="22">
        <f t="shared" si="306"/>
        <v>0</v>
      </c>
      <c r="J309" s="22">
        <f t="shared" si="306"/>
        <v>0</v>
      </c>
      <c r="K309" s="22">
        <f t="shared" si="306"/>
        <v>0</v>
      </c>
      <c r="L309" s="22">
        <f t="shared" si="306"/>
        <v>0</v>
      </c>
      <c r="M309" s="22">
        <f t="shared" si="306"/>
        <v>0</v>
      </c>
      <c r="N309" s="22">
        <f t="shared" si="306"/>
        <v>0</v>
      </c>
      <c r="O309" s="22">
        <f t="shared" si="306"/>
        <v>0</v>
      </c>
      <c r="P309" s="22">
        <f t="shared" si="306"/>
        <v>0</v>
      </c>
      <c r="Q309" s="22">
        <f t="shared" si="306"/>
        <v>2.7755102040816328E-3</v>
      </c>
      <c r="R309" s="22">
        <f t="shared" si="306"/>
        <v>0</v>
      </c>
      <c r="S309" s="22">
        <f t="shared" si="306"/>
        <v>5.5591836734693874E-2</v>
      </c>
      <c r="T309" s="22">
        <f t="shared" si="306"/>
        <v>3.1346938775510202E-2</v>
      </c>
      <c r="U309" s="22">
        <f t="shared" si="306"/>
        <v>7.6408163265306112E-2</v>
      </c>
      <c r="V309" s="22">
        <f t="shared" si="306"/>
        <v>0.21289795918367346</v>
      </c>
      <c r="W309" s="22">
        <f t="shared" si="306"/>
        <v>1.7795918367346935E-2</v>
      </c>
      <c r="X309" s="22">
        <f t="shared" si="306"/>
        <v>0.59918367346938783</v>
      </c>
      <c r="Y309" s="383">
        <f t="shared" si="306"/>
        <v>1.0612244897959184E-3</v>
      </c>
    </row>
    <row r="310" spans="1:174" x14ac:dyDescent="0.35">
      <c r="A310" s="145" t="s">
        <v>22</v>
      </c>
      <c r="B310" s="22">
        <f t="shared" ref="B310:Y310" si="307">B290/$Z$290</f>
        <v>0.31200537595592603</v>
      </c>
      <c r="C310" s="22">
        <f t="shared" si="307"/>
        <v>5.8915219471919703E-2</v>
      </c>
      <c r="D310" s="22">
        <f t="shared" si="307"/>
        <v>7.669623072181094E-3</v>
      </c>
      <c r="E310" s="22">
        <f t="shared" si="307"/>
        <v>1.1523872465442267E-2</v>
      </c>
      <c r="F310" s="22">
        <f t="shared" si="307"/>
        <v>4.265221230582969E-3</v>
      </c>
      <c r="G310" s="22">
        <f t="shared" si="307"/>
        <v>7.5863179700212686E-3</v>
      </c>
      <c r="H310" s="22">
        <f t="shared" si="307"/>
        <v>1.8678855128724893E-2</v>
      </c>
      <c r="I310" s="22">
        <f t="shared" si="307"/>
        <v>2.3917820442331582E-3</v>
      </c>
      <c r="J310" s="22">
        <f t="shared" si="307"/>
        <v>1.8495583903973281E-2</v>
      </c>
      <c r="K310" s="22">
        <f t="shared" si="307"/>
        <v>1.3130735324880644E-2</v>
      </c>
      <c r="L310" s="22">
        <f t="shared" si="307"/>
        <v>2.5802366975636034E-2</v>
      </c>
      <c r="M310" s="22">
        <f t="shared" si="307"/>
        <v>2.0019141661251842E-2</v>
      </c>
      <c r="N310" s="22">
        <f t="shared" si="307"/>
        <v>6.7329034790061899E-3</v>
      </c>
      <c r="O310" s="22">
        <f t="shared" si="307"/>
        <v>3.8525832912179765E-2</v>
      </c>
      <c r="P310" s="22">
        <f t="shared" si="307"/>
        <v>1.3984149815895724E-2</v>
      </c>
      <c r="Q310" s="22">
        <f t="shared" si="307"/>
        <v>2.8769879837018196E-2</v>
      </c>
      <c r="R310" s="22">
        <f t="shared" si="307"/>
        <v>7.9813692767080779E-2</v>
      </c>
      <c r="S310" s="22">
        <f t="shared" si="307"/>
        <v>8.1205813585396053E-2</v>
      </c>
      <c r="T310" s="22">
        <f t="shared" si="307"/>
        <v>5.5334951303539721E-2</v>
      </c>
      <c r="U310" s="22">
        <f t="shared" si="307"/>
        <v>6.2336282333949798E-2</v>
      </c>
      <c r="V310" s="22">
        <f t="shared" si="307"/>
        <v>4.6545337413432114E-2</v>
      </c>
      <c r="W310" s="22">
        <f t="shared" si="307"/>
        <v>3.3945903517881897E-2</v>
      </c>
      <c r="X310" s="22">
        <f t="shared" si="307"/>
        <v>4.9929375785613399E-2</v>
      </c>
      <c r="Y310" s="383">
        <f t="shared" si="307"/>
        <v>2.3917820442331574E-3</v>
      </c>
    </row>
    <row r="311" spans="1:174" x14ac:dyDescent="0.35">
      <c r="A311" s="145" t="s">
        <v>23</v>
      </c>
      <c r="B311" s="22">
        <f t="shared" ref="B311:Y311" si="308">B292/$Z$292</f>
        <v>0.23197918239797405</v>
      </c>
      <c r="C311" s="22">
        <f t="shared" si="308"/>
        <v>2.2089659739082956E-2</v>
      </c>
      <c r="D311" s="22">
        <f t="shared" si="308"/>
        <v>3.4037708669741283E-3</v>
      </c>
      <c r="E311" s="22">
        <f t="shared" si="308"/>
        <v>1.6205666755730068E-3</v>
      </c>
      <c r="F311" s="22">
        <f t="shared" si="308"/>
        <v>6.5345430466653498E-3</v>
      </c>
      <c r="G311" s="22">
        <f t="shared" si="308"/>
        <v>1.5229841660761374E-2</v>
      </c>
      <c r="H311" s="22">
        <f t="shared" si="308"/>
        <v>5.5471009862803631E-3</v>
      </c>
      <c r="I311" s="22">
        <f t="shared" si="308"/>
        <v>4.6642116146420236E-3</v>
      </c>
      <c r="J311" s="22">
        <f t="shared" si="308"/>
        <v>7.7427074499599206E-3</v>
      </c>
      <c r="K311" s="22">
        <f t="shared" si="308"/>
        <v>3.9108514073953597E-2</v>
      </c>
      <c r="L311" s="22">
        <f t="shared" si="308"/>
        <v>1.7036279782995083E-2</v>
      </c>
      <c r="M311" s="22">
        <f t="shared" si="308"/>
        <v>2.0707240854543979E-2</v>
      </c>
      <c r="N311" s="22">
        <f t="shared" si="308"/>
        <v>7.8879195176635962E-3</v>
      </c>
      <c r="O311" s="22">
        <f t="shared" si="308"/>
        <v>1.0350716185917914E-2</v>
      </c>
      <c r="P311" s="22">
        <f t="shared" si="308"/>
        <v>1.2168771273567917E-2</v>
      </c>
      <c r="Q311" s="22">
        <f t="shared" si="308"/>
        <v>4.2030180876151527E-2</v>
      </c>
      <c r="R311" s="22">
        <f t="shared" si="308"/>
        <v>5.9676351343502049E-2</v>
      </c>
      <c r="S311" s="22">
        <f t="shared" si="308"/>
        <v>9.8877801140786009E-2</v>
      </c>
      <c r="T311" s="22">
        <f t="shared" si="308"/>
        <v>8.7603536204272719E-2</v>
      </c>
      <c r="U311" s="22">
        <f t="shared" si="308"/>
        <v>5.8555314180829675E-2</v>
      </c>
      <c r="V311" s="22">
        <f t="shared" si="308"/>
        <v>7.3924559426586586E-2</v>
      </c>
      <c r="W311" s="22">
        <f t="shared" si="308"/>
        <v>0.11253935247034769</v>
      </c>
      <c r="X311" s="22">
        <f t="shared" si="308"/>
        <v>5.8619207490619295E-2</v>
      </c>
      <c r="Y311" s="383">
        <f t="shared" si="308"/>
        <v>2.102670740349206E-3</v>
      </c>
    </row>
    <row r="312" spans="1:174" x14ac:dyDescent="0.35">
      <c r="A312" s="145" t="s">
        <v>25</v>
      </c>
      <c r="B312" s="22">
        <f t="shared" ref="B312:Y312" si="309">B294/$Z$294</f>
        <v>0.11693409870979084</v>
      </c>
      <c r="C312" s="22">
        <f t="shared" si="309"/>
        <v>2.5270505774077138E-2</v>
      </c>
      <c r="D312" s="22">
        <f t="shared" si="309"/>
        <v>4.6192218220638343E-3</v>
      </c>
      <c r="E312" s="22">
        <f t="shared" si="309"/>
        <v>4.0299030894760338E-3</v>
      </c>
      <c r="F312" s="22">
        <f t="shared" si="309"/>
        <v>4.8654194448657425E-3</v>
      </c>
      <c r="G312" s="22">
        <f t="shared" si="309"/>
        <v>5.8336571594896922E-3</v>
      </c>
      <c r="H312" s="22">
        <f t="shared" si="309"/>
        <v>1.0276681654906717E-2</v>
      </c>
      <c r="I312" s="22">
        <f t="shared" si="309"/>
        <v>7.7589644503196836E-3</v>
      </c>
      <c r="J312" s="22">
        <f t="shared" si="309"/>
        <v>1.1213110118143948E-2</v>
      </c>
      <c r="K312" s="22">
        <f t="shared" si="309"/>
        <v>1.3992281420335926E-2</v>
      </c>
      <c r="L312" s="22">
        <f t="shared" si="309"/>
        <v>1.0750828960059846E-2</v>
      </c>
      <c r="M312" s="22">
        <f t="shared" si="309"/>
        <v>1.294796076273998E-2</v>
      </c>
      <c r="N312" s="22">
        <f t="shared" si="309"/>
        <v>9.4468490842475519E-3</v>
      </c>
      <c r="O312" s="22">
        <f t="shared" si="309"/>
        <v>1.3063531052261008E-2</v>
      </c>
      <c r="P312" s="22">
        <f t="shared" si="309"/>
        <v>1.7440543872386471E-2</v>
      </c>
      <c r="Q312" s="22">
        <f t="shared" si="309"/>
        <v>3.3903277340076497E-2</v>
      </c>
      <c r="R312" s="22">
        <f t="shared" si="309"/>
        <v>7.1425230958598221E-2</v>
      </c>
      <c r="S312" s="22">
        <f t="shared" si="309"/>
        <v>0.12225591609696697</v>
      </c>
      <c r="T312" s="22">
        <f t="shared" si="309"/>
        <v>0.12783470038327654</v>
      </c>
      <c r="U312" s="22">
        <f t="shared" si="309"/>
        <v>7.9216702668955752E-2</v>
      </c>
      <c r="V312" s="22">
        <f t="shared" si="309"/>
        <v>7.640123491690555E-2</v>
      </c>
      <c r="W312" s="22">
        <f t="shared" si="309"/>
        <v>0.12963257123751648</v>
      </c>
      <c r="X312" s="22">
        <f t="shared" si="309"/>
        <v>9.0136350007064853E-2</v>
      </c>
      <c r="Y312" s="383">
        <f t="shared" si="309"/>
        <v>7.5045901547475199E-4</v>
      </c>
    </row>
    <row r="313" spans="1:174" x14ac:dyDescent="0.35">
      <c r="A313" s="510"/>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652"/>
    </row>
    <row r="314" spans="1:174" x14ac:dyDescent="0.35">
      <c r="A314" s="510"/>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652"/>
    </row>
    <row r="315" spans="1:174" ht="23.5" x14ac:dyDescent="0.35">
      <c r="A315" s="289" t="s">
        <v>11</v>
      </c>
      <c r="B315" s="283"/>
      <c r="C315" s="120"/>
      <c r="D315" s="120"/>
    </row>
    <row r="316" spans="1:174" ht="15.5" x14ac:dyDescent="0.35">
      <c r="A316" s="288" t="s">
        <v>98</v>
      </c>
    </row>
    <row r="317" spans="1:174" ht="18.5" x14ac:dyDescent="0.45">
      <c r="A317" s="108"/>
      <c r="D317" s="109"/>
      <c r="AA317" s="110"/>
      <c r="AB317" s="111"/>
    </row>
    <row r="318" spans="1:174" ht="38.25" customHeight="1" x14ac:dyDescent="0.35">
      <c r="A318" s="114" t="s">
        <v>88</v>
      </c>
      <c r="B318" s="195" t="s">
        <v>89</v>
      </c>
      <c r="C318" s="195">
        <v>2000</v>
      </c>
      <c r="D318" s="195">
        <v>2001</v>
      </c>
      <c r="E318" s="195">
        <v>2002</v>
      </c>
      <c r="F318" s="195">
        <v>2003</v>
      </c>
      <c r="G318" s="195">
        <v>2004</v>
      </c>
      <c r="H318" s="195">
        <v>2005</v>
      </c>
      <c r="I318" s="195">
        <v>2006</v>
      </c>
      <c r="J318" s="195">
        <v>2007</v>
      </c>
      <c r="K318" s="195">
        <v>2008</v>
      </c>
      <c r="L318" s="195">
        <v>2009</v>
      </c>
      <c r="M318" s="195">
        <v>2010</v>
      </c>
      <c r="N318" s="195">
        <v>2011</v>
      </c>
      <c r="O318" s="195">
        <v>2012</v>
      </c>
      <c r="P318" s="195">
        <v>2013</v>
      </c>
      <c r="Q318" s="195">
        <v>2014</v>
      </c>
      <c r="R318" s="195">
        <v>2015</v>
      </c>
      <c r="S318" s="195">
        <v>2016</v>
      </c>
      <c r="T318" s="195">
        <v>2017</v>
      </c>
      <c r="U318" s="195">
        <v>2018</v>
      </c>
      <c r="V318" s="195">
        <v>2019</v>
      </c>
      <c r="W318" s="195">
        <v>2020</v>
      </c>
      <c r="X318" s="195">
        <v>2021</v>
      </c>
      <c r="Y318" s="195" t="s">
        <v>90</v>
      </c>
      <c r="Z318" s="195" t="s">
        <v>91</v>
      </c>
      <c r="AA318" s="187" t="s">
        <v>92</v>
      </c>
      <c r="AB318" s="112"/>
      <c r="AC318" s="187" t="s">
        <v>93</v>
      </c>
      <c r="AD318" s="187" t="s">
        <v>107</v>
      </c>
      <c r="AE318" s="187" t="s">
        <v>94</v>
      </c>
      <c r="AF318" s="187" t="s">
        <v>96</v>
      </c>
      <c r="AG318" s="187" t="s">
        <v>97</v>
      </c>
    </row>
    <row r="319" spans="1:174" s="136" customFormat="1" x14ac:dyDescent="0.35">
      <c r="A319" s="116" t="s">
        <v>5</v>
      </c>
      <c r="B319" s="117">
        <f>SUM(B320:B327)</f>
        <v>12528.480000000001</v>
      </c>
      <c r="C319" s="117">
        <f>SUM(C320:C327)</f>
        <v>2531.8599999999997</v>
      </c>
      <c r="D319" s="117">
        <f t="shared" ref="D319:Y319" si="310">SUM(D320:D327)</f>
        <v>298.48</v>
      </c>
      <c r="E319" s="117">
        <f t="shared" si="310"/>
        <v>382.85</v>
      </c>
      <c r="F319" s="117">
        <f t="shared" si="310"/>
        <v>383.42000000000007</v>
      </c>
      <c r="G319" s="117">
        <f t="shared" si="310"/>
        <v>707.44</v>
      </c>
      <c r="H319" s="117">
        <f t="shared" si="310"/>
        <v>763.61999999999989</v>
      </c>
      <c r="I319" s="117">
        <f t="shared" si="310"/>
        <v>645.18999999999983</v>
      </c>
      <c r="J319" s="117">
        <f t="shared" si="310"/>
        <v>955.74999999999977</v>
      </c>
      <c r="K319" s="117">
        <f t="shared" si="310"/>
        <v>373.22</v>
      </c>
      <c r="L319" s="117">
        <f t="shared" si="310"/>
        <v>484.68</v>
      </c>
      <c r="M319" s="117">
        <f t="shared" si="310"/>
        <v>607.4399999999996</v>
      </c>
      <c r="N319" s="117">
        <f t="shared" si="310"/>
        <v>302.93</v>
      </c>
      <c r="O319" s="117">
        <f t="shared" si="310"/>
        <v>476.68000000000006</v>
      </c>
      <c r="P319" s="117">
        <f t="shared" si="310"/>
        <v>790.31000000000006</v>
      </c>
      <c r="Q319" s="117">
        <f t="shared" si="310"/>
        <v>1230</v>
      </c>
      <c r="R319" s="117">
        <f t="shared" si="310"/>
        <v>2056.34</v>
      </c>
      <c r="S319" s="117">
        <f t="shared" si="310"/>
        <v>2746.1800000000003</v>
      </c>
      <c r="T319" s="117">
        <f t="shared" si="310"/>
        <v>2762.0000000000009</v>
      </c>
      <c r="U319" s="117">
        <f t="shared" si="310"/>
        <v>1840.5299999999995</v>
      </c>
      <c r="V319" s="117">
        <f t="shared" si="310"/>
        <v>1637.5999999999992</v>
      </c>
      <c r="W319" s="117">
        <f t="shared" si="310"/>
        <v>1523.7099999999998</v>
      </c>
      <c r="X319" s="117">
        <f t="shared" si="310"/>
        <v>1093.1500000000001</v>
      </c>
      <c r="Y319" s="117">
        <f t="shared" si="310"/>
        <v>11.790000000000001</v>
      </c>
      <c r="Z319" s="117">
        <f>SUM(B319:Y319)</f>
        <v>37133.65</v>
      </c>
      <c r="AA319" s="151">
        <f t="shared" ref="AA319:AA350" si="311">Z319/$Z$370</f>
        <v>0.33833435227594733</v>
      </c>
      <c r="AB319" s="432">
        <f>X319/$X$370</f>
        <v>0.29999780452596975</v>
      </c>
      <c r="AC319" s="117">
        <v>31026.87</v>
      </c>
      <c r="AD319" s="117">
        <f>SUM(U319:X319)</f>
        <v>6094.989999999998</v>
      </c>
      <c r="AE319" s="117">
        <v>11.790000000000001</v>
      </c>
      <c r="AF319" s="117">
        <v>37133.65</v>
      </c>
      <c r="AG319" s="185">
        <f t="shared" ref="AG319:AG369" si="312">AD319/AF319</f>
        <v>0.16413657154629285</v>
      </c>
      <c r="AH319" s="433"/>
      <c r="AI319" s="203"/>
    </row>
    <row r="320" spans="1:174" x14ac:dyDescent="0.35">
      <c r="A320" s="6" t="s">
        <v>6</v>
      </c>
      <c r="B320" s="12">
        <v>3783.58</v>
      </c>
      <c r="C320" s="12">
        <v>1059.07</v>
      </c>
      <c r="D320" s="12">
        <v>144.54999999999998</v>
      </c>
      <c r="E320" s="12">
        <v>231.35999999999996</v>
      </c>
      <c r="F320" s="12">
        <v>139.23000000000005</v>
      </c>
      <c r="G320" s="12">
        <v>231.96000000000004</v>
      </c>
      <c r="H320" s="12">
        <v>332.45000000000005</v>
      </c>
      <c r="I320" s="12">
        <v>95.82</v>
      </c>
      <c r="J320" s="12">
        <v>116.20999999999998</v>
      </c>
      <c r="K320" s="12">
        <v>73.91</v>
      </c>
      <c r="L320" s="12">
        <v>126.46999999999997</v>
      </c>
      <c r="M320" s="12">
        <v>134.06</v>
      </c>
      <c r="N320" s="12">
        <v>69.67</v>
      </c>
      <c r="O320" s="12">
        <v>102.82000000000002</v>
      </c>
      <c r="P320" s="12">
        <v>109.24000000000001</v>
      </c>
      <c r="Q320" s="12">
        <v>206.87</v>
      </c>
      <c r="R320" s="12">
        <v>357.80000000000007</v>
      </c>
      <c r="S320" s="12">
        <v>327.49999999999994</v>
      </c>
      <c r="T320" s="12">
        <v>275.57</v>
      </c>
      <c r="U320" s="12">
        <v>239.48</v>
      </c>
      <c r="V320" s="12">
        <v>286.60000000000002</v>
      </c>
      <c r="W320" s="12">
        <v>150.13</v>
      </c>
      <c r="X320" s="12">
        <v>138.76</v>
      </c>
      <c r="Y320" s="12">
        <v>3.44</v>
      </c>
      <c r="Z320" s="12">
        <f>SUM(B320:Y320)</f>
        <v>8736.5499999999993</v>
      </c>
      <c r="AA320" s="150">
        <f t="shared" si="311"/>
        <v>7.9600981464963111E-2</v>
      </c>
      <c r="AC320" s="175">
        <v>7918.1399999999994</v>
      </c>
      <c r="AD320" s="175">
        <v>814.97</v>
      </c>
      <c r="AE320" s="175">
        <v>3.44</v>
      </c>
      <c r="AF320" s="175">
        <v>8736.5499999999993</v>
      </c>
      <c r="AG320" s="202">
        <f t="shared" si="312"/>
        <v>9.3282817588178413E-2</v>
      </c>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6"/>
      <c r="FF320" s="136"/>
      <c r="FG320" s="136"/>
      <c r="FH320" s="136"/>
      <c r="FI320" s="136"/>
      <c r="FJ320" s="136"/>
      <c r="FK320" s="136"/>
      <c r="FL320" s="136"/>
      <c r="FM320" s="136"/>
      <c r="FN320" s="136"/>
      <c r="FO320" s="136"/>
      <c r="FP320" s="136"/>
      <c r="FQ320" s="136"/>
      <c r="FR320" s="136"/>
    </row>
    <row r="321" spans="1:174" x14ac:dyDescent="0.35">
      <c r="A321" s="6" t="s">
        <v>7</v>
      </c>
      <c r="B321" s="12">
        <v>51.879999999999995</v>
      </c>
      <c r="C321" s="12"/>
      <c r="D321" s="12"/>
      <c r="E321" s="12"/>
      <c r="F321" s="12"/>
      <c r="G321" s="12">
        <v>1.9</v>
      </c>
      <c r="H321" s="12"/>
      <c r="I321" s="12"/>
      <c r="J321" s="12"/>
      <c r="K321" s="12"/>
      <c r="L321" s="12"/>
      <c r="M321" s="12"/>
      <c r="N321" s="12"/>
      <c r="O321" s="12"/>
      <c r="P321" s="12">
        <v>1.19</v>
      </c>
      <c r="Q321" s="12"/>
      <c r="R321" s="12"/>
      <c r="S321" s="12">
        <v>10.050000000000001</v>
      </c>
      <c r="T321" s="12">
        <v>3</v>
      </c>
      <c r="U321" s="12">
        <v>6.6400000000000006</v>
      </c>
      <c r="V321" s="12">
        <v>11.629999999999999</v>
      </c>
      <c r="W321" s="12">
        <v>5.04</v>
      </c>
      <c r="X321" s="12">
        <v>52.94</v>
      </c>
      <c r="Y321" s="12"/>
      <c r="Z321" s="12">
        <f t="shared" ref="Z321:Z327" si="313">SUM(B321:Y321)</f>
        <v>144.26999999999998</v>
      </c>
      <c r="AA321" s="150">
        <f t="shared" si="311"/>
        <v>1.3144815282863632E-3</v>
      </c>
      <c r="AC321" s="175">
        <v>68.02</v>
      </c>
      <c r="AD321" s="175">
        <v>76.25</v>
      </c>
      <c r="AE321" s="175">
        <v>0</v>
      </c>
      <c r="AF321" s="175">
        <v>144.26999999999998</v>
      </c>
      <c r="AG321" s="202">
        <f t="shared" si="312"/>
        <v>0.52852290843557226</v>
      </c>
      <c r="AH321" s="136"/>
      <c r="AI321" s="136"/>
      <c r="AJ321" s="136"/>
      <c r="AK321" s="136"/>
      <c r="AL321" s="136"/>
      <c r="AM321" s="136"/>
      <c r="AN321" s="136"/>
      <c r="AO321" s="136"/>
      <c r="AP321" s="136"/>
      <c r="AQ321" s="136"/>
      <c r="AR321" s="136"/>
      <c r="AS321" s="136"/>
      <c r="AT321" s="136"/>
      <c r="AU321" s="136"/>
      <c r="AV321" s="136"/>
      <c r="AW321" s="136"/>
      <c r="AX321" s="136"/>
      <c r="AY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6"/>
      <c r="FF321" s="136"/>
      <c r="FG321" s="136"/>
      <c r="FH321" s="136"/>
      <c r="FI321" s="136"/>
      <c r="FJ321" s="136"/>
      <c r="FK321" s="136"/>
      <c r="FL321" s="136"/>
      <c r="FM321" s="136"/>
      <c r="FN321" s="136"/>
      <c r="FO321" s="136"/>
      <c r="FP321" s="136"/>
      <c r="FQ321" s="136"/>
      <c r="FR321" s="136"/>
    </row>
    <row r="322" spans="1:174" x14ac:dyDescent="0.35">
      <c r="A322" s="6" t="s">
        <v>8</v>
      </c>
      <c r="B322" s="12">
        <v>44.599999999999994</v>
      </c>
      <c r="C322" s="12">
        <v>6.9799999999999995</v>
      </c>
      <c r="D322" s="12"/>
      <c r="E322" s="12"/>
      <c r="F322" s="12"/>
      <c r="G322" s="12"/>
      <c r="H322" s="12"/>
      <c r="I322" s="12"/>
      <c r="J322" s="12"/>
      <c r="K322" s="12"/>
      <c r="L322" s="12"/>
      <c r="M322" s="12"/>
      <c r="N322" s="12"/>
      <c r="O322" s="12"/>
      <c r="P322" s="12">
        <v>3.5900000000000003</v>
      </c>
      <c r="Q322" s="12">
        <v>2.0499999999999998</v>
      </c>
      <c r="R322" s="12">
        <v>7.7299999999999995</v>
      </c>
      <c r="S322" s="12">
        <v>17.8</v>
      </c>
      <c r="T322" s="12">
        <v>20.45</v>
      </c>
      <c r="U322" s="12">
        <v>43.74</v>
      </c>
      <c r="V322" s="12">
        <v>3.56</v>
      </c>
      <c r="W322" s="12">
        <v>79.78</v>
      </c>
      <c r="X322" s="12">
        <v>5.8</v>
      </c>
      <c r="Y322" s="54">
        <v>0.09</v>
      </c>
      <c r="Z322" s="12">
        <f t="shared" si="313"/>
        <v>236.17000000000002</v>
      </c>
      <c r="AA322" s="150">
        <f t="shared" si="311"/>
        <v>2.1518063529173802E-3</v>
      </c>
      <c r="AC322" s="175">
        <v>103.19999999999999</v>
      </c>
      <c r="AD322" s="175">
        <v>132.88000000000002</v>
      </c>
      <c r="AE322" s="175">
        <v>0.09</v>
      </c>
      <c r="AF322" s="175">
        <v>236.17000000000002</v>
      </c>
      <c r="AG322" s="202">
        <f t="shared" si="312"/>
        <v>0.56264555193292975</v>
      </c>
      <c r="AH322" s="136"/>
      <c r="AI322" s="136"/>
      <c r="AJ322" s="136"/>
      <c r="AK322" s="136"/>
      <c r="AL322" s="136"/>
      <c r="AM322" s="136"/>
      <c r="AN322" s="136"/>
      <c r="AO322" s="136"/>
      <c r="AP322" s="136"/>
      <c r="AQ322" s="136"/>
      <c r="AR322" s="136"/>
      <c r="AS322" s="136"/>
      <c r="AT322" s="136"/>
      <c r="AU322" s="136"/>
      <c r="AV322" s="136"/>
      <c r="AW322" s="136"/>
      <c r="AX322" s="136"/>
      <c r="AY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6"/>
      <c r="FF322" s="136"/>
      <c r="FG322" s="136"/>
      <c r="FH322" s="136"/>
      <c r="FI322" s="136"/>
      <c r="FJ322" s="136"/>
      <c r="FK322" s="136"/>
      <c r="FL322" s="136"/>
      <c r="FM322" s="136"/>
      <c r="FN322" s="136"/>
      <c r="FO322" s="136"/>
      <c r="FP322" s="136"/>
      <c r="FQ322" s="136"/>
      <c r="FR322" s="136"/>
    </row>
    <row r="323" spans="1:174" x14ac:dyDescent="0.35">
      <c r="A323" s="6" t="s">
        <v>26</v>
      </c>
      <c r="B323" s="12">
        <v>7645.7500000000009</v>
      </c>
      <c r="C323" s="12">
        <v>1299.6099999999999</v>
      </c>
      <c r="D323" s="12">
        <v>153.93000000000004</v>
      </c>
      <c r="E323" s="12">
        <v>151.49000000000007</v>
      </c>
      <c r="F323" s="12">
        <v>244.19</v>
      </c>
      <c r="G323" s="12">
        <v>473.58000000000004</v>
      </c>
      <c r="H323" s="12">
        <v>431.1699999999999</v>
      </c>
      <c r="I323" s="12">
        <v>549.36999999999989</v>
      </c>
      <c r="J323" s="12">
        <v>837.28999999999985</v>
      </c>
      <c r="K323" s="12">
        <v>299.21000000000004</v>
      </c>
      <c r="L323" s="12">
        <v>354.21000000000004</v>
      </c>
      <c r="M323" s="12">
        <v>471.59999999999968</v>
      </c>
      <c r="N323" s="12">
        <v>227.8</v>
      </c>
      <c r="O323" s="12">
        <v>373.86</v>
      </c>
      <c r="P323" s="12">
        <v>647.97</v>
      </c>
      <c r="Q323" s="12">
        <v>1010.22</v>
      </c>
      <c r="R323" s="12">
        <v>1653.53</v>
      </c>
      <c r="S323" s="12">
        <v>2347.9000000000005</v>
      </c>
      <c r="T323" s="12">
        <v>2317.8100000000009</v>
      </c>
      <c r="U323" s="12">
        <v>1486.3699999999997</v>
      </c>
      <c r="V323" s="12">
        <v>1279.6099999999994</v>
      </c>
      <c r="W323" s="12">
        <v>1139.05</v>
      </c>
      <c r="X323" s="12">
        <v>805.02</v>
      </c>
      <c r="Y323" s="12">
        <v>7.5900000000000007</v>
      </c>
      <c r="Z323" s="12">
        <f t="shared" si="313"/>
        <v>26208.13</v>
      </c>
      <c r="AA323" s="150">
        <f t="shared" si="311"/>
        <v>0.23878909527918271</v>
      </c>
      <c r="AC323" s="175">
        <v>21490.49</v>
      </c>
      <c r="AD323" s="175">
        <v>4710.0499999999993</v>
      </c>
      <c r="AE323" s="175">
        <v>7.5900000000000007</v>
      </c>
      <c r="AF323" s="175">
        <v>26208.13</v>
      </c>
      <c r="AG323" s="202">
        <f t="shared" si="312"/>
        <v>0.17971713357648939</v>
      </c>
      <c r="AH323" s="136"/>
      <c r="AI323" s="136"/>
      <c r="AJ323" s="136"/>
      <c r="AK323" s="136"/>
      <c r="AL323" s="136"/>
      <c r="AM323" s="136"/>
      <c r="AN323" s="136"/>
      <c r="AO323" s="136"/>
      <c r="AP323" s="136"/>
      <c r="AQ323" s="136"/>
      <c r="AR323" s="136"/>
      <c r="AS323" s="136"/>
      <c r="AT323" s="136"/>
      <c r="AU323" s="136"/>
      <c r="AV323" s="136"/>
      <c r="AW323" s="136"/>
      <c r="AX323" s="136"/>
      <c r="AY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6"/>
      <c r="FF323" s="136"/>
      <c r="FG323" s="136"/>
      <c r="FH323" s="136"/>
      <c r="FI323" s="136"/>
      <c r="FJ323" s="136"/>
      <c r="FK323" s="136"/>
      <c r="FL323" s="136"/>
      <c r="FM323" s="136"/>
      <c r="FN323" s="136"/>
      <c r="FO323" s="136"/>
      <c r="FP323" s="136"/>
      <c r="FQ323" s="136"/>
      <c r="FR323" s="136"/>
    </row>
    <row r="324" spans="1:174" x14ac:dyDescent="0.35">
      <c r="A324" s="6" t="s">
        <v>27</v>
      </c>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54">
        <v>0.09</v>
      </c>
      <c r="Z324" s="54">
        <f t="shared" si="313"/>
        <v>0.09</v>
      </c>
      <c r="AA324" s="150">
        <f t="shared" si="311"/>
        <v>8.2001342999773133E-7</v>
      </c>
      <c r="AC324" s="175">
        <v>0</v>
      </c>
      <c r="AD324" s="175">
        <v>0</v>
      </c>
      <c r="AE324" s="175">
        <v>0.09</v>
      </c>
      <c r="AF324" s="175">
        <v>0.09</v>
      </c>
      <c r="AG324" s="202">
        <f t="shared" si="312"/>
        <v>0</v>
      </c>
      <c r="AH324" s="136"/>
      <c r="AI324" s="136"/>
      <c r="AJ324" s="136"/>
      <c r="AK324" s="136"/>
      <c r="AL324" s="136"/>
      <c r="AM324" s="136"/>
      <c r="AN324" s="136"/>
      <c r="AO324" s="136"/>
      <c r="AP324" s="136"/>
      <c r="AQ324" s="136"/>
      <c r="AR324" s="136"/>
      <c r="AS324" s="136"/>
      <c r="AT324" s="136"/>
      <c r="AU324" s="136"/>
      <c r="AV324" s="136"/>
      <c r="AW324" s="136"/>
      <c r="AX324" s="136"/>
      <c r="AY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6"/>
      <c r="FF324" s="136"/>
      <c r="FG324" s="136"/>
      <c r="FH324" s="136"/>
      <c r="FI324" s="136"/>
      <c r="FJ324" s="136"/>
      <c r="FK324" s="136"/>
      <c r="FL324" s="136"/>
      <c r="FM324" s="136"/>
      <c r="FN324" s="136"/>
      <c r="FO324" s="136"/>
      <c r="FP324" s="136"/>
      <c r="FQ324" s="136"/>
      <c r="FR324" s="136"/>
    </row>
    <row r="325" spans="1:174" x14ac:dyDescent="0.35">
      <c r="A325" s="6" t="s">
        <v>28</v>
      </c>
      <c r="B325" s="12">
        <v>95.88</v>
      </c>
      <c r="C325" s="12">
        <v>4.04</v>
      </c>
      <c r="D325" s="12"/>
      <c r="E325" s="12"/>
      <c r="F325" s="12"/>
      <c r="G325" s="12"/>
      <c r="H325" s="12"/>
      <c r="I325" s="12"/>
      <c r="J325" s="12"/>
      <c r="K325" s="12"/>
      <c r="L325" s="12">
        <v>0.89</v>
      </c>
      <c r="M325" s="12"/>
      <c r="N325" s="12"/>
      <c r="O325" s="12"/>
      <c r="P325" s="12">
        <v>28.32</v>
      </c>
      <c r="Q325" s="54">
        <v>0.06</v>
      </c>
      <c r="R325" s="12">
        <v>3.91</v>
      </c>
      <c r="S325" s="12">
        <v>23.92</v>
      </c>
      <c r="T325" s="12">
        <v>107.33000000000001</v>
      </c>
      <c r="U325" s="12">
        <v>35.25</v>
      </c>
      <c r="V325" s="12">
        <v>3.3</v>
      </c>
      <c r="W325" s="12">
        <v>104.8</v>
      </c>
      <c r="X325" s="12">
        <v>15.77</v>
      </c>
      <c r="Y325" s="54">
        <v>7.0000000000000007E-2</v>
      </c>
      <c r="Z325" s="12">
        <f t="shared" si="313"/>
        <v>423.54</v>
      </c>
      <c r="AA325" s="150">
        <f t="shared" si="311"/>
        <v>3.858983201569324E-3</v>
      </c>
      <c r="AC325" s="175">
        <v>264.35000000000002</v>
      </c>
      <c r="AD325" s="175">
        <v>159.12</v>
      </c>
      <c r="AE325" s="175">
        <v>7.0000000000000007E-2</v>
      </c>
      <c r="AF325" s="175">
        <v>423.54</v>
      </c>
      <c r="AG325" s="202">
        <f t="shared" si="312"/>
        <v>0.37569060773480661</v>
      </c>
      <c r="AH325" s="136"/>
      <c r="AI325" s="136"/>
      <c r="AJ325" s="136"/>
      <c r="AK325" s="136"/>
      <c r="AL325" s="136"/>
      <c r="AM325" s="136"/>
      <c r="AN325" s="136"/>
      <c r="AO325" s="136"/>
      <c r="AP325" s="136"/>
      <c r="AQ325" s="136"/>
      <c r="AR325" s="136"/>
      <c r="AS325" s="136"/>
      <c r="AT325" s="136"/>
      <c r="AU325" s="136"/>
      <c r="AV325" s="136"/>
      <c r="AW325" s="136"/>
      <c r="AX325" s="136"/>
      <c r="AY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6"/>
      <c r="FF325" s="136"/>
      <c r="FG325" s="136"/>
      <c r="FH325" s="136"/>
      <c r="FI325" s="136"/>
      <c r="FJ325" s="136"/>
      <c r="FK325" s="136"/>
      <c r="FL325" s="136"/>
      <c r="FM325" s="136"/>
      <c r="FN325" s="136"/>
      <c r="FO325" s="136"/>
      <c r="FP325" s="136"/>
      <c r="FQ325" s="136"/>
      <c r="FR325" s="136"/>
    </row>
    <row r="326" spans="1:174" x14ac:dyDescent="0.35">
      <c r="A326" s="6" t="s">
        <v>29</v>
      </c>
      <c r="B326" s="12">
        <v>880</v>
      </c>
      <c r="C326" s="12">
        <v>104.42</v>
      </c>
      <c r="D326" s="12"/>
      <c r="E326" s="12"/>
      <c r="F326" s="12"/>
      <c r="G326" s="12"/>
      <c r="H326" s="12"/>
      <c r="I326" s="12"/>
      <c r="J326" s="54">
        <v>0.04</v>
      </c>
      <c r="K326" s="12"/>
      <c r="L326" s="12"/>
      <c r="M326" s="12"/>
      <c r="N326" s="12">
        <v>5.46</v>
      </c>
      <c r="O326" s="12"/>
      <c r="P326" s="12"/>
      <c r="Q326" s="12"/>
      <c r="R326" s="12">
        <v>0.71</v>
      </c>
      <c r="S326" s="12">
        <v>5.2</v>
      </c>
      <c r="T326" s="12">
        <v>1.54</v>
      </c>
      <c r="U326" s="12">
        <v>3.1799999999999997</v>
      </c>
      <c r="V326" s="12">
        <v>23.3</v>
      </c>
      <c r="W326" s="12">
        <v>7.37</v>
      </c>
      <c r="X326" s="12">
        <v>2.08</v>
      </c>
      <c r="Y326" s="54">
        <v>0.41000000000000003</v>
      </c>
      <c r="Z326" s="12">
        <f t="shared" si="313"/>
        <v>1033.7099999999998</v>
      </c>
      <c r="AA326" s="150">
        <f t="shared" si="311"/>
        <v>9.4184009191439419E-3</v>
      </c>
      <c r="AC326" s="175">
        <v>997.37</v>
      </c>
      <c r="AD326" s="175">
        <v>35.93</v>
      </c>
      <c r="AE326" s="175">
        <v>0.41000000000000003</v>
      </c>
      <c r="AF326" s="175">
        <v>1033.71</v>
      </c>
      <c r="AG326" s="202">
        <f t="shared" si="312"/>
        <v>3.4758297781776318E-2</v>
      </c>
      <c r="AH326" s="136"/>
      <c r="AI326" s="136"/>
      <c r="AJ326" s="136"/>
      <c r="AK326" s="136"/>
      <c r="AL326" s="136"/>
      <c r="AM326" s="136"/>
      <c r="AN326" s="136"/>
      <c r="AO326" s="136"/>
      <c r="AP326" s="136"/>
      <c r="AQ326" s="136"/>
      <c r="AR326" s="136"/>
      <c r="AS326" s="136"/>
      <c r="AT326" s="136"/>
      <c r="AU326" s="136"/>
      <c r="AV326" s="136"/>
      <c r="AW326" s="136"/>
      <c r="AX326" s="136"/>
      <c r="AY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6"/>
      <c r="FF326" s="136"/>
      <c r="FG326" s="136"/>
      <c r="FH326" s="136"/>
      <c r="FI326" s="136"/>
      <c r="FJ326" s="136"/>
      <c r="FK326" s="136"/>
      <c r="FL326" s="136"/>
      <c r="FM326" s="136"/>
      <c r="FN326" s="136"/>
      <c r="FO326" s="136"/>
      <c r="FP326" s="136"/>
      <c r="FQ326" s="136"/>
      <c r="FR326" s="136"/>
    </row>
    <row r="327" spans="1:174" x14ac:dyDescent="0.35">
      <c r="A327" s="6" t="s">
        <v>30</v>
      </c>
      <c r="B327" s="12">
        <v>26.79</v>
      </c>
      <c r="C327" s="12">
        <v>57.739999999999995</v>
      </c>
      <c r="D327" s="12"/>
      <c r="E327" s="12"/>
      <c r="F327" s="12"/>
      <c r="G327" s="12"/>
      <c r="H327" s="12"/>
      <c r="I327" s="12"/>
      <c r="J327" s="12">
        <v>2.21</v>
      </c>
      <c r="K327" s="55">
        <v>0.1</v>
      </c>
      <c r="L327" s="12">
        <v>3.11</v>
      </c>
      <c r="M327" s="12">
        <v>1.78</v>
      </c>
      <c r="N327" s="12"/>
      <c r="O327" s="12"/>
      <c r="P327" s="12"/>
      <c r="Q327" s="12">
        <v>10.8</v>
      </c>
      <c r="R327" s="12">
        <v>32.659999999999997</v>
      </c>
      <c r="S327" s="12">
        <v>13.81</v>
      </c>
      <c r="T327" s="12">
        <v>36.299999999999997</v>
      </c>
      <c r="U327" s="12">
        <v>25.87</v>
      </c>
      <c r="V327" s="12">
        <v>29.6</v>
      </c>
      <c r="W327" s="12">
        <v>37.54</v>
      </c>
      <c r="X327" s="12">
        <v>72.78</v>
      </c>
      <c r="Y327" s="55">
        <v>9.9999999999999992E-2</v>
      </c>
      <c r="Z327" s="12">
        <f t="shared" si="313"/>
        <v>351.19000000000005</v>
      </c>
      <c r="AA327" s="150">
        <f t="shared" si="311"/>
        <v>3.1997835164544815E-3</v>
      </c>
      <c r="AC327" s="175">
        <v>185.3</v>
      </c>
      <c r="AD327" s="175">
        <v>165.79</v>
      </c>
      <c r="AE327" s="175">
        <v>9.9999999999999992E-2</v>
      </c>
      <c r="AF327" s="175">
        <v>351.19000000000005</v>
      </c>
      <c r="AG327" s="202">
        <f t="shared" si="312"/>
        <v>0.47208064010934242</v>
      </c>
      <c r="AH327" s="136"/>
      <c r="AI327" s="136"/>
      <c r="AJ327" s="136"/>
      <c r="AK327" s="136"/>
      <c r="AL327" s="136"/>
      <c r="AM327" s="136"/>
      <c r="AN327" s="136"/>
      <c r="AO327" s="136"/>
      <c r="AP327" s="136"/>
      <c r="AQ327" s="136"/>
      <c r="AR327" s="136"/>
      <c r="AS327" s="136"/>
      <c r="AT327" s="136"/>
      <c r="AU327" s="136"/>
      <c r="AV327" s="136"/>
      <c r="AW327" s="136"/>
      <c r="AX327" s="136"/>
      <c r="AY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6"/>
      <c r="FF327" s="136"/>
      <c r="FG327" s="136"/>
      <c r="FH327" s="136"/>
      <c r="FI327" s="136"/>
      <c r="FJ327" s="136"/>
      <c r="FK327" s="136"/>
      <c r="FL327" s="136"/>
      <c r="FM327" s="136"/>
      <c r="FN327" s="136"/>
      <c r="FO327" s="136"/>
      <c r="FP327" s="136"/>
      <c r="FQ327" s="136"/>
      <c r="FR327" s="136"/>
    </row>
    <row r="328" spans="1:174" s="136" customFormat="1" x14ac:dyDescent="0.35">
      <c r="A328" s="116" t="s">
        <v>12</v>
      </c>
      <c r="B328" s="117">
        <f>SUM(B329:B331)</f>
        <v>3832.5400000000022</v>
      </c>
      <c r="C328" s="117">
        <f t="shared" ref="C328:Y328" si="314">SUM(C329:C331)</f>
        <v>361.22</v>
      </c>
      <c r="D328" s="117">
        <f t="shared" si="314"/>
        <v>36.83</v>
      </c>
      <c r="E328" s="117">
        <f t="shared" si="314"/>
        <v>28.279999999999994</v>
      </c>
      <c r="F328" s="117">
        <f t="shared" si="314"/>
        <v>48.92</v>
      </c>
      <c r="G328" s="117">
        <f t="shared" si="314"/>
        <v>84.15</v>
      </c>
      <c r="H328" s="117">
        <f t="shared" si="314"/>
        <v>55.010000000000005</v>
      </c>
      <c r="I328" s="117">
        <f t="shared" si="314"/>
        <v>104.70999999999998</v>
      </c>
      <c r="J328" s="117">
        <f t="shared" si="314"/>
        <v>58.62</v>
      </c>
      <c r="K328" s="117">
        <f t="shared" si="314"/>
        <v>40.669999999999995</v>
      </c>
      <c r="L328" s="117">
        <f t="shared" si="314"/>
        <v>60.410000000000004</v>
      </c>
      <c r="M328" s="117">
        <f t="shared" si="314"/>
        <v>55.78</v>
      </c>
      <c r="N328" s="117">
        <f t="shared" si="314"/>
        <v>17.88</v>
      </c>
      <c r="O328" s="117">
        <f t="shared" si="314"/>
        <v>30.49</v>
      </c>
      <c r="P328" s="117">
        <f t="shared" si="314"/>
        <v>67.489999999999995</v>
      </c>
      <c r="Q328" s="117">
        <f t="shared" si="314"/>
        <v>111.82000000000001</v>
      </c>
      <c r="R328" s="117">
        <f t="shared" si="314"/>
        <v>168.01000000000002</v>
      </c>
      <c r="S328" s="117">
        <f t="shared" si="314"/>
        <v>162.68</v>
      </c>
      <c r="T328" s="117">
        <f t="shared" si="314"/>
        <v>109.21000000000001</v>
      </c>
      <c r="U328" s="117">
        <f t="shared" si="314"/>
        <v>284.13</v>
      </c>
      <c r="V328" s="117">
        <f t="shared" si="314"/>
        <v>175.95000000000002</v>
      </c>
      <c r="W328" s="117">
        <f t="shared" si="314"/>
        <v>116.31</v>
      </c>
      <c r="X328" s="117">
        <f t="shared" si="314"/>
        <v>158.04</v>
      </c>
      <c r="Y328" s="117">
        <f t="shared" si="314"/>
        <v>6.0200000000000014</v>
      </c>
      <c r="Z328" s="117">
        <f t="shared" ref="Z328:Z349" si="315">SUM(B328:Y328)</f>
        <v>6175.1700000000019</v>
      </c>
      <c r="AA328" s="151">
        <f t="shared" si="311"/>
        <v>5.6263581472434362E-2</v>
      </c>
      <c r="AB328" s="432">
        <f>X328/$X$370</f>
        <v>4.3371589468311079E-2</v>
      </c>
      <c r="AC328" s="177">
        <v>5434.7200000000021</v>
      </c>
      <c r="AD328" s="177">
        <v>734.43</v>
      </c>
      <c r="AE328" s="117">
        <v>6.0200000000000014</v>
      </c>
      <c r="AF328" s="117">
        <v>6175.1700000000028</v>
      </c>
      <c r="AG328" s="185">
        <f t="shared" si="312"/>
        <v>0.11893275812649685</v>
      </c>
    </row>
    <row r="329" spans="1:174" x14ac:dyDescent="0.35">
      <c r="A329" s="6" t="s">
        <v>31</v>
      </c>
      <c r="B329" s="12">
        <v>163.52999999999997</v>
      </c>
      <c r="C329" s="12">
        <v>10.039999999999999</v>
      </c>
      <c r="D329" s="12">
        <v>2.91</v>
      </c>
      <c r="E329" s="12">
        <v>4.1500000000000004</v>
      </c>
      <c r="F329" s="12">
        <v>0.8</v>
      </c>
      <c r="G329" s="12">
        <v>1.23</v>
      </c>
      <c r="H329" s="12">
        <v>0.04</v>
      </c>
      <c r="I329" s="12">
        <v>8.6199999999999992</v>
      </c>
      <c r="J329" s="12">
        <v>0</v>
      </c>
      <c r="K329" s="12">
        <v>0</v>
      </c>
      <c r="L329" s="12">
        <v>6.5</v>
      </c>
      <c r="M329" s="12">
        <v>0</v>
      </c>
      <c r="N329" s="12">
        <v>1.35</v>
      </c>
      <c r="O329" s="12">
        <v>0.24</v>
      </c>
      <c r="P329" s="12">
        <v>1.96</v>
      </c>
      <c r="Q329" s="12">
        <v>16.41</v>
      </c>
      <c r="R329" s="12">
        <v>13.150000000000002</v>
      </c>
      <c r="S329" s="12">
        <v>15.36</v>
      </c>
      <c r="T329" s="12">
        <v>26.68</v>
      </c>
      <c r="U329" s="12">
        <v>51.11</v>
      </c>
      <c r="V329" s="12">
        <v>40.980000000000004</v>
      </c>
      <c r="W329" s="12">
        <v>2.52</v>
      </c>
      <c r="X329" s="12">
        <v>19.170000000000002</v>
      </c>
      <c r="Y329" s="12">
        <v>0.5</v>
      </c>
      <c r="Z329" s="12">
        <f t="shared" si="315"/>
        <v>387.25</v>
      </c>
      <c r="AA329" s="150">
        <f t="shared" si="311"/>
        <v>3.5283355640735718E-3</v>
      </c>
      <c r="AC329" s="175">
        <v>272.96999999999997</v>
      </c>
      <c r="AD329" s="175">
        <v>113.78</v>
      </c>
      <c r="AE329" s="175">
        <v>0.5</v>
      </c>
      <c r="AF329" s="175">
        <v>387.25</v>
      </c>
      <c r="AG329" s="193">
        <f t="shared" si="312"/>
        <v>0.29381536475145253</v>
      </c>
      <c r="AH329" s="136"/>
      <c r="AI329" s="136"/>
      <c r="AJ329" s="136"/>
      <c r="AK329" s="136"/>
      <c r="AL329" s="136"/>
      <c r="AM329" s="136"/>
      <c r="AN329" s="136"/>
      <c r="AO329" s="136"/>
      <c r="AP329" s="136"/>
      <c r="AQ329" s="136"/>
      <c r="AR329" s="136"/>
      <c r="AS329" s="136"/>
      <c r="AT329" s="136"/>
      <c r="AU329" s="136"/>
      <c r="AV329" s="136"/>
      <c r="AW329" s="136"/>
      <c r="AX329" s="136"/>
      <c r="AY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6"/>
      <c r="FF329" s="136"/>
      <c r="FG329" s="136"/>
      <c r="FH329" s="136"/>
      <c r="FI329" s="136"/>
      <c r="FJ329" s="136"/>
      <c r="FK329" s="136"/>
      <c r="FL329" s="136"/>
      <c r="FM329" s="136"/>
      <c r="FN329" s="136"/>
      <c r="FO329" s="136"/>
      <c r="FP329" s="136"/>
      <c r="FQ329" s="136"/>
      <c r="FR329" s="136"/>
    </row>
    <row r="330" spans="1:174" x14ac:dyDescent="0.35">
      <c r="A330" s="6" t="s">
        <v>32</v>
      </c>
      <c r="B330" s="12">
        <v>2614.8600000000019</v>
      </c>
      <c r="C330" s="12">
        <v>139.99</v>
      </c>
      <c r="D330" s="12">
        <v>14.700000000000001</v>
      </c>
      <c r="E330" s="12">
        <v>15.259999999999998</v>
      </c>
      <c r="F330" s="12">
        <v>7.92</v>
      </c>
      <c r="G330" s="12">
        <v>29.240000000000002</v>
      </c>
      <c r="H330" s="12">
        <v>18.980000000000004</v>
      </c>
      <c r="I330" s="12">
        <v>44.589999999999996</v>
      </c>
      <c r="J330" s="12">
        <v>21.79</v>
      </c>
      <c r="K330" s="12">
        <v>26.979999999999997</v>
      </c>
      <c r="L330" s="12">
        <v>17.310000000000002</v>
      </c>
      <c r="M330" s="12">
        <v>23.490000000000002</v>
      </c>
      <c r="N330" s="12">
        <v>8.9199999999999982</v>
      </c>
      <c r="O330" s="12">
        <v>19.05</v>
      </c>
      <c r="P330" s="12">
        <v>20.58</v>
      </c>
      <c r="Q330" s="12">
        <v>51.77</v>
      </c>
      <c r="R330" s="12">
        <v>70.27000000000001</v>
      </c>
      <c r="S330" s="12">
        <v>46.79</v>
      </c>
      <c r="T330" s="12">
        <v>33.28</v>
      </c>
      <c r="U330" s="12">
        <v>82.01</v>
      </c>
      <c r="V330" s="12">
        <v>67.260000000000005</v>
      </c>
      <c r="W330" s="12">
        <v>39.82</v>
      </c>
      <c r="X330" s="12">
        <v>41.61</v>
      </c>
      <c r="Y330" s="12">
        <v>3.4000000000000008</v>
      </c>
      <c r="Z330" s="12">
        <f t="shared" si="315"/>
        <v>3459.8700000000031</v>
      </c>
      <c r="AA330" s="150">
        <f t="shared" si="311"/>
        <v>3.1523776289402818E-2</v>
      </c>
      <c r="AC330" s="175">
        <v>3225.7700000000023</v>
      </c>
      <c r="AD330" s="175">
        <v>230.7</v>
      </c>
      <c r="AE330" s="175">
        <v>3.4000000000000008</v>
      </c>
      <c r="AF330" s="175">
        <v>3459.8700000000022</v>
      </c>
      <c r="AG330" s="193">
        <f t="shared" si="312"/>
        <v>6.6678805851086848E-2</v>
      </c>
      <c r="AH330" s="136"/>
      <c r="AI330" s="136"/>
      <c r="AJ330" s="136"/>
      <c r="AK330" s="136"/>
      <c r="AL330" s="136"/>
      <c r="AM330" s="136"/>
      <c r="AN330" s="136"/>
      <c r="AO330" s="136"/>
      <c r="AP330" s="136"/>
      <c r="AQ330" s="136"/>
      <c r="AR330" s="136"/>
      <c r="AS330" s="136"/>
      <c r="AT330" s="136"/>
      <c r="AU330" s="136"/>
      <c r="AV330" s="136"/>
      <c r="AW330" s="136"/>
      <c r="AX330" s="136"/>
      <c r="AY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6"/>
      <c r="FF330" s="136"/>
      <c r="FG330" s="136"/>
      <c r="FH330" s="136"/>
      <c r="FI330" s="136"/>
      <c r="FJ330" s="136"/>
      <c r="FK330" s="136"/>
      <c r="FL330" s="136"/>
      <c r="FM330" s="136"/>
      <c r="FN330" s="136"/>
      <c r="FO330" s="136"/>
      <c r="FP330" s="136"/>
      <c r="FQ330" s="136"/>
      <c r="FR330" s="136"/>
    </row>
    <row r="331" spans="1:174" x14ac:dyDescent="0.35">
      <c r="A331" s="6" t="s">
        <v>33</v>
      </c>
      <c r="B331" s="12">
        <v>1054.1500000000001</v>
      </c>
      <c r="C331" s="12">
        <v>211.19</v>
      </c>
      <c r="D331" s="12">
        <v>19.22</v>
      </c>
      <c r="E331" s="12">
        <v>8.8699999999999992</v>
      </c>
      <c r="F331" s="12">
        <v>40.200000000000003</v>
      </c>
      <c r="G331" s="12">
        <v>53.680000000000007</v>
      </c>
      <c r="H331" s="12">
        <v>35.99</v>
      </c>
      <c r="I331" s="12">
        <v>51.499999999999993</v>
      </c>
      <c r="J331" s="12">
        <v>36.83</v>
      </c>
      <c r="K331" s="12">
        <v>13.69</v>
      </c>
      <c r="L331" s="12">
        <v>36.6</v>
      </c>
      <c r="M331" s="12">
        <v>32.29</v>
      </c>
      <c r="N331" s="12">
        <v>7.61</v>
      </c>
      <c r="O331" s="12">
        <v>11.2</v>
      </c>
      <c r="P331" s="12">
        <v>44.949999999999996</v>
      </c>
      <c r="Q331" s="12">
        <v>43.64</v>
      </c>
      <c r="R331" s="12">
        <v>84.59</v>
      </c>
      <c r="S331" s="12">
        <v>100.53000000000002</v>
      </c>
      <c r="T331" s="12">
        <v>49.250000000000007</v>
      </c>
      <c r="U331" s="12">
        <v>151.00999999999996</v>
      </c>
      <c r="V331" s="12">
        <v>67.710000000000008</v>
      </c>
      <c r="W331" s="12">
        <v>73.97</v>
      </c>
      <c r="X331" s="12">
        <v>97.259999999999991</v>
      </c>
      <c r="Y331" s="12">
        <v>2.12</v>
      </c>
      <c r="Z331" s="12">
        <f t="shared" si="315"/>
        <v>2328.0499999999993</v>
      </c>
      <c r="AA331" s="150">
        <f t="shared" si="311"/>
        <v>2.1211469618957979E-2</v>
      </c>
      <c r="AC331" s="175">
        <v>1935.98</v>
      </c>
      <c r="AD331" s="175">
        <v>389.94999999999993</v>
      </c>
      <c r="AE331" s="137">
        <v>2.12</v>
      </c>
      <c r="AF331" s="175">
        <v>2328.0499999999997</v>
      </c>
      <c r="AG331" s="193">
        <f t="shared" si="312"/>
        <v>0.16750069800906336</v>
      </c>
      <c r="AH331" s="136"/>
      <c r="AI331" s="136"/>
      <c r="AJ331" s="136"/>
      <c r="AK331" s="136"/>
      <c r="AL331" s="136"/>
      <c r="AM331" s="136"/>
      <c r="AN331" s="136"/>
      <c r="AO331" s="136"/>
      <c r="AP331" s="136"/>
      <c r="AQ331" s="136"/>
      <c r="AR331" s="136"/>
      <c r="AS331" s="136"/>
      <c r="AT331" s="136"/>
      <c r="AU331" s="136"/>
      <c r="AV331" s="136"/>
      <c r="AW331" s="136"/>
      <c r="AX331" s="136"/>
      <c r="AY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6"/>
      <c r="FF331" s="136"/>
      <c r="FG331" s="136"/>
      <c r="FH331" s="136"/>
      <c r="FI331" s="136"/>
      <c r="FJ331" s="136"/>
      <c r="FK331" s="136"/>
      <c r="FL331" s="136"/>
      <c r="FM331" s="136"/>
      <c r="FN331" s="136"/>
      <c r="FO331" s="136"/>
      <c r="FP331" s="136"/>
      <c r="FQ331" s="136"/>
      <c r="FR331" s="136"/>
    </row>
    <row r="332" spans="1:174" x14ac:dyDescent="0.35">
      <c r="A332" s="116" t="s">
        <v>13</v>
      </c>
      <c r="B332" s="117">
        <f>SUM(B333:B335)</f>
        <v>5833.7200000000012</v>
      </c>
      <c r="C332" s="117">
        <f t="shared" ref="C332:Y332" si="316">SUM(C333:C335)</f>
        <v>396.01</v>
      </c>
      <c r="D332" s="117">
        <f t="shared" si="316"/>
        <v>40.92</v>
      </c>
      <c r="E332" s="117">
        <f t="shared" si="316"/>
        <v>20.209999999999997</v>
      </c>
      <c r="F332" s="117">
        <f t="shared" si="316"/>
        <v>35.83</v>
      </c>
      <c r="G332" s="117">
        <f t="shared" si="316"/>
        <v>59.78</v>
      </c>
      <c r="H332" s="117">
        <f t="shared" si="316"/>
        <v>44.12</v>
      </c>
      <c r="I332" s="117">
        <f t="shared" si="316"/>
        <v>33.209999999999994</v>
      </c>
      <c r="J332" s="117">
        <f t="shared" si="316"/>
        <v>29.840000000000003</v>
      </c>
      <c r="K332" s="117">
        <f t="shared" si="316"/>
        <v>91.410000000000011</v>
      </c>
      <c r="L332" s="117">
        <f t="shared" si="316"/>
        <v>62.01</v>
      </c>
      <c r="M332" s="117">
        <f t="shared" si="316"/>
        <v>73.510000000000005</v>
      </c>
      <c r="N332" s="117">
        <f t="shared" si="316"/>
        <v>9.1700000000000017</v>
      </c>
      <c r="O332" s="117">
        <f t="shared" si="316"/>
        <v>14.360000000000001</v>
      </c>
      <c r="P332" s="117">
        <f t="shared" si="316"/>
        <v>43.480000000000004</v>
      </c>
      <c r="Q332" s="117">
        <f t="shared" si="316"/>
        <v>155.85</v>
      </c>
      <c r="R332" s="117">
        <f t="shared" si="316"/>
        <v>195.29</v>
      </c>
      <c r="S332" s="117">
        <f t="shared" si="316"/>
        <v>376.21000000000004</v>
      </c>
      <c r="T332" s="117">
        <f t="shared" si="316"/>
        <v>297.61</v>
      </c>
      <c r="U332" s="117">
        <f t="shared" si="316"/>
        <v>220.44</v>
      </c>
      <c r="V332" s="117">
        <f t="shared" si="316"/>
        <v>184.17999999999998</v>
      </c>
      <c r="W332" s="117">
        <f t="shared" si="316"/>
        <v>225.45</v>
      </c>
      <c r="X332" s="117">
        <f t="shared" si="316"/>
        <v>236.72999999999996</v>
      </c>
      <c r="Y332" s="117">
        <f t="shared" si="316"/>
        <v>10.100000000000001</v>
      </c>
      <c r="Z332" s="117">
        <f t="shared" si="315"/>
        <v>8689.44</v>
      </c>
      <c r="AA332" s="151">
        <f t="shared" si="311"/>
        <v>7.917174999066097E-2</v>
      </c>
      <c r="AB332" s="432">
        <f>X332/$X$370</f>
        <v>6.496682089871729E-2</v>
      </c>
      <c r="AC332" s="177">
        <v>7812.5400000000018</v>
      </c>
      <c r="AD332" s="177">
        <v>866.8</v>
      </c>
      <c r="AE332" s="117">
        <v>10.100000000000001</v>
      </c>
      <c r="AF332" s="117">
        <v>8689.4400000000023</v>
      </c>
      <c r="AG332" s="185">
        <f t="shared" si="312"/>
        <v>9.9753263731609837E-2</v>
      </c>
      <c r="AH332" s="136"/>
      <c r="AI332" s="136"/>
      <c r="AJ332" s="136"/>
      <c r="AK332" s="136"/>
      <c r="AL332" s="136"/>
      <c r="AM332" s="136"/>
      <c r="AN332" s="136"/>
      <c r="AO332" s="136"/>
      <c r="AP332" s="136"/>
      <c r="AQ332" s="136"/>
      <c r="AR332" s="136"/>
      <c r="AS332" s="136"/>
      <c r="AT332" s="136"/>
      <c r="AU332" s="136"/>
      <c r="AV332" s="136"/>
      <c r="AW332" s="136"/>
      <c r="AX332" s="136"/>
      <c r="AY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6"/>
      <c r="FF332" s="136"/>
      <c r="FG332" s="136"/>
      <c r="FH332" s="136"/>
      <c r="FI332" s="136"/>
      <c r="FJ332" s="136"/>
      <c r="FK332" s="136"/>
      <c r="FL332" s="136"/>
      <c r="FM332" s="136"/>
      <c r="FN332" s="136"/>
      <c r="FO332" s="136"/>
      <c r="FP332" s="136"/>
      <c r="FQ332" s="136"/>
      <c r="FR332" s="136"/>
    </row>
    <row r="333" spans="1:174" x14ac:dyDescent="0.35">
      <c r="A333" s="6" t="s">
        <v>34</v>
      </c>
      <c r="B333" s="12">
        <v>2172.7699999999995</v>
      </c>
      <c r="C333" s="12">
        <v>256.13</v>
      </c>
      <c r="D333" s="12">
        <v>33.340000000000003</v>
      </c>
      <c r="E333" s="12">
        <v>11.219999999999999</v>
      </c>
      <c r="F333" s="12">
        <v>18.07</v>
      </c>
      <c r="G333" s="12">
        <v>42.36</v>
      </c>
      <c r="H333" s="12">
        <v>20.399999999999999</v>
      </c>
      <c r="I333" s="12">
        <v>14.129999999999999</v>
      </c>
      <c r="J333" s="12">
        <v>16.380000000000003</v>
      </c>
      <c r="K333" s="12">
        <v>83.860000000000014</v>
      </c>
      <c r="L333" s="12">
        <v>44.730000000000004</v>
      </c>
      <c r="M333" s="12">
        <v>26.640000000000004</v>
      </c>
      <c r="N333" s="12">
        <v>1.19</v>
      </c>
      <c r="O333" s="12">
        <v>8.2100000000000009</v>
      </c>
      <c r="P333" s="12">
        <v>14.83</v>
      </c>
      <c r="Q333" s="12">
        <v>34.480000000000004</v>
      </c>
      <c r="R333" s="12">
        <v>41.55</v>
      </c>
      <c r="S333" s="12">
        <v>95.910000000000011</v>
      </c>
      <c r="T333" s="12">
        <v>34.28</v>
      </c>
      <c r="U333" s="12">
        <v>41.82</v>
      </c>
      <c r="V333" s="12">
        <v>51.46</v>
      </c>
      <c r="W333" s="12">
        <v>57.6</v>
      </c>
      <c r="X333" s="12">
        <v>162.35</v>
      </c>
      <c r="Y333" s="12">
        <v>2.5100000000000002</v>
      </c>
      <c r="Z333" s="12">
        <f t="shared" si="315"/>
        <v>3286.2200000000007</v>
      </c>
      <c r="AA333" s="150">
        <f t="shared" si="311"/>
        <v>2.9941605932523839E-2</v>
      </c>
      <c r="AC333" s="175">
        <v>2970.4800000000005</v>
      </c>
      <c r="AD333" s="175">
        <v>313.23</v>
      </c>
      <c r="AE333" s="175">
        <v>2.5100000000000002</v>
      </c>
      <c r="AF333" s="175">
        <v>3286.2200000000007</v>
      </c>
      <c r="AG333" s="193">
        <f t="shared" si="312"/>
        <v>9.5316199158912054E-2</v>
      </c>
      <c r="AH333" s="136"/>
      <c r="AI333" s="136"/>
      <c r="AJ333" s="136"/>
      <c r="AK333" s="136"/>
      <c r="AL333" s="136"/>
      <c r="AM333" s="136"/>
      <c r="AN333" s="136"/>
      <c r="AO333" s="136"/>
      <c r="AP333" s="136"/>
      <c r="AQ333" s="136"/>
      <c r="AR333" s="136"/>
      <c r="AS333" s="136"/>
      <c r="AT333" s="136"/>
      <c r="AU333" s="136"/>
      <c r="AV333" s="136"/>
      <c r="AW333" s="136"/>
      <c r="AX333" s="136"/>
      <c r="AY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6"/>
      <c r="FF333" s="136"/>
      <c r="FG333" s="136"/>
      <c r="FH333" s="136"/>
      <c r="FI333" s="136"/>
      <c r="FJ333" s="136"/>
      <c r="FK333" s="136"/>
      <c r="FL333" s="136"/>
      <c r="FM333" s="136"/>
      <c r="FN333" s="136"/>
      <c r="FO333" s="136"/>
      <c r="FP333" s="136"/>
      <c r="FQ333" s="136"/>
      <c r="FR333" s="136"/>
    </row>
    <row r="334" spans="1:174" x14ac:dyDescent="0.35">
      <c r="A334" s="6" t="s">
        <v>61</v>
      </c>
      <c r="B334" s="12">
        <v>596.29999999999995</v>
      </c>
      <c r="C334" s="12">
        <v>23.349999999999998</v>
      </c>
      <c r="D334" s="12"/>
      <c r="E334" s="12"/>
      <c r="F334" s="12"/>
      <c r="G334" s="12">
        <v>6.53</v>
      </c>
      <c r="H334" s="12">
        <v>2.57</v>
      </c>
      <c r="I334" s="12"/>
      <c r="J334" s="12"/>
      <c r="K334" s="12">
        <v>1.75</v>
      </c>
      <c r="L334" s="12">
        <v>3.12</v>
      </c>
      <c r="M334" s="54">
        <v>0.48</v>
      </c>
      <c r="N334" s="54">
        <v>0.28000000000000003</v>
      </c>
      <c r="O334" s="54">
        <v>0.33</v>
      </c>
      <c r="P334" s="12">
        <v>8.6199999999999992</v>
      </c>
      <c r="Q334" s="12">
        <v>23.45</v>
      </c>
      <c r="R334" s="12">
        <v>14.569999999999999</v>
      </c>
      <c r="S334" s="12">
        <v>31.040000000000003</v>
      </c>
      <c r="T334" s="12">
        <v>20.900000000000002</v>
      </c>
      <c r="U334" s="12">
        <v>7.9</v>
      </c>
      <c r="V334" s="12">
        <v>3.5100000000000007</v>
      </c>
      <c r="W334" s="12">
        <v>4.25</v>
      </c>
      <c r="X334" s="12">
        <v>1.92</v>
      </c>
      <c r="Y334" s="12">
        <v>0.69</v>
      </c>
      <c r="Z334" s="12">
        <f t="shared" si="315"/>
        <v>751.56000000000006</v>
      </c>
      <c r="AA334" s="150">
        <f t="shared" si="311"/>
        <v>6.847658816101056E-3</v>
      </c>
      <c r="AB334" s="134"/>
      <c r="AC334" s="175">
        <v>733.29000000000008</v>
      </c>
      <c r="AD334" s="175">
        <v>17.579999999999998</v>
      </c>
      <c r="AE334" s="175">
        <v>0.69</v>
      </c>
      <c r="AF334" s="175">
        <v>751.56000000000017</v>
      </c>
      <c r="AG334" s="193">
        <f t="shared" si="312"/>
        <v>2.3391346000319328E-2</v>
      </c>
      <c r="AH334" s="134"/>
      <c r="AI334" s="134"/>
      <c r="AJ334" s="134"/>
      <c r="AK334" s="134"/>
      <c r="AL334" s="134"/>
      <c r="AM334" s="134"/>
      <c r="AN334" s="342"/>
      <c r="AO334" s="342" t="s">
        <v>256</v>
      </c>
      <c r="AP334" s="342" t="s">
        <v>96</v>
      </c>
      <c r="AQ334" s="342" t="s">
        <v>257</v>
      </c>
      <c r="AR334" s="134"/>
      <c r="AS334" s="134"/>
      <c r="AT334" s="134"/>
      <c r="AU334" s="134"/>
      <c r="AV334" s="134"/>
      <c r="AW334" s="134"/>
      <c r="AX334" s="134"/>
      <c r="AY334" s="134"/>
      <c r="BB334" s="134"/>
      <c r="BC334" s="134"/>
      <c r="BD334" s="134"/>
      <c r="BE334" s="134"/>
      <c r="BF334" s="134"/>
      <c r="BG334" s="134"/>
      <c r="BH334" s="134"/>
      <c r="BI334" s="134"/>
      <c r="BJ334" s="134"/>
      <c r="BK334" s="134"/>
      <c r="BL334" s="134"/>
      <c r="BM334" s="134"/>
      <c r="BN334" s="134"/>
      <c r="BO334" s="134"/>
      <c r="BP334" s="134"/>
      <c r="BQ334" s="134"/>
      <c r="BR334" s="134"/>
      <c r="BS334" s="134"/>
      <c r="BT334" s="134"/>
      <c r="BU334" s="134"/>
      <c r="BV334" s="134"/>
      <c r="BW334" s="134"/>
      <c r="BX334" s="134"/>
      <c r="BY334" s="134"/>
      <c r="BZ334" s="134"/>
      <c r="CA334" s="134"/>
      <c r="CB334" s="134"/>
      <c r="CC334" s="134"/>
      <c r="CD334" s="134"/>
      <c r="CE334" s="134"/>
      <c r="CF334" s="134"/>
      <c r="CG334" s="134"/>
      <c r="CH334" s="134"/>
      <c r="CI334" s="134"/>
      <c r="CJ334" s="134"/>
      <c r="CK334" s="134"/>
      <c r="CL334" s="134"/>
      <c r="CM334" s="134"/>
      <c r="CN334" s="134"/>
      <c r="CO334" s="134"/>
      <c r="CP334" s="134"/>
      <c r="CQ334" s="134"/>
      <c r="CR334" s="134"/>
      <c r="CS334" s="134"/>
      <c r="CT334" s="134"/>
      <c r="CU334" s="134"/>
      <c r="CV334" s="134"/>
      <c r="CW334" s="134"/>
      <c r="CX334" s="134"/>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c r="EE334" s="136"/>
      <c r="EF334" s="136"/>
      <c r="EG334" s="136"/>
      <c r="EH334" s="136"/>
      <c r="EI334" s="136"/>
      <c r="EJ334" s="136"/>
      <c r="EK334" s="136"/>
      <c r="EL334" s="136"/>
      <c r="EM334" s="136"/>
      <c r="EN334" s="136"/>
      <c r="EO334" s="136"/>
      <c r="EP334" s="136"/>
      <c r="EQ334" s="136"/>
      <c r="ER334" s="136"/>
      <c r="ES334" s="136"/>
      <c r="ET334" s="136"/>
      <c r="EU334" s="136"/>
      <c r="EV334" s="136"/>
      <c r="EW334" s="136"/>
      <c r="EX334" s="136"/>
      <c r="EY334" s="136"/>
      <c r="EZ334" s="136"/>
      <c r="FA334" s="136"/>
      <c r="FB334" s="136"/>
      <c r="FC334" s="136"/>
      <c r="FD334" s="136"/>
      <c r="FE334" s="136"/>
      <c r="FF334" s="136"/>
      <c r="FG334" s="136"/>
      <c r="FH334" s="136"/>
      <c r="FI334" s="136"/>
      <c r="FJ334" s="136"/>
      <c r="FK334" s="136"/>
      <c r="FL334" s="136"/>
      <c r="FM334" s="136"/>
      <c r="FN334" s="136"/>
      <c r="FO334" s="136"/>
      <c r="FP334" s="136"/>
      <c r="FQ334" s="136"/>
      <c r="FR334" s="136"/>
    </row>
    <row r="335" spans="1:174" x14ac:dyDescent="0.35">
      <c r="A335" s="6" t="s">
        <v>36</v>
      </c>
      <c r="B335" s="12">
        <v>3064.650000000001</v>
      </c>
      <c r="C335" s="12">
        <v>116.53</v>
      </c>
      <c r="D335" s="12">
        <v>7.58</v>
      </c>
      <c r="E335" s="12">
        <v>8.9899999999999984</v>
      </c>
      <c r="F335" s="12">
        <v>17.760000000000002</v>
      </c>
      <c r="G335" s="12">
        <v>10.89</v>
      </c>
      <c r="H335" s="12">
        <v>21.15</v>
      </c>
      <c r="I335" s="12">
        <v>19.079999999999998</v>
      </c>
      <c r="J335" s="12">
        <v>13.46</v>
      </c>
      <c r="K335" s="12">
        <v>5.8</v>
      </c>
      <c r="L335" s="12">
        <v>14.159999999999998</v>
      </c>
      <c r="M335" s="12">
        <v>46.39</v>
      </c>
      <c r="N335" s="12">
        <v>7.7000000000000011</v>
      </c>
      <c r="O335" s="12">
        <v>5.82</v>
      </c>
      <c r="P335" s="12">
        <v>20.03</v>
      </c>
      <c r="Q335" s="12">
        <v>97.919999999999987</v>
      </c>
      <c r="R335" s="12">
        <v>139.16999999999999</v>
      </c>
      <c r="S335" s="12">
        <v>249.26</v>
      </c>
      <c r="T335" s="12">
        <v>242.43</v>
      </c>
      <c r="U335" s="12">
        <v>170.72</v>
      </c>
      <c r="V335" s="12">
        <v>129.20999999999998</v>
      </c>
      <c r="W335" s="12">
        <v>163.6</v>
      </c>
      <c r="X335" s="12">
        <v>72.459999999999994</v>
      </c>
      <c r="Y335" s="12">
        <v>6.9</v>
      </c>
      <c r="Z335" s="12">
        <f t="shared" si="315"/>
        <v>4651.6600000000017</v>
      </c>
      <c r="AA335" s="150">
        <f t="shared" si="311"/>
        <v>4.2382485242036097E-2</v>
      </c>
      <c r="AB335" s="134"/>
      <c r="AC335" s="175">
        <v>4108.7700000000013</v>
      </c>
      <c r="AD335" s="175">
        <v>535.99</v>
      </c>
      <c r="AE335" s="175">
        <v>6.9</v>
      </c>
      <c r="AF335" s="175">
        <v>4651.6600000000008</v>
      </c>
      <c r="AG335" s="193">
        <f t="shared" si="312"/>
        <v>0.11522553239058743</v>
      </c>
      <c r="AH335" s="134"/>
      <c r="AI335" s="210" t="s">
        <v>255</v>
      </c>
      <c r="AM335" s="134"/>
      <c r="AN335" s="116" t="s">
        <v>5</v>
      </c>
      <c r="AO335" s="343">
        <v>6094.99</v>
      </c>
      <c r="AP335" s="343">
        <v>37133.65</v>
      </c>
      <c r="AQ335" s="190">
        <f>AO335/AP335</f>
        <v>0.16413657154629291</v>
      </c>
      <c r="AR335" s="134"/>
      <c r="AS335" s="134"/>
      <c r="AT335" s="134"/>
      <c r="AU335" s="134"/>
      <c r="AV335" s="134"/>
      <c r="AW335" s="134"/>
      <c r="AX335" s="134"/>
      <c r="AY335" s="134"/>
      <c r="BB335" s="134"/>
      <c r="BC335" s="134"/>
      <c r="BD335" s="134"/>
      <c r="BE335" s="134"/>
      <c r="BF335" s="134"/>
      <c r="BG335" s="134"/>
      <c r="BH335" s="134"/>
      <c r="BI335" s="134"/>
      <c r="BJ335" s="134"/>
      <c r="BK335" s="134"/>
      <c r="BL335" s="134"/>
      <c r="BM335" s="134"/>
      <c r="BN335" s="134"/>
      <c r="BO335" s="134"/>
      <c r="BP335" s="134"/>
      <c r="BQ335" s="134"/>
      <c r="BR335" s="134"/>
      <c r="BS335" s="134"/>
      <c r="BT335" s="134"/>
      <c r="BU335" s="134"/>
      <c r="BV335" s="134"/>
      <c r="BW335" s="134"/>
      <c r="BX335" s="134"/>
      <c r="BY335" s="134"/>
      <c r="BZ335" s="134"/>
      <c r="CA335" s="134"/>
      <c r="CB335" s="134"/>
      <c r="CC335" s="134"/>
      <c r="CD335" s="134"/>
      <c r="CE335" s="134"/>
      <c r="CF335" s="134"/>
      <c r="CG335" s="134"/>
      <c r="CH335" s="134"/>
      <c r="CI335" s="134"/>
      <c r="CJ335" s="134"/>
      <c r="CK335" s="134"/>
      <c r="CL335" s="134"/>
      <c r="CM335" s="134"/>
      <c r="CN335" s="134"/>
      <c r="CO335" s="134"/>
      <c r="CP335" s="134"/>
      <c r="CQ335" s="134"/>
      <c r="CR335" s="134"/>
      <c r="CS335" s="134"/>
      <c r="CT335" s="134"/>
      <c r="CU335" s="134"/>
      <c r="CV335" s="134"/>
      <c r="CW335" s="134"/>
      <c r="CX335" s="134"/>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c r="EE335" s="136"/>
      <c r="EF335" s="136"/>
      <c r="EG335" s="136"/>
      <c r="EH335" s="136"/>
      <c r="EI335" s="136"/>
      <c r="EJ335" s="136"/>
      <c r="EK335" s="136"/>
      <c r="EL335" s="136"/>
      <c r="EM335" s="136"/>
      <c r="EN335" s="136"/>
      <c r="EO335" s="136"/>
      <c r="EP335" s="136"/>
      <c r="EQ335" s="136"/>
      <c r="ER335" s="136"/>
      <c r="ES335" s="136"/>
      <c r="ET335" s="136"/>
      <c r="EU335" s="136"/>
      <c r="EV335" s="136"/>
      <c r="EW335" s="136"/>
      <c r="EX335" s="136"/>
      <c r="EY335" s="136"/>
      <c r="EZ335" s="136"/>
      <c r="FA335" s="136"/>
      <c r="FB335" s="136"/>
      <c r="FC335" s="136"/>
      <c r="FD335" s="136"/>
      <c r="FE335" s="136"/>
      <c r="FF335" s="136"/>
      <c r="FG335" s="136"/>
      <c r="FH335" s="136"/>
      <c r="FI335" s="136"/>
      <c r="FJ335" s="136"/>
      <c r="FK335" s="136"/>
      <c r="FL335" s="136"/>
      <c r="FM335" s="136"/>
      <c r="FN335" s="136"/>
      <c r="FO335" s="136"/>
      <c r="FP335" s="136"/>
      <c r="FQ335" s="136"/>
      <c r="FR335" s="136"/>
    </row>
    <row r="336" spans="1:174" s="132" customFormat="1" x14ac:dyDescent="0.35">
      <c r="A336" s="116" t="s">
        <v>14</v>
      </c>
      <c r="B336" s="117">
        <f>SUM(B337:B340)</f>
        <v>1537.5299999999997</v>
      </c>
      <c r="C336" s="117">
        <f t="shared" ref="C336:Y336" si="317">SUM(C337:C340)</f>
        <v>64.489999999999995</v>
      </c>
      <c r="D336" s="117">
        <f t="shared" si="317"/>
        <v>1.77</v>
      </c>
      <c r="E336" s="117">
        <f t="shared" si="317"/>
        <v>5.32</v>
      </c>
      <c r="F336" s="117">
        <f t="shared" si="317"/>
        <v>10.18</v>
      </c>
      <c r="G336" s="117">
        <f t="shared" si="317"/>
        <v>6.53</v>
      </c>
      <c r="H336" s="117">
        <f t="shared" si="317"/>
        <v>5.76</v>
      </c>
      <c r="I336" s="117">
        <f t="shared" si="317"/>
        <v>1.37</v>
      </c>
      <c r="J336" s="117">
        <f t="shared" si="317"/>
        <v>1.9</v>
      </c>
      <c r="K336" s="117">
        <f t="shared" si="317"/>
        <v>1.9499999999999997</v>
      </c>
      <c r="L336" s="117">
        <f t="shared" si="317"/>
        <v>5.04</v>
      </c>
      <c r="M336" s="117">
        <f t="shared" si="317"/>
        <v>2.87</v>
      </c>
      <c r="N336" s="117">
        <f t="shared" si="317"/>
        <v>2.5300000000000002</v>
      </c>
      <c r="O336" s="117">
        <f t="shared" si="317"/>
        <v>10.94</v>
      </c>
      <c r="P336" s="117">
        <f t="shared" si="317"/>
        <v>9.7900000000000009</v>
      </c>
      <c r="Q336" s="117">
        <f t="shared" si="317"/>
        <v>11.49</v>
      </c>
      <c r="R336" s="117">
        <f t="shared" si="317"/>
        <v>32.1</v>
      </c>
      <c r="S336" s="117">
        <f t="shared" si="317"/>
        <v>32.750000000000007</v>
      </c>
      <c r="T336" s="117">
        <f t="shared" si="317"/>
        <v>38.36</v>
      </c>
      <c r="U336" s="117">
        <f t="shared" si="317"/>
        <v>19.409999999999997</v>
      </c>
      <c r="V336" s="117">
        <f t="shared" si="317"/>
        <v>14.71</v>
      </c>
      <c r="W336" s="117">
        <f t="shared" si="317"/>
        <v>7.67</v>
      </c>
      <c r="X336" s="117">
        <f t="shared" si="317"/>
        <v>6.2100000000000009</v>
      </c>
      <c r="Y336" s="117">
        <f t="shared" si="317"/>
        <v>0</v>
      </c>
      <c r="Z336" s="117">
        <f t="shared" si="315"/>
        <v>1830.6699999999996</v>
      </c>
      <c r="AA336" s="151">
        <f t="shared" si="311"/>
        <v>1.6679710954377185E-2</v>
      </c>
      <c r="AB336" s="432">
        <f>X336/$X$370</f>
        <v>1.7042367160099458E-3</v>
      </c>
      <c r="AC336" s="177">
        <v>1782.6699999999996</v>
      </c>
      <c r="AD336" s="177">
        <v>47.999999999999993</v>
      </c>
      <c r="AE336" s="117">
        <v>0</v>
      </c>
      <c r="AF336" s="117">
        <v>1830.6699999999996</v>
      </c>
      <c r="AG336" s="185">
        <f t="shared" si="312"/>
        <v>2.6219908558068904E-2</v>
      </c>
      <c r="AH336" s="135"/>
      <c r="AI336"/>
      <c r="AJ336" t="s">
        <v>256</v>
      </c>
      <c r="AK336" t="s">
        <v>96</v>
      </c>
      <c r="AL336" t="s">
        <v>257</v>
      </c>
      <c r="AM336" s="135"/>
      <c r="AN336" s="116" t="s">
        <v>15</v>
      </c>
      <c r="AO336" s="343">
        <v>5608.75</v>
      </c>
      <c r="AP336" s="343">
        <v>25518.689999999995</v>
      </c>
      <c r="AQ336" s="190">
        <f t="shared" ref="AQ336:AQ340" si="318">AO336/AP336</f>
        <v>0.21978988733355831</v>
      </c>
      <c r="AR336" s="135"/>
      <c r="AS336" s="135"/>
      <c r="AT336" s="135"/>
      <c r="AU336" s="135"/>
      <c r="AV336" s="135"/>
      <c r="AW336" s="135"/>
      <c r="AX336" s="135"/>
      <c r="AY336" s="135"/>
      <c r="AZ336" s="135"/>
      <c r="BA336" s="135"/>
      <c r="BB336" s="135"/>
      <c r="BC336" s="135"/>
      <c r="BD336" s="135"/>
      <c r="BE336" s="135"/>
      <c r="BF336" s="135"/>
      <c r="BG336" s="135"/>
      <c r="BH336" s="135"/>
      <c r="BI336" s="135"/>
      <c r="BJ336" s="135"/>
      <c r="BK336" s="135"/>
      <c r="BL336" s="135"/>
      <c r="BM336" s="135"/>
      <c r="BN336" s="135"/>
      <c r="BO336" s="135"/>
      <c r="BP336" s="135"/>
      <c r="BQ336" s="135"/>
      <c r="BR336" s="135"/>
      <c r="BS336" s="135"/>
      <c r="BT336" s="135"/>
      <c r="BU336" s="135"/>
      <c r="BV336" s="135"/>
      <c r="BW336" s="135"/>
      <c r="BX336" s="135"/>
      <c r="BY336" s="135"/>
      <c r="BZ336" s="135"/>
      <c r="CA336" s="135"/>
      <c r="CB336" s="135"/>
      <c r="CC336" s="135"/>
      <c r="CD336" s="135"/>
      <c r="CE336" s="135"/>
      <c r="CF336" s="135"/>
      <c r="CG336" s="135"/>
      <c r="CH336" s="135"/>
      <c r="CI336" s="135"/>
      <c r="CJ336" s="135"/>
      <c r="CK336" s="135"/>
      <c r="CL336" s="135"/>
      <c r="CM336" s="135"/>
      <c r="CN336" s="135"/>
      <c r="CO336" s="135"/>
      <c r="CP336" s="135"/>
      <c r="CQ336" s="135"/>
      <c r="CR336" s="133"/>
      <c r="CS336" s="133"/>
      <c r="CT336" s="133"/>
      <c r="CU336" s="133"/>
      <c r="CV336" s="133"/>
      <c r="CW336" s="133"/>
      <c r="CX336" s="133"/>
      <c r="CY336" s="133"/>
      <c r="CZ336" s="133"/>
      <c r="DA336" s="133"/>
      <c r="DB336" s="133"/>
      <c r="DC336" s="133"/>
      <c r="DD336" s="133"/>
      <c r="DE336" s="133"/>
      <c r="DF336" s="133"/>
      <c r="DG336" s="133"/>
      <c r="DH336" s="133"/>
      <c r="DI336" s="133"/>
      <c r="DJ336" s="133"/>
      <c r="DK336" s="133"/>
      <c r="DL336" s="133"/>
      <c r="DM336" s="133"/>
      <c r="DN336" s="133"/>
      <c r="DO336" s="133"/>
      <c r="DP336" s="133"/>
      <c r="DQ336" s="133"/>
      <c r="DR336" s="133"/>
      <c r="DS336" s="133"/>
      <c r="DT336" s="133"/>
      <c r="DU336" s="133"/>
      <c r="DV336" s="133"/>
      <c r="DW336" s="133"/>
      <c r="DX336" s="133"/>
      <c r="DY336" s="133"/>
      <c r="DZ336" s="133"/>
      <c r="EA336" s="133"/>
      <c r="EB336" s="133"/>
      <c r="EC336" s="133"/>
      <c r="ED336" s="133"/>
      <c r="EE336" s="133"/>
      <c r="EF336" s="133"/>
      <c r="EG336" s="133"/>
      <c r="EH336" s="133"/>
      <c r="EI336" s="133"/>
      <c r="EJ336" s="133"/>
      <c r="EK336" s="133"/>
      <c r="EL336" s="133"/>
      <c r="EM336" s="133"/>
      <c r="EN336" s="133"/>
      <c r="EO336" s="133"/>
      <c r="EP336" s="133"/>
      <c r="EQ336" s="133"/>
      <c r="ER336" s="133"/>
      <c r="ES336" s="133"/>
      <c r="ET336" s="133"/>
      <c r="EU336" s="133"/>
      <c r="EV336" s="133"/>
      <c r="EW336" s="133"/>
      <c r="EX336" s="133"/>
      <c r="EY336" s="133"/>
      <c r="EZ336" s="133"/>
      <c r="FA336" s="133"/>
      <c r="FB336" s="133"/>
      <c r="FC336" s="133"/>
      <c r="FD336" s="133"/>
      <c r="FE336" s="133"/>
      <c r="FF336" s="133"/>
      <c r="FG336" s="133"/>
      <c r="FH336" s="133"/>
      <c r="FI336" s="133"/>
      <c r="FJ336" s="133"/>
      <c r="FK336" s="133"/>
      <c r="FL336" s="133"/>
    </row>
    <row r="337" spans="1:167" x14ac:dyDescent="0.35">
      <c r="A337" s="6" t="s">
        <v>37</v>
      </c>
      <c r="B337" s="12">
        <v>83.829999999999984</v>
      </c>
      <c r="C337" s="12">
        <v>2.5300000000000002</v>
      </c>
      <c r="D337" s="12">
        <v>0.61</v>
      </c>
      <c r="E337" s="12"/>
      <c r="F337" s="12"/>
      <c r="G337" s="12"/>
      <c r="H337" s="12"/>
      <c r="I337" s="54">
        <v>0.4</v>
      </c>
      <c r="J337" s="12"/>
      <c r="K337" s="12">
        <v>1.0899999999999999</v>
      </c>
      <c r="L337" s="12">
        <v>1.6</v>
      </c>
      <c r="M337" s="54">
        <v>0.01</v>
      </c>
      <c r="N337" s="12"/>
      <c r="O337" s="12">
        <v>1.34</v>
      </c>
      <c r="P337" s="12"/>
      <c r="Q337" s="12">
        <v>2.04</v>
      </c>
      <c r="R337" s="12">
        <v>1.23</v>
      </c>
      <c r="S337" s="54">
        <v>0.44</v>
      </c>
      <c r="T337" s="12">
        <v>0.97</v>
      </c>
      <c r="U337" s="12">
        <v>0.56000000000000005</v>
      </c>
      <c r="V337" s="54">
        <v>0.19</v>
      </c>
      <c r="W337" s="12">
        <v>3.78</v>
      </c>
      <c r="X337" s="12"/>
      <c r="Y337" s="12"/>
      <c r="Z337" s="12">
        <f t="shared" si="315"/>
        <v>100.62</v>
      </c>
      <c r="AA337" s="150">
        <f t="shared" si="311"/>
        <v>9.1677501473746374E-4</v>
      </c>
      <c r="AB337" s="134"/>
      <c r="AC337" s="175">
        <v>96.09</v>
      </c>
      <c r="AD337" s="175">
        <v>4.5299999999999994</v>
      </c>
      <c r="AE337" s="175">
        <v>0</v>
      </c>
      <c r="AF337" s="175">
        <v>100.62</v>
      </c>
      <c r="AG337" s="193">
        <f t="shared" si="312"/>
        <v>4.5020870602265943E-2</v>
      </c>
      <c r="AH337" s="134"/>
      <c r="AI337" s="6" t="s">
        <v>26</v>
      </c>
      <c r="AJ337" s="175">
        <v>4710.0499999999993</v>
      </c>
      <c r="AK337" s="175">
        <v>26208.13</v>
      </c>
      <c r="AL337" s="382">
        <f>AJ337/AK337</f>
        <v>0.17971713357648939</v>
      </c>
      <c r="AM337" s="134"/>
      <c r="AN337" s="116" t="s">
        <v>22</v>
      </c>
      <c r="AO337" s="343">
        <v>3454.9199999999992</v>
      </c>
      <c r="AP337" s="343">
        <v>28544.009999999995</v>
      </c>
      <c r="AQ337" s="190">
        <f t="shared" si="318"/>
        <v>0.12103835445685451</v>
      </c>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34"/>
      <c r="BR337" s="134"/>
      <c r="BS337" s="134"/>
      <c r="BT337" s="134"/>
      <c r="BU337" s="134"/>
      <c r="BV337" s="134"/>
      <c r="BW337" s="134"/>
      <c r="BX337" s="134"/>
      <c r="BY337" s="134"/>
      <c r="BZ337" s="134"/>
      <c r="CA337" s="134"/>
      <c r="CB337" s="134"/>
      <c r="CC337" s="134"/>
      <c r="CD337" s="134"/>
      <c r="CE337" s="134"/>
      <c r="CF337" s="134"/>
      <c r="CG337" s="134"/>
      <c r="CH337" s="134"/>
      <c r="CI337" s="134"/>
      <c r="CJ337" s="134"/>
      <c r="CK337" s="134"/>
      <c r="CL337" s="134"/>
      <c r="CM337" s="134"/>
      <c r="CN337" s="134"/>
      <c r="CO337" s="134"/>
      <c r="CP337" s="134"/>
      <c r="CQ337" s="134"/>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c r="EE337" s="136"/>
      <c r="EF337" s="136"/>
      <c r="EG337" s="136"/>
      <c r="EH337" s="136"/>
      <c r="EI337" s="136"/>
      <c r="EJ337" s="136"/>
      <c r="EK337" s="136"/>
      <c r="EL337" s="136"/>
      <c r="EM337" s="136"/>
      <c r="EN337" s="136"/>
      <c r="EO337" s="136"/>
      <c r="EP337" s="136"/>
      <c r="EQ337" s="136"/>
      <c r="ER337" s="136"/>
      <c r="ES337" s="136"/>
      <c r="ET337" s="136"/>
      <c r="EU337" s="136"/>
      <c r="EV337" s="136"/>
      <c r="EW337" s="136"/>
      <c r="EX337" s="136"/>
      <c r="EY337" s="136"/>
      <c r="EZ337" s="136"/>
      <c r="FA337" s="136"/>
      <c r="FB337" s="136"/>
      <c r="FC337" s="136"/>
      <c r="FD337" s="136"/>
      <c r="FE337" s="136"/>
      <c r="FF337" s="136"/>
      <c r="FG337" s="136"/>
      <c r="FH337" s="136"/>
      <c r="FI337" s="136"/>
      <c r="FJ337" s="136"/>
      <c r="FK337" s="136"/>
    </row>
    <row r="338" spans="1:167" x14ac:dyDescent="0.35">
      <c r="A338" s="6" t="s">
        <v>38</v>
      </c>
      <c r="B338" s="12">
        <v>0.74999999999999989</v>
      </c>
      <c r="C338" s="54">
        <v>0.01</v>
      </c>
      <c r="D338" s="12"/>
      <c r="E338" s="12"/>
      <c r="F338" s="12"/>
      <c r="G338" s="12"/>
      <c r="H338" s="12"/>
      <c r="I338" s="12"/>
      <c r="J338" s="12"/>
      <c r="K338" s="12"/>
      <c r="L338" s="12"/>
      <c r="M338" s="12"/>
      <c r="N338" s="12"/>
      <c r="O338" s="12"/>
      <c r="P338" s="12"/>
      <c r="Q338" s="12"/>
      <c r="R338" s="12"/>
      <c r="S338" s="12"/>
      <c r="T338" s="12"/>
      <c r="U338" s="12">
        <v>1.27</v>
      </c>
      <c r="V338" s="12"/>
      <c r="W338" s="12"/>
      <c r="X338" s="54">
        <v>0.16</v>
      </c>
      <c r="Y338" s="12"/>
      <c r="Z338" s="12">
        <f t="shared" si="315"/>
        <v>2.19</v>
      </c>
      <c r="AA338" s="150">
        <f t="shared" si="311"/>
        <v>1.9953660129944797E-5</v>
      </c>
      <c r="AC338" s="175">
        <v>0.7599999999999999</v>
      </c>
      <c r="AD338" s="175">
        <v>1.43</v>
      </c>
      <c r="AE338" s="175">
        <v>0</v>
      </c>
      <c r="AF338" s="175">
        <v>2.19</v>
      </c>
      <c r="AG338" s="193">
        <f t="shared" si="312"/>
        <v>0.65296803652968038</v>
      </c>
      <c r="AH338" s="136"/>
      <c r="AI338" s="6" t="s">
        <v>22</v>
      </c>
      <c r="AJ338" s="175">
        <v>3454.9199999999992</v>
      </c>
      <c r="AK338" s="175">
        <v>28544.009999999995</v>
      </c>
      <c r="AL338" s="382">
        <f t="shared" ref="AL338:AL354" si="319">AJ338/AK338</f>
        <v>0.12103835445685451</v>
      </c>
      <c r="AM338" s="136"/>
      <c r="AN338" s="116" t="s">
        <v>13</v>
      </c>
      <c r="AO338" s="343">
        <v>866.8</v>
      </c>
      <c r="AP338" s="343">
        <v>8689.4400000000023</v>
      </c>
      <c r="AQ338" s="190">
        <f t="shared" si="318"/>
        <v>9.9753263731609837E-2</v>
      </c>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c r="EE338" s="136"/>
      <c r="EF338" s="136"/>
      <c r="EG338" s="136"/>
      <c r="EH338" s="136"/>
      <c r="EI338" s="136"/>
      <c r="EJ338" s="136"/>
      <c r="EK338" s="136"/>
      <c r="EL338" s="136"/>
      <c r="EM338" s="136"/>
      <c r="EN338" s="136"/>
      <c r="EO338" s="136"/>
      <c r="EP338" s="136"/>
      <c r="EQ338" s="136"/>
      <c r="ER338" s="136"/>
      <c r="ES338" s="136"/>
      <c r="ET338" s="136"/>
      <c r="EU338" s="136"/>
      <c r="EV338" s="136"/>
      <c r="EW338" s="136"/>
      <c r="EX338" s="136"/>
      <c r="EY338" s="136"/>
      <c r="EZ338" s="136"/>
      <c r="FA338" s="136"/>
      <c r="FB338" s="136"/>
      <c r="FC338" s="136"/>
      <c r="FD338" s="136"/>
      <c r="FE338" s="136"/>
      <c r="FF338" s="136"/>
      <c r="FG338" s="136"/>
      <c r="FH338" s="136"/>
      <c r="FI338" s="136"/>
      <c r="FJ338" s="136"/>
      <c r="FK338" s="136"/>
    </row>
    <row r="339" spans="1:167" x14ac:dyDescent="0.35">
      <c r="A339" s="6" t="s">
        <v>39</v>
      </c>
      <c r="B339" s="12">
        <v>624.97000000000025</v>
      </c>
      <c r="C339" s="12">
        <v>22.9</v>
      </c>
      <c r="D339" s="12"/>
      <c r="E339" s="12">
        <v>4.21</v>
      </c>
      <c r="F339" s="54">
        <v>0.18</v>
      </c>
      <c r="G339" s="12">
        <v>3.1</v>
      </c>
      <c r="H339" s="12">
        <v>0.9</v>
      </c>
      <c r="I339" s="12"/>
      <c r="J339" s="12"/>
      <c r="K339" s="54">
        <v>0.19</v>
      </c>
      <c r="L339" s="12">
        <v>3.38</v>
      </c>
      <c r="M339" s="54">
        <v>0.17</v>
      </c>
      <c r="N339" s="12"/>
      <c r="O339" s="12">
        <v>1.56</v>
      </c>
      <c r="P339" s="12">
        <v>2.06</v>
      </c>
      <c r="Q339" s="54">
        <v>0.14000000000000001</v>
      </c>
      <c r="R339" s="12">
        <v>7.45</v>
      </c>
      <c r="S339" s="12">
        <v>1.9699999999999998</v>
      </c>
      <c r="T339" s="12">
        <v>6.94</v>
      </c>
      <c r="U339" s="12">
        <v>2.83</v>
      </c>
      <c r="V339" s="54">
        <v>0.11</v>
      </c>
      <c r="W339" s="12">
        <v>0.56000000000000005</v>
      </c>
      <c r="X339" s="12">
        <v>1.98</v>
      </c>
      <c r="Y339" s="12"/>
      <c r="Z339" s="12">
        <f t="shared" si="315"/>
        <v>685.60000000000025</v>
      </c>
      <c r="AA339" s="150">
        <f t="shared" si="311"/>
        <v>6.246680084516054E-3</v>
      </c>
      <c r="AC339" s="175">
        <v>680.12000000000023</v>
      </c>
      <c r="AD339" s="175">
        <v>5.48</v>
      </c>
      <c r="AE339" s="175">
        <v>0</v>
      </c>
      <c r="AF339" s="175">
        <v>685.60000000000025</v>
      </c>
      <c r="AG339" s="193">
        <f t="shared" si="312"/>
        <v>7.9929988331388542E-3</v>
      </c>
      <c r="AH339" s="136"/>
      <c r="AI339" s="6" t="s">
        <v>41</v>
      </c>
      <c r="AJ339" s="175">
        <v>2155.2200000000003</v>
      </c>
      <c r="AK339" s="175">
        <v>12856.919999999996</v>
      </c>
      <c r="AL339" s="382">
        <f t="shared" si="319"/>
        <v>0.16763112782843798</v>
      </c>
      <c r="AM339" s="136"/>
      <c r="AN339" s="116" t="s">
        <v>12</v>
      </c>
      <c r="AO339" s="343">
        <v>734.43</v>
      </c>
      <c r="AP339" s="343">
        <v>6175.1700000000028</v>
      </c>
      <c r="AQ339" s="190">
        <f t="shared" si="318"/>
        <v>0.11893275812649685</v>
      </c>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c r="EE339" s="136"/>
      <c r="EF339" s="136"/>
      <c r="EG339" s="136"/>
      <c r="EH339" s="136"/>
      <c r="EI339" s="136"/>
      <c r="EJ339" s="136"/>
      <c r="EK339" s="136"/>
      <c r="EL339" s="136"/>
      <c r="EM339" s="136"/>
      <c r="EN339" s="136"/>
      <c r="EO339" s="136"/>
      <c r="EP339" s="136"/>
      <c r="EQ339" s="136"/>
      <c r="ER339" s="136"/>
      <c r="ES339" s="136"/>
      <c r="ET339" s="136"/>
      <c r="EU339" s="136"/>
      <c r="EV339" s="136"/>
      <c r="EW339" s="136"/>
      <c r="EX339" s="136"/>
      <c r="EY339" s="136"/>
      <c r="EZ339" s="136"/>
      <c r="FA339" s="136"/>
      <c r="FB339" s="136"/>
      <c r="FC339" s="136"/>
      <c r="FD339" s="136"/>
      <c r="FE339" s="136"/>
      <c r="FF339" s="136"/>
      <c r="FG339" s="136"/>
      <c r="FH339" s="136"/>
      <c r="FI339" s="136"/>
      <c r="FJ339" s="136"/>
      <c r="FK339" s="136"/>
    </row>
    <row r="340" spans="1:167" x14ac:dyDescent="0.35">
      <c r="A340" s="6" t="s">
        <v>40</v>
      </c>
      <c r="B340" s="12">
        <v>827.97999999999968</v>
      </c>
      <c r="C340" s="12">
        <v>39.049999999999997</v>
      </c>
      <c r="D340" s="12">
        <v>1.1599999999999999</v>
      </c>
      <c r="E340" s="12">
        <v>1.1100000000000001</v>
      </c>
      <c r="F340" s="12">
        <v>10</v>
      </c>
      <c r="G340" s="12">
        <v>3.43</v>
      </c>
      <c r="H340" s="12">
        <v>4.8599999999999994</v>
      </c>
      <c r="I340" s="12">
        <v>0.97</v>
      </c>
      <c r="J340" s="12">
        <v>1.9</v>
      </c>
      <c r="K340" s="12">
        <v>0.67</v>
      </c>
      <c r="L340" s="54">
        <v>0.06</v>
      </c>
      <c r="M340" s="12">
        <v>2.69</v>
      </c>
      <c r="N340" s="12">
        <v>2.5300000000000002</v>
      </c>
      <c r="O340" s="12">
        <v>8.0399999999999991</v>
      </c>
      <c r="P340" s="12">
        <v>7.73</v>
      </c>
      <c r="Q340" s="12">
        <v>9.31</v>
      </c>
      <c r="R340" s="12">
        <v>23.42</v>
      </c>
      <c r="S340" s="12">
        <v>30.340000000000007</v>
      </c>
      <c r="T340" s="12">
        <v>30.45</v>
      </c>
      <c r="U340" s="12">
        <v>14.749999999999998</v>
      </c>
      <c r="V340" s="12">
        <v>14.41</v>
      </c>
      <c r="W340" s="12">
        <v>3.3299999999999996</v>
      </c>
      <c r="X340" s="12">
        <v>4.07</v>
      </c>
      <c r="Y340" s="12"/>
      <c r="Z340" s="12">
        <f t="shared" si="315"/>
        <v>1042.2599999999993</v>
      </c>
      <c r="AA340" s="150">
        <f t="shared" si="311"/>
        <v>9.4963021949937224E-3</v>
      </c>
      <c r="AC340" s="175">
        <v>1005.6999999999995</v>
      </c>
      <c r="AD340" s="175">
        <v>36.559999999999995</v>
      </c>
      <c r="AE340" s="175">
        <v>0</v>
      </c>
      <c r="AF340" s="175">
        <v>1042.2599999999995</v>
      </c>
      <c r="AG340" s="193">
        <f t="shared" si="312"/>
        <v>3.5077619787768896E-2</v>
      </c>
      <c r="AH340" s="136"/>
      <c r="AI340" s="6" t="s">
        <v>43</v>
      </c>
      <c r="AJ340" s="175">
        <v>1398.5199999999998</v>
      </c>
      <c r="AK340" s="175">
        <v>5584.3099999999977</v>
      </c>
      <c r="AL340" s="382">
        <f t="shared" si="319"/>
        <v>0.25043738617662709</v>
      </c>
      <c r="AM340" s="136"/>
      <c r="AN340" s="116" t="s">
        <v>16</v>
      </c>
      <c r="AO340" s="343">
        <v>283.20999999999998</v>
      </c>
      <c r="AP340" s="343">
        <v>452.96999999999997</v>
      </c>
      <c r="AQ340" s="190">
        <f t="shared" si="318"/>
        <v>0.62522904386603972</v>
      </c>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c r="EE340" s="136"/>
      <c r="EF340" s="136"/>
      <c r="EG340" s="136"/>
      <c r="EH340" s="136"/>
      <c r="EI340" s="136"/>
      <c r="EJ340" s="136"/>
      <c r="EK340" s="136"/>
      <c r="EL340" s="136"/>
      <c r="EM340" s="136"/>
      <c r="EN340" s="136"/>
      <c r="EO340" s="136"/>
      <c r="EP340" s="136"/>
      <c r="EQ340" s="136"/>
      <c r="ER340" s="136"/>
      <c r="ES340" s="136"/>
      <c r="ET340" s="136"/>
      <c r="EU340" s="136"/>
      <c r="EV340" s="136"/>
      <c r="EW340" s="136"/>
      <c r="EX340" s="136"/>
      <c r="EY340" s="136"/>
      <c r="EZ340" s="136"/>
      <c r="FA340" s="136"/>
      <c r="FB340" s="136"/>
      <c r="FC340" s="136"/>
      <c r="FD340" s="136"/>
      <c r="FE340" s="136"/>
      <c r="FF340" s="136"/>
      <c r="FG340" s="136"/>
      <c r="FH340" s="136"/>
      <c r="FI340" s="136"/>
      <c r="FJ340" s="136"/>
      <c r="FK340" s="136"/>
    </row>
    <row r="341" spans="1:167" x14ac:dyDescent="0.35">
      <c r="A341" s="116" t="s">
        <v>15</v>
      </c>
      <c r="B341" s="117">
        <f>SUM(B342:B346)</f>
        <v>5820.0199999999995</v>
      </c>
      <c r="C341" s="117">
        <f t="shared" ref="C341:Y341" si="320">SUM(C342:C346)</f>
        <v>523.2299999999999</v>
      </c>
      <c r="D341" s="117">
        <f t="shared" si="320"/>
        <v>178.25</v>
      </c>
      <c r="E341" s="117">
        <f t="shared" si="320"/>
        <v>123.33</v>
      </c>
      <c r="F341" s="117">
        <f t="shared" si="320"/>
        <v>108.62</v>
      </c>
      <c r="G341" s="117">
        <f t="shared" si="320"/>
        <v>245.69</v>
      </c>
      <c r="H341" s="117">
        <f t="shared" si="320"/>
        <v>316.15000000000003</v>
      </c>
      <c r="I341" s="117">
        <f t="shared" si="320"/>
        <v>188.23999999999998</v>
      </c>
      <c r="J341" s="117">
        <f t="shared" si="320"/>
        <v>393.9</v>
      </c>
      <c r="K341" s="117">
        <f t="shared" si="320"/>
        <v>340.9</v>
      </c>
      <c r="L341" s="117">
        <f t="shared" si="320"/>
        <v>454.43</v>
      </c>
      <c r="M341" s="117">
        <f t="shared" si="320"/>
        <v>452.70000000000005</v>
      </c>
      <c r="N341" s="117">
        <f t="shared" si="320"/>
        <v>198.89</v>
      </c>
      <c r="O341" s="117">
        <f t="shared" si="320"/>
        <v>212.07</v>
      </c>
      <c r="P341" s="117">
        <f t="shared" si="320"/>
        <v>382.30999999999995</v>
      </c>
      <c r="Q341" s="117">
        <f t="shared" si="320"/>
        <v>814.94999999999982</v>
      </c>
      <c r="R341" s="117">
        <f t="shared" si="320"/>
        <v>2797.6099999999997</v>
      </c>
      <c r="S341" s="117">
        <f t="shared" si="320"/>
        <v>3396.32</v>
      </c>
      <c r="T341" s="117">
        <f t="shared" si="320"/>
        <v>2954.2799999999997</v>
      </c>
      <c r="U341" s="117">
        <f t="shared" si="320"/>
        <v>1491.65</v>
      </c>
      <c r="V341" s="117">
        <f t="shared" si="320"/>
        <v>1357.92</v>
      </c>
      <c r="W341" s="117">
        <f t="shared" si="320"/>
        <v>1279.8900000000001</v>
      </c>
      <c r="X341" s="117">
        <f t="shared" si="320"/>
        <v>1479.29</v>
      </c>
      <c r="Y341" s="117">
        <f t="shared" si="320"/>
        <v>8.0500000000000007</v>
      </c>
      <c r="Z341" s="117">
        <f t="shared" si="315"/>
        <v>25518.69</v>
      </c>
      <c r="AA341" s="151">
        <f t="shared" si="311"/>
        <v>0.23250742795498675</v>
      </c>
      <c r="AB341" s="432">
        <f>X341/$X$370</f>
        <v>0.40596784728282648</v>
      </c>
      <c r="AC341" s="177">
        <v>19901.889999999996</v>
      </c>
      <c r="AD341" s="177">
        <v>5608.75</v>
      </c>
      <c r="AE341" s="117">
        <v>8.0500000000000007</v>
      </c>
      <c r="AF341" s="117">
        <v>25518.689999999995</v>
      </c>
      <c r="AG341" s="185">
        <f t="shared" si="312"/>
        <v>0.21978988733355831</v>
      </c>
      <c r="AI341" s="6" t="s">
        <v>42</v>
      </c>
      <c r="AJ341" s="175">
        <v>1112.51</v>
      </c>
      <c r="AK341" s="175">
        <v>3145.1800000000003</v>
      </c>
      <c r="AL341" s="382">
        <f t="shared" si="319"/>
        <v>0.3537190240304211</v>
      </c>
      <c r="AN341" s="116" t="s">
        <v>17</v>
      </c>
      <c r="AO341" s="343">
        <v>236.58</v>
      </c>
      <c r="AP341" s="343">
        <v>933.6400000000001</v>
      </c>
      <c r="AQ341" s="190">
        <f>AO341/AP341</f>
        <v>0.25339531296859602</v>
      </c>
    </row>
    <row r="342" spans="1:167" x14ac:dyDescent="0.35">
      <c r="A342" s="6" t="s">
        <v>41</v>
      </c>
      <c r="B342" s="12">
        <v>3689.9399999999996</v>
      </c>
      <c r="C342" s="12">
        <v>235.82999999999998</v>
      </c>
      <c r="D342" s="12">
        <v>131.32</v>
      </c>
      <c r="E342" s="12">
        <v>73.300000000000011</v>
      </c>
      <c r="F342" s="12">
        <v>66.819999999999993</v>
      </c>
      <c r="G342" s="12">
        <v>86.95</v>
      </c>
      <c r="H342" s="12">
        <v>136.4</v>
      </c>
      <c r="I342" s="12">
        <v>101.13</v>
      </c>
      <c r="J342" s="12">
        <v>261.76</v>
      </c>
      <c r="K342" s="12">
        <v>212.26999999999998</v>
      </c>
      <c r="L342" s="12">
        <v>192.60000000000002</v>
      </c>
      <c r="M342" s="12">
        <v>295.61000000000007</v>
      </c>
      <c r="N342" s="12">
        <v>71.440000000000012</v>
      </c>
      <c r="O342" s="12">
        <v>93.11</v>
      </c>
      <c r="P342" s="12">
        <v>197.10999999999996</v>
      </c>
      <c r="Q342" s="12">
        <v>455.34999999999991</v>
      </c>
      <c r="R342" s="12">
        <v>1335.8799999999997</v>
      </c>
      <c r="S342" s="12">
        <v>1537.9</v>
      </c>
      <c r="T342" s="12">
        <v>1523.6999999999996</v>
      </c>
      <c r="U342" s="12">
        <v>445.26000000000005</v>
      </c>
      <c r="V342" s="12">
        <v>571.71000000000015</v>
      </c>
      <c r="W342" s="12">
        <v>426.66</v>
      </c>
      <c r="X342" s="12">
        <v>711.59</v>
      </c>
      <c r="Y342" s="12">
        <v>3.2800000000000007</v>
      </c>
      <c r="Z342" s="12">
        <f t="shared" si="315"/>
        <v>12856.919999999998</v>
      </c>
      <c r="AA342" s="150">
        <f t="shared" si="311"/>
        <v>0.1171427452045159</v>
      </c>
      <c r="AC342" s="175">
        <v>10698.419999999996</v>
      </c>
      <c r="AD342" s="175">
        <v>2155.2200000000003</v>
      </c>
      <c r="AE342" s="176">
        <v>3.2800000000000007</v>
      </c>
      <c r="AF342" s="175">
        <v>12856.919999999996</v>
      </c>
      <c r="AG342" s="193">
        <f t="shared" si="312"/>
        <v>0.16763112782843798</v>
      </c>
      <c r="AI342" s="6" t="s">
        <v>45</v>
      </c>
      <c r="AJ342" s="175">
        <v>915.69999999999982</v>
      </c>
      <c r="AK342" s="175">
        <v>3846.29</v>
      </c>
      <c r="AL342" s="382">
        <f t="shared" si="319"/>
        <v>0.23807357219554423</v>
      </c>
    </row>
    <row r="343" spans="1:167" x14ac:dyDescent="0.35">
      <c r="A343" s="6" t="s">
        <v>42</v>
      </c>
      <c r="B343" s="12">
        <v>171.62</v>
      </c>
      <c r="C343" s="12">
        <v>114.52</v>
      </c>
      <c r="D343" s="12">
        <v>20.52</v>
      </c>
      <c r="E343" s="12">
        <v>3.8600000000000003</v>
      </c>
      <c r="F343" s="12">
        <v>11.36</v>
      </c>
      <c r="G343" s="12">
        <v>45.92</v>
      </c>
      <c r="H343" s="12">
        <v>38.160000000000004</v>
      </c>
      <c r="I343" s="12">
        <v>36.51</v>
      </c>
      <c r="J343" s="12">
        <v>6.85</v>
      </c>
      <c r="K343" s="12">
        <v>22.330000000000002</v>
      </c>
      <c r="L343" s="12">
        <v>19.520000000000003</v>
      </c>
      <c r="M343" s="12">
        <v>37.31</v>
      </c>
      <c r="N343" s="12">
        <v>11.95</v>
      </c>
      <c r="O343" s="12">
        <v>12.08</v>
      </c>
      <c r="P343" s="12">
        <v>13.55</v>
      </c>
      <c r="Q343" s="12">
        <v>74.39</v>
      </c>
      <c r="R343" s="12">
        <v>445.94</v>
      </c>
      <c r="S343" s="12">
        <v>621.99</v>
      </c>
      <c r="T343" s="12">
        <v>323.88000000000005</v>
      </c>
      <c r="U343" s="12">
        <v>316.34999999999997</v>
      </c>
      <c r="V343" s="12">
        <v>240.33999999999997</v>
      </c>
      <c r="W343" s="12">
        <v>334.55</v>
      </c>
      <c r="X343" s="12">
        <v>221.27</v>
      </c>
      <c r="Y343" s="54">
        <v>0.41000000000000003</v>
      </c>
      <c r="Z343" s="12">
        <f t="shared" si="315"/>
        <v>3145.1800000000003</v>
      </c>
      <c r="AA343" s="150">
        <f t="shared" si="311"/>
        <v>2.8656553775114058E-2</v>
      </c>
      <c r="AC343" s="175">
        <v>2032.2600000000002</v>
      </c>
      <c r="AD343" s="175">
        <v>1112.51</v>
      </c>
      <c r="AE343" s="175">
        <v>0.41000000000000003</v>
      </c>
      <c r="AF343" s="175">
        <v>3145.1800000000003</v>
      </c>
      <c r="AG343" s="193">
        <f t="shared" si="312"/>
        <v>0.3537190240304211</v>
      </c>
      <c r="AI343" s="6" t="s">
        <v>6</v>
      </c>
      <c r="AJ343" s="175">
        <v>814.97</v>
      </c>
      <c r="AK343" s="175">
        <v>8736.5499999999993</v>
      </c>
      <c r="AL343" s="382">
        <f t="shared" si="319"/>
        <v>9.3282817588178413E-2</v>
      </c>
    </row>
    <row r="344" spans="1:167" x14ac:dyDescent="0.35">
      <c r="A344" s="6" t="s">
        <v>43</v>
      </c>
      <c r="B344" s="12">
        <v>1551.9299999999994</v>
      </c>
      <c r="C344" s="12">
        <v>53.33</v>
      </c>
      <c r="D344" s="12">
        <v>21.860000000000003</v>
      </c>
      <c r="E344" s="12">
        <v>5.37</v>
      </c>
      <c r="F344" s="12">
        <v>13.73</v>
      </c>
      <c r="G344" s="12">
        <v>11.129999999999999</v>
      </c>
      <c r="H344" s="12">
        <v>25.590000000000003</v>
      </c>
      <c r="I344" s="12">
        <v>5.0299999999999994</v>
      </c>
      <c r="J344" s="12">
        <v>36.83</v>
      </c>
      <c r="K344" s="12">
        <v>21.04</v>
      </c>
      <c r="L344" s="12">
        <v>126.76</v>
      </c>
      <c r="M344" s="12">
        <v>58.05</v>
      </c>
      <c r="N344" s="12">
        <v>71.13</v>
      </c>
      <c r="O344" s="12">
        <v>42.11</v>
      </c>
      <c r="P344" s="12">
        <v>108.5</v>
      </c>
      <c r="Q344" s="12">
        <v>168.54999999999998</v>
      </c>
      <c r="R344" s="12">
        <v>473.81000000000006</v>
      </c>
      <c r="S344" s="12">
        <v>656.01</v>
      </c>
      <c r="T344" s="12">
        <v>732.07</v>
      </c>
      <c r="U344" s="12">
        <v>484.52000000000004</v>
      </c>
      <c r="V344" s="12">
        <v>347.06999999999994</v>
      </c>
      <c r="W344" s="12">
        <v>225.38</v>
      </c>
      <c r="X344" s="12">
        <v>341.55</v>
      </c>
      <c r="Y344" s="12">
        <v>2.9600000000000004</v>
      </c>
      <c r="Z344" s="12">
        <f t="shared" si="315"/>
        <v>5584.3099999999986</v>
      </c>
      <c r="AA344" s="150">
        <f t="shared" si="311"/>
        <v>5.0880102191895892E-2</v>
      </c>
      <c r="AC344" s="175">
        <v>4182.8299999999981</v>
      </c>
      <c r="AD344" s="175">
        <v>1398.5199999999998</v>
      </c>
      <c r="AE344" s="175">
        <v>2.9600000000000004</v>
      </c>
      <c r="AF344" s="175">
        <v>5584.3099999999977</v>
      </c>
      <c r="AG344" s="193">
        <f t="shared" si="312"/>
        <v>0.25043738617662709</v>
      </c>
      <c r="AI344" s="6" t="s">
        <v>36</v>
      </c>
      <c r="AJ344" s="175">
        <v>535.99</v>
      </c>
      <c r="AK344" s="175">
        <v>4651.6600000000008</v>
      </c>
      <c r="AL344" s="382">
        <f t="shared" si="319"/>
        <v>0.11522553239058743</v>
      </c>
    </row>
    <row r="345" spans="1:167" x14ac:dyDescent="0.35">
      <c r="A345" s="6" t="s">
        <v>44</v>
      </c>
      <c r="B345" s="12">
        <v>13.27</v>
      </c>
      <c r="C345" s="12">
        <v>2.52</v>
      </c>
      <c r="D345" s="12">
        <v>3.54</v>
      </c>
      <c r="E345" s="12">
        <v>0.56999999999999995</v>
      </c>
      <c r="F345" s="12"/>
      <c r="G345" s="12">
        <v>2.38</v>
      </c>
      <c r="H345" s="12"/>
      <c r="I345" s="12"/>
      <c r="J345" s="12"/>
      <c r="K345" s="12">
        <v>1.57</v>
      </c>
      <c r="L345" s="12">
        <v>2.34</v>
      </c>
      <c r="M345" s="12">
        <v>1.71</v>
      </c>
      <c r="N345" s="12">
        <v>5.32</v>
      </c>
      <c r="O345" s="12"/>
      <c r="P345" s="12"/>
      <c r="Q345" s="12">
        <v>3.3600000000000003</v>
      </c>
      <c r="R345" s="12"/>
      <c r="S345" s="12">
        <v>11.72</v>
      </c>
      <c r="T345" s="12">
        <v>10.649999999999999</v>
      </c>
      <c r="U345" s="12">
        <v>2.31</v>
      </c>
      <c r="V345" s="12">
        <v>12.33</v>
      </c>
      <c r="W345" s="12">
        <v>7.85</v>
      </c>
      <c r="X345" s="12">
        <v>4.3100000000000005</v>
      </c>
      <c r="Y345" s="54">
        <v>0.24</v>
      </c>
      <c r="Z345" s="12">
        <f t="shared" si="315"/>
        <v>85.99</v>
      </c>
      <c r="AA345" s="150">
        <f t="shared" si="311"/>
        <v>7.8347727606116577E-4</v>
      </c>
      <c r="AC345" s="175">
        <v>58.949999999999996</v>
      </c>
      <c r="AD345" s="175">
        <v>26.800000000000004</v>
      </c>
      <c r="AE345" s="175">
        <v>0.24</v>
      </c>
      <c r="AF345" s="175">
        <v>85.99</v>
      </c>
      <c r="AG345" s="193">
        <f t="shared" si="312"/>
        <v>0.31166414699383654</v>
      </c>
      <c r="AI345" s="6" t="s">
        <v>33</v>
      </c>
      <c r="AJ345" s="175">
        <v>389.94999999999993</v>
      </c>
      <c r="AK345" s="89">
        <v>2328.0499999999997</v>
      </c>
      <c r="AL345" s="382">
        <f t="shared" si="319"/>
        <v>0.16750069800906336</v>
      </c>
    </row>
    <row r="346" spans="1:167" x14ac:dyDescent="0.35">
      <c r="A346" s="6" t="s">
        <v>45</v>
      </c>
      <c r="B346" s="12">
        <v>393.26</v>
      </c>
      <c r="C346" s="12">
        <v>117.03</v>
      </c>
      <c r="D346" s="12">
        <v>1.01</v>
      </c>
      <c r="E346" s="12">
        <v>40.22999999999999</v>
      </c>
      <c r="F346" s="12">
        <v>16.71</v>
      </c>
      <c r="G346" s="12">
        <v>99.310000000000016</v>
      </c>
      <c r="H346" s="12">
        <v>116.00000000000001</v>
      </c>
      <c r="I346" s="12">
        <v>45.57</v>
      </c>
      <c r="J346" s="12">
        <v>88.46</v>
      </c>
      <c r="K346" s="12">
        <v>83.69</v>
      </c>
      <c r="L346" s="12">
        <v>113.21</v>
      </c>
      <c r="M346" s="12">
        <v>60.02</v>
      </c>
      <c r="N346" s="12">
        <v>39.049999999999997</v>
      </c>
      <c r="O346" s="12">
        <v>64.77</v>
      </c>
      <c r="P346" s="12">
        <v>63.15</v>
      </c>
      <c r="Q346" s="12">
        <v>113.3</v>
      </c>
      <c r="R346" s="12">
        <v>541.98</v>
      </c>
      <c r="S346" s="12">
        <v>568.69999999999993</v>
      </c>
      <c r="T346" s="12">
        <v>363.98</v>
      </c>
      <c r="U346" s="12">
        <v>243.20999999999995</v>
      </c>
      <c r="V346" s="12">
        <v>186.47000000000003</v>
      </c>
      <c r="W346" s="12">
        <v>285.45</v>
      </c>
      <c r="X346" s="12">
        <v>200.57</v>
      </c>
      <c r="Y346" s="12">
        <v>1.1600000000000001</v>
      </c>
      <c r="Z346" s="12">
        <f t="shared" si="315"/>
        <v>3846.2900000000004</v>
      </c>
      <c r="AA346" s="150">
        <f t="shared" si="311"/>
        <v>3.5044549507399721E-2</v>
      </c>
      <c r="AC346" s="175">
        <v>2929.4300000000003</v>
      </c>
      <c r="AD346" s="175">
        <v>915.69999999999982</v>
      </c>
      <c r="AE346" s="175">
        <v>1.1600000000000001</v>
      </c>
      <c r="AF346" s="175">
        <v>3846.29</v>
      </c>
      <c r="AG346" s="193">
        <f t="shared" si="312"/>
        <v>0.23807357219554423</v>
      </c>
      <c r="AI346" s="6" t="s">
        <v>34</v>
      </c>
      <c r="AJ346" s="175">
        <v>313.23</v>
      </c>
      <c r="AK346" s="175">
        <v>3286.2200000000007</v>
      </c>
      <c r="AL346" s="382">
        <f t="shared" si="319"/>
        <v>9.5316199158912054E-2</v>
      </c>
    </row>
    <row r="347" spans="1:167" x14ac:dyDescent="0.35">
      <c r="A347" s="116" t="s">
        <v>16</v>
      </c>
      <c r="B347" s="117">
        <f>SUM(B348:B356)</f>
        <v>47.249999999999986</v>
      </c>
      <c r="C347" s="117">
        <f t="shared" ref="C347:Y347" si="321">SUM(C348:C356)</f>
        <v>0.82</v>
      </c>
      <c r="D347" s="117">
        <f t="shared" si="321"/>
        <v>2.79</v>
      </c>
      <c r="E347" s="117">
        <f t="shared" si="321"/>
        <v>0</v>
      </c>
      <c r="F347" s="117">
        <f t="shared" si="321"/>
        <v>0</v>
      </c>
      <c r="G347" s="117">
        <f t="shared" si="321"/>
        <v>0</v>
      </c>
      <c r="H347" s="117">
        <f t="shared" si="321"/>
        <v>0.9</v>
      </c>
      <c r="I347" s="117">
        <f t="shared" si="321"/>
        <v>0</v>
      </c>
      <c r="J347" s="117">
        <f t="shared" si="321"/>
        <v>6.5</v>
      </c>
      <c r="K347" s="117">
        <f t="shared" si="321"/>
        <v>0</v>
      </c>
      <c r="L347" s="117">
        <f t="shared" si="321"/>
        <v>0</v>
      </c>
      <c r="M347" s="117">
        <f t="shared" si="321"/>
        <v>1.5599999999999998</v>
      </c>
      <c r="N347" s="117">
        <f t="shared" si="321"/>
        <v>0</v>
      </c>
      <c r="O347" s="117">
        <f t="shared" si="321"/>
        <v>0.19</v>
      </c>
      <c r="P347" s="117">
        <f t="shared" si="321"/>
        <v>13.9</v>
      </c>
      <c r="Q347" s="117">
        <f t="shared" si="321"/>
        <v>10.399999999999999</v>
      </c>
      <c r="R347" s="117">
        <f t="shared" si="321"/>
        <v>17.07</v>
      </c>
      <c r="S347" s="117">
        <f t="shared" si="321"/>
        <v>14.670000000000002</v>
      </c>
      <c r="T347" s="117">
        <f t="shared" si="321"/>
        <v>53.09</v>
      </c>
      <c r="U347" s="117">
        <f t="shared" si="321"/>
        <v>102.93</v>
      </c>
      <c r="V347" s="117">
        <f t="shared" si="321"/>
        <v>73.960000000000008</v>
      </c>
      <c r="W347" s="117">
        <f t="shared" si="321"/>
        <v>39.96</v>
      </c>
      <c r="X347" s="117">
        <f t="shared" si="321"/>
        <v>66.36</v>
      </c>
      <c r="Y347" s="117">
        <f t="shared" si="321"/>
        <v>0.62</v>
      </c>
      <c r="Z347" s="117">
        <f t="shared" si="315"/>
        <v>452.96999999999997</v>
      </c>
      <c r="AA347" s="151">
        <f t="shared" si="311"/>
        <v>4.1271275931785822E-3</v>
      </c>
      <c r="AB347" s="432">
        <f>X347/$X$370</f>
        <v>1.8211457081227053E-2</v>
      </c>
      <c r="AC347" s="177">
        <v>169.14</v>
      </c>
      <c r="AD347" s="177">
        <v>283.20999999999998</v>
      </c>
      <c r="AE347" s="117">
        <v>0.62</v>
      </c>
      <c r="AF347" s="117">
        <v>452.96999999999997</v>
      </c>
      <c r="AG347" s="185">
        <f t="shared" si="312"/>
        <v>0.62522904386603972</v>
      </c>
      <c r="AH347" s="433"/>
      <c r="AI347" s="6" t="s">
        <v>32</v>
      </c>
      <c r="AJ347" s="175">
        <v>230.7</v>
      </c>
      <c r="AK347" s="89">
        <v>3459.8700000000022</v>
      </c>
      <c r="AL347" s="382">
        <f t="shared" si="319"/>
        <v>6.6678805851086848E-2</v>
      </c>
    </row>
    <row r="348" spans="1:167" x14ac:dyDescent="0.35">
      <c r="A348" s="6" t="s">
        <v>46</v>
      </c>
      <c r="B348" s="12"/>
      <c r="C348" s="12"/>
      <c r="D348" s="12"/>
      <c r="E348" s="12"/>
      <c r="F348" s="12"/>
      <c r="G348" s="12"/>
      <c r="H348" s="12"/>
      <c r="I348" s="12"/>
      <c r="J348" s="12"/>
      <c r="K348" s="12"/>
      <c r="L348" s="12"/>
      <c r="M348" s="12"/>
      <c r="N348" s="12"/>
      <c r="O348" s="12"/>
      <c r="P348" s="12"/>
      <c r="Q348" s="12">
        <v>0.91</v>
      </c>
      <c r="R348" s="12"/>
      <c r="S348" s="12"/>
      <c r="T348" s="12"/>
      <c r="U348" s="12">
        <v>0.63</v>
      </c>
      <c r="V348" s="12">
        <v>9.09</v>
      </c>
      <c r="W348" s="12">
        <v>2.62</v>
      </c>
      <c r="X348" s="12">
        <v>1.82</v>
      </c>
      <c r="Y348" s="12"/>
      <c r="Z348" s="12">
        <f t="shared" si="315"/>
        <v>15.07</v>
      </c>
      <c r="AA348" s="150">
        <f t="shared" si="311"/>
        <v>1.3730669322295348E-4</v>
      </c>
      <c r="AC348" s="175">
        <v>0.91</v>
      </c>
      <c r="AD348" s="175">
        <v>14.16</v>
      </c>
      <c r="AE348" s="175">
        <v>0</v>
      </c>
      <c r="AF348" s="175">
        <v>15.07</v>
      </c>
      <c r="AG348" s="193">
        <f t="shared" si="312"/>
        <v>0.93961512939615133</v>
      </c>
      <c r="AI348" s="6" t="s">
        <v>55</v>
      </c>
      <c r="AJ348" s="175">
        <v>227.20000000000002</v>
      </c>
      <c r="AK348" s="175">
        <v>846</v>
      </c>
      <c r="AL348" s="382">
        <f t="shared" si="319"/>
        <v>0.26855791962174941</v>
      </c>
    </row>
    <row r="349" spans="1:167" x14ac:dyDescent="0.35">
      <c r="A349" s="6" t="s">
        <v>47</v>
      </c>
      <c r="B349" s="54">
        <v>0.04</v>
      </c>
      <c r="C349" s="12"/>
      <c r="D349" s="12"/>
      <c r="E349" s="12"/>
      <c r="F349" s="12"/>
      <c r="G349" s="12"/>
      <c r="H349" s="12"/>
      <c r="I349" s="12"/>
      <c r="J349" s="12"/>
      <c r="K349" s="12"/>
      <c r="L349" s="12"/>
      <c r="M349" s="54">
        <v>0.22</v>
      </c>
      <c r="N349" s="12"/>
      <c r="O349" s="12"/>
      <c r="P349" s="12"/>
      <c r="Q349" s="12"/>
      <c r="R349" s="12"/>
      <c r="S349" s="12">
        <v>1.56</v>
      </c>
      <c r="T349" s="12">
        <v>18.920000000000002</v>
      </c>
      <c r="U349" s="12">
        <v>11.91</v>
      </c>
      <c r="V349" s="12">
        <v>1.04</v>
      </c>
      <c r="W349" s="12"/>
      <c r="X349" s="12"/>
      <c r="Y349" s="12"/>
      <c r="Z349" s="12">
        <f t="shared" si="315"/>
        <v>33.690000000000005</v>
      </c>
      <c r="AA349" s="150">
        <f t="shared" si="311"/>
        <v>3.0695836062915081E-4</v>
      </c>
      <c r="AC349" s="175">
        <v>20.740000000000002</v>
      </c>
      <c r="AD349" s="175">
        <v>12.95</v>
      </c>
      <c r="AE349" s="175">
        <v>0</v>
      </c>
      <c r="AF349" s="175">
        <v>33.69</v>
      </c>
      <c r="AG349" s="193">
        <f t="shared" si="312"/>
        <v>0.38438705847432475</v>
      </c>
      <c r="AI349" s="6" t="s">
        <v>53</v>
      </c>
      <c r="AJ349" s="175">
        <v>177.87</v>
      </c>
      <c r="AK349" s="175">
        <v>224.34</v>
      </c>
      <c r="AL349" s="382">
        <f t="shared" si="319"/>
        <v>0.79285905322278682</v>
      </c>
    </row>
    <row r="350" spans="1:167" x14ac:dyDescent="0.35">
      <c r="A350" s="6" t="s">
        <v>48</v>
      </c>
      <c r="B350" s="12"/>
      <c r="C350" s="12"/>
      <c r="D350" s="12"/>
      <c r="E350" s="12"/>
      <c r="F350" s="12"/>
      <c r="G350" s="12"/>
      <c r="H350" s="12"/>
      <c r="I350" s="12"/>
      <c r="J350" s="12"/>
      <c r="K350" s="12"/>
      <c r="L350" s="12"/>
      <c r="M350" s="12"/>
      <c r="N350" s="12"/>
      <c r="O350" s="12"/>
      <c r="P350" s="12"/>
      <c r="Q350" s="12"/>
      <c r="R350" s="12"/>
      <c r="S350" s="12"/>
      <c r="T350" s="12"/>
      <c r="U350" s="12"/>
      <c r="V350" s="12"/>
      <c r="W350" s="12">
        <v>4.7300000000000004</v>
      </c>
      <c r="X350" s="12"/>
      <c r="Y350" s="12"/>
      <c r="Z350" s="12">
        <v>4.7300000000000004</v>
      </c>
      <c r="AA350" s="150">
        <f t="shared" si="311"/>
        <v>4.3096261376547442E-5</v>
      </c>
      <c r="AC350" s="175">
        <v>0</v>
      </c>
      <c r="AD350" s="175">
        <v>4.7300000000000004</v>
      </c>
      <c r="AE350" s="175">
        <v>0</v>
      </c>
      <c r="AF350" s="175">
        <v>4.7300000000000004</v>
      </c>
      <c r="AG350" s="193">
        <f t="shared" si="312"/>
        <v>1</v>
      </c>
      <c r="AI350" s="6" t="s">
        <v>30</v>
      </c>
      <c r="AJ350" s="175">
        <v>165.79</v>
      </c>
      <c r="AK350" s="175">
        <v>351.19000000000005</v>
      </c>
      <c r="AL350" s="382">
        <f t="shared" si="319"/>
        <v>0.47208064010934242</v>
      </c>
    </row>
    <row r="351" spans="1:167" x14ac:dyDescent="0.35">
      <c r="A351" s="6" t="s">
        <v>49</v>
      </c>
      <c r="B351" s="12"/>
      <c r="C351" s="12"/>
      <c r="D351" s="12"/>
      <c r="E351" s="12"/>
      <c r="F351" s="12"/>
      <c r="G351" s="12"/>
      <c r="H351" s="12"/>
      <c r="I351" s="12"/>
      <c r="J351" s="12"/>
      <c r="K351" s="12"/>
      <c r="L351" s="12"/>
      <c r="M351" s="12"/>
      <c r="N351" s="12"/>
      <c r="O351" s="12"/>
      <c r="P351" s="12"/>
      <c r="Q351" s="12"/>
      <c r="R351" s="12"/>
      <c r="S351" s="12"/>
      <c r="T351" s="12"/>
      <c r="U351" s="12">
        <v>1.76</v>
      </c>
      <c r="V351" s="12">
        <v>2.08</v>
      </c>
      <c r="W351" s="12">
        <v>2.68</v>
      </c>
      <c r="X351" s="12"/>
      <c r="Y351" s="12"/>
      <c r="Z351" s="12">
        <v>6.52</v>
      </c>
      <c r="AA351" s="150">
        <f t="shared" ref="AA351:AA369" si="322">Z351/$Z$370</f>
        <v>5.9405417373168983E-5</v>
      </c>
      <c r="AC351" s="175">
        <v>0</v>
      </c>
      <c r="AD351" s="175">
        <v>6.52</v>
      </c>
      <c r="AE351" s="175">
        <v>0</v>
      </c>
      <c r="AF351" s="175">
        <v>6.52</v>
      </c>
      <c r="AG351" s="193">
        <f t="shared" si="312"/>
        <v>1</v>
      </c>
      <c r="AI351" s="6" t="s">
        <v>28</v>
      </c>
      <c r="AJ351" s="175">
        <v>159.12</v>
      </c>
      <c r="AK351" s="175">
        <v>423.54</v>
      </c>
      <c r="AL351" s="382">
        <f t="shared" si="319"/>
        <v>0.37569060773480661</v>
      </c>
    </row>
    <row r="352" spans="1:167" x14ac:dyDescent="0.35">
      <c r="A352" s="6" t="s">
        <v>50</v>
      </c>
      <c r="B352" s="12">
        <v>39.949999999999996</v>
      </c>
      <c r="C352" s="12">
        <v>0.82</v>
      </c>
      <c r="D352" s="12">
        <v>2.79</v>
      </c>
      <c r="E352" s="12"/>
      <c r="F352" s="12"/>
      <c r="G352" s="12"/>
      <c r="H352" s="12"/>
      <c r="I352" s="12"/>
      <c r="J352" s="12"/>
      <c r="K352" s="12"/>
      <c r="L352" s="12"/>
      <c r="M352" s="12"/>
      <c r="N352" s="12"/>
      <c r="O352" s="12"/>
      <c r="P352" s="12"/>
      <c r="Q352" s="12"/>
      <c r="R352" s="12">
        <v>8.64</v>
      </c>
      <c r="S352" s="12">
        <v>2.6500000000000004</v>
      </c>
      <c r="T352" s="12">
        <v>15.2</v>
      </c>
      <c r="U352" s="12">
        <v>24.720000000000002</v>
      </c>
      <c r="V352" s="12">
        <v>1.61</v>
      </c>
      <c r="W352" s="12">
        <v>3.2800000000000002</v>
      </c>
      <c r="X352" s="12"/>
      <c r="Y352" s="12">
        <v>0.62</v>
      </c>
      <c r="Z352" s="12">
        <v>100.28</v>
      </c>
      <c r="AA352" s="150">
        <f t="shared" si="322"/>
        <v>9.1367718622413897E-4</v>
      </c>
      <c r="AC352" s="175">
        <v>70.05</v>
      </c>
      <c r="AD352" s="175">
        <v>29.610000000000003</v>
      </c>
      <c r="AE352" s="175">
        <v>0.62</v>
      </c>
      <c r="AF352" s="175">
        <v>100.28</v>
      </c>
      <c r="AG352" s="193">
        <f t="shared" si="312"/>
        <v>0.29527323494216196</v>
      </c>
      <c r="AI352" s="6" t="s">
        <v>8</v>
      </c>
      <c r="AJ352" s="175">
        <v>132.88000000000002</v>
      </c>
      <c r="AK352" s="89">
        <v>236.17000000000002</v>
      </c>
      <c r="AL352" s="382">
        <f t="shared" si="319"/>
        <v>0.56264555193292975</v>
      </c>
    </row>
    <row r="353" spans="1:38" x14ac:dyDescent="0.35">
      <c r="A353" s="6" t="s">
        <v>51</v>
      </c>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v>0</v>
      </c>
      <c r="AA353" s="150">
        <f t="shared" si="322"/>
        <v>0</v>
      </c>
      <c r="AC353" s="175">
        <v>0</v>
      </c>
      <c r="AD353" s="175">
        <v>0</v>
      </c>
      <c r="AE353" s="175">
        <v>0</v>
      </c>
      <c r="AF353" s="175">
        <v>0</v>
      </c>
      <c r="AG353" s="193"/>
      <c r="AI353" s="6" t="s">
        <v>31</v>
      </c>
      <c r="AJ353" s="175">
        <v>113.78</v>
      </c>
      <c r="AK353" s="175">
        <v>387.25</v>
      </c>
      <c r="AL353" s="382">
        <f t="shared" si="319"/>
        <v>0.29381536475145253</v>
      </c>
    </row>
    <row r="354" spans="1:38" x14ac:dyDescent="0.35">
      <c r="A354" s="6" t="s">
        <v>52</v>
      </c>
      <c r="B354" s="12">
        <v>2.08</v>
      </c>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v>2.08</v>
      </c>
      <c r="AA354" s="150">
        <f t="shared" si="322"/>
        <v>1.8951421493280903E-5</v>
      </c>
      <c r="AC354" s="175">
        <v>2.08</v>
      </c>
      <c r="AD354" s="175">
        <v>0</v>
      </c>
      <c r="AE354" s="175">
        <v>0</v>
      </c>
      <c r="AF354" s="175">
        <v>2.08</v>
      </c>
      <c r="AG354" s="193">
        <f t="shared" si="312"/>
        <v>0</v>
      </c>
      <c r="AI354" s="6" t="s">
        <v>7</v>
      </c>
      <c r="AJ354" s="175">
        <v>76.25</v>
      </c>
      <c r="AK354" s="175">
        <v>144.26999999999998</v>
      </c>
      <c r="AL354" s="382">
        <f t="shared" si="319"/>
        <v>0.52852290843557226</v>
      </c>
    </row>
    <row r="355" spans="1:38" x14ac:dyDescent="0.35">
      <c r="A355" s="6" t="s">
        <v>53</v>
      </c>
      <c r="B355" s="12">
        <v>0.73</v>
      </c>
      <c r="C355" s="12"/>
      <c r="D355" s="12"/>
      <c r="E355" s="12"/>
      <c r="F355" s="12"/>
      <c r="G355" s="12"/>
      <c r="H355" s="12"/>
      <c r="I355" s="12"/>
      <c r="J355" s="12">
        <v>4.7300000000000004</v>
      </c>
      <c r="K355" s="12"/>
      <c r="L355" s="12"/>
      <c r="M355" s="12">
        <v>1.3399999999999999</v>
      </c>
      <c r="N355" s="12"/>
      <c r="O355" s="54">
        <v>0.19</v>
      </c>
      <c r="P355" s="12">
        <v>12.32</v>
      </c>
      <c r="Q355" s="12">
        <v>4.2799999999999994</v>
      </c>
      <c r="R355" s="12">
        <v>7.1400000000000006</v>
      </c>
      <c r="S355" s="12">
        <v>4.41</v>
      </c>
      <c r="T355" s="12">
        <v>11.33</v>
      </c>
      <c r="U355" s="12">
        <v>45.94</v>
      </c>
      <c r="V355" s="12">
        <v>55.74</v>
      </c>
      <c r="W355" s="12">
        <v>21.659999999999997</v>
      </c>
      <c r="X355" s="12">
        <v>54.53</v>
      </c>
      <c r="Y355" s="12"/>
      <c r="Z355" s="12">
        <f>SUM(B355:Y355)</f>
        <v>224.34</v>
      </c>
      <c r="AA355" s="150">
        <f t="shared" si="322"/>
        <v>2.0440201431743453E-3</v>
      </c>
      <c r="AC355" s="175">
        <v>46.47</v>
      </c>
      <c r="AD355" s="175">
        <v>177.87</v>
      </c>
      <c r="AE355" s="175">
        <v>0</v>
      </c>
      <c r="AF355" s="175">
        <v>224.34</v>
      </c>
      <c r="AG355" s="193">
        <f t="shared" si="312"/>
        <v>0.79285905322278682</v>
      </c>
    </row>
    <row r="356" spans="1:38" x14ac:dyDescent="0.35">
      <c r="A356" s="6" t="s">
        <v>54</v>
      </c>
      <c r="B356" s="12">
        <v>4.4499999999999993</v>
      </c>
      <c r="C356" s="12"/>
      <c r="D356" s="12"/>
      <c r="E356" s="12"/>
      <c r="F356" s="12"/>
      <c r="G356" s="12"/>
      <c r="H356" s="12">
        <v>0.9</v>
      </c>
      <c r="I356" s="12"/>
      <c r="J356" s="12">
        <v>1.77</v>
      </c>
      <c r="K356" s="12"/>
      <c r="L356" s="12"/>
      <c r="M356" s="12"/>
      <c r="N356" s="12"/>
      <c r="O356" s="12"/>
      <c r="P356" s="12">
        <v>1.58</v>
      </c>
      <c r="Q356" s="12">
        <v>5.21</v>
      </c>
      <c r="R356" s="12">
        <v>1.29</v>
      </c>
      <c r="S356" s="12">
        <v>6.0500000000000007</v>
      </c>
      <c r="T356" s="12">
        <v>7.6400000000000006</v>
      </c>
      <c r="U356" s="12">
        <v>17.97</v>
      </c>
      <c r="V356" s="12">
        <v>4.4000000000000004</v>
      </c>
      <c r="W356" s="12">
        <v>4.99</v>
      </c>
      <c r="X356" s="12">
        <v>10.01</v>
      </c>
      <c r="Y356" s="12"/>
      <c r="Z356" s="12">
        <f>SUM(B356:Y356)</f>
        <v>66.260000000000005</v>
      </c>
      <c r="AA356" s="150">
        <f t="shared" si="322"/>
        <v>6.037121096849965E-4</v>
      </c>
      <c r="AC356" s="175">
        <v>28.89</v>
      </c>
      <c r="AD356" s="175">
        <v>37.369999999999997</v>
      </c>
      <c r="AE356" s="175">
        <v>0</v>
      </c>
      <c r="AF356" s="175">
        <v>66.259999999999991</v>
      </c>
      <c r="AG356" s="193">
        <f t="shared" si="312"/>
        <v>0.56399034108059165</v>
      </c>
    </row>
    <row r="357" spans="1:38" x14ac:dyDescent="0.35">
      <c r="A357" s="116" t="s">
        <v>18</v>
      </c>
      <c r="B357" s="117">
        <v>92.1</v>
      </c>
      <c r="C357" s="117">
        <v>5.34</v>
      </c>
      <c r="D357" s="117"/>
      <c r="E357" s="117">
        <v>1.2</v>
      </c>
      <c r="F357" s="117">
        <v>6.67</v>
      </c>
      <c r="G357" s="117">
        <v>8.36</v>
      </c>
      <c r="H357" s="138">
        <v>0.2</v>
      </c>
      <c r="I357" s="117">
        <v>1.18</v>
      </c>
      <c r="J357" s="117"/>
      <c r="K357" s="117">
        <v>1.1100000000000001</v>
      </c>
      <c r="L357" s="117">
        <v>0.82</v>
      </c>
      <c r="M357" s="117"/>
      <c r="N357" s="117"/>
      <c r="O357" s="138">
        <v>0.44</v>
      </c>
      <c r="P357" s="138">
        <v>0.24</v>
      </c>
      <c r="Q357" s="138">
        <v>0.34</v>
      </c>
      <c r="R357" s="117">
        <v>1.64</v>
      </c>
      <c r="S357" s="117">
        <v>8.06</v>
      </c>
      <c r="T357" s="117">
        <v>1.77</v>
      </c>
      <c r="U357" s="117">
        <v>8.7200000000000006</v>
      </c>
      <c r="V357" s="117">
        <v>7.28</v>
      </c>
      <c r="W357" s="117">
        <v>5.2700000000000005</v>
      </c>
      <c r="X357" s="117">
        <v>1.8900000000000001</v>
      </c>
      <c r="Y357" s="138">
        <v>0.38000000000000006</v>
      </c>
      <c r="Z357" s="117">
        <v>153.01</v>
      </c>
      <c r="AA357" s="151">
        <f t="shared" si="322"/>
        <v>1.3941139435994763E-3</v>
      </c>
      <c r="AB357" s="432">
        <f>X357/$X$370</f>
        <v>5.186807396552009E-4</v>
      </c>
      <c r="AC357" s="177">
        <v>129.47</v>
      </c>
      <c r="AD357" s="177">
        <v>23.16</v>
      </c>
      <c r="AE357" s="177">
        <v>0.38000000000000006</v>
      </c>
      <c r="AF357" s="177">
        <v>153.01</v>
      </c>
      <c r="AG357" s="185">
        <f t="shared" si="312"/>
        <v>0.15136265603555324</v>
      </c>
    </row>
    <row r="358" spans="1:38" x14ac:dyDescent="0.35">
      <c r="A358" s="6" t="s">
        <v>18</v>
      </c>
      <c r="B358" s="12">
        <v>92.1</v>
      </c>
      <c r="C358" s="12">
        <v>5.34</v>
      </c>
      <c r="D358" s="12"/>
      <c r="E358" s="12">
        <v>1.2</v>
      </c>
      <c r="F358" s="12">
        <v>6.67</v>
      </c>
      <c r="G358" s="12">
        <v>8.36</v>
      </c>
      <c r="H358" s="54">
        <v>0.2</v>
      </c>
      <c r="I358" s="12">
        <v>1.18</v>
      </c>
      <c r="J358" s="12"/>
      <c r="K358" s="12">
        <v>1.1100000000000001</v>
      </c>
      <c r="L358" s="12">
        <v>0.82</v>
      </c>
      <c r="M358" s="12"/>
      <c r="N358" s="12"/>
      <c r="O358" s="54">
        <v>0.44</v>
      </c>
      <c r="P358" s="54">
        <v>0.24</v>
      </c>
      <c r="Q358" s="54">
        <v>0.34</v>
      </c>
      <c r="R358" s="12">
        <v>1.64</v>
      </c>
      <c r="S358" s="12">
        <v>8.06</v>
      </c>
      <c r="T358" s="12">
        <v>1.77</v>
      </c>
      <c r="U358" s="12">
        <v>8.7200000000000006</v>
      </c>
      <c r="V358" s="12">
        <v>7.28</v>
      </c>
      <c r="W358" s="12">
        <v>5.2700000000000005</v>
      </c>
      <c r="X358" s="12">
        <v>1.8900000000000001</v>
      </c>
      <c r="Y358" s="54">
        <v>0.38000000000000006</v>
      </c>
      <c r="Z358" s="12">
        <f>SUM(B358:Y358)</f>
        <v>153.01</v>
      </c>
      <c r="AA358" s="150">
        <f t="shared" si="322"/>
        <v>1.3941139435994763E-3</v>
      </c>
      <c r="AC358" s="175">
        <v>129.47</v>
      </c>
      <c r="AD358" s="175">
        <v>23.16</v>
      </c>
      <c r="AE358" s="175">
        <v>0.38000000000000006</v>
      </c>
      <c r="AF358" s="175">
        <v>153.01</v>
      </c>
      <c r="AG358" s="193">
        <f t="shared" si="312"/>
        <v>0.15136265603555324</v>
      </c>
    </row>
    <row r="359" spans="1:38" x14ac:dyDescent="0.35">
      <c r="A359" s="116" t="s">
        <v>17</v>
      </c>
      <c r="B359" s="117">
        <f>SUM(B360:B361)</f>
        <v>330.58</v>
      </c>
      <c r="C359" s="117">
        <f t="shared" ref="C359:Y359" si="323">SUM(C360:C361)</f>
        <v>62.59</v>
      </c>
      <c r="D359" s="117">
        <f t="shared" si="323"/>
        <v>3.53</v>
      </c>
      <c r="E359" s="117">
        <f t="shared" si="323"/>
        <v>2.31</v>
      </c>
      <c r="F359" s="117">
        <f t="shared" si="323"/>
        <v>0.65</v>
      </c>
      <c r="G359" s="117">
        <f t="shared" si="323"/>
        <v>5.77</v>
      </c>
      <c r="H359" s="117">
        <f t="shared" si="323"/>
        <v>21.71</v>
      </c>
      <c r="I359" s="117">
        <f t="shared" si="323"/>
        <v>5.25</v>
      </c>
      <c r="J359" s="117">
        <f t="shared" si="323"/>
        <v>47.280000000000008</v>
      </c>
      <c r="K359" s="117">
        <f t="shared" si="323"/>
        <v>5.41</v>
      </c>
      <c r="L359" s="117">
        <f t="shared" si="323"/>
        <v>22.99</v>
      </c>
      <c r="M359" s="117">
        <f t="shared" si="323"/>
        <v>53.36</v>
      </c>
      <c r="N359" s="117">
        <f t="shared" si="323"/>
        <v>4.4000000000000004</v>
      </c>
      <c r="O359" s="117">
        <f t="shared" si="323"/>
        <v>5.7200000000000006</v>
      </c>
      <c r="P359" s="117">
        <f t="shared" si="323"/>
        <v>12.35</v>
      </c>
      <c r="Q359" s="117">
        <f t="shared" si="323"/>
        <v>7.01</v>
      </c>
      <c r="R359" s="117">
        <f t="shared" si="323"/>
        <v>23.71</v>
      </c>
      <c r="S359" s="117">
        <f t="shared" si="323"/>
        <v>20</v>
      </c>
      <c r="T359" s="117">
        <f t="shared" si="323"/>
        <v>61.749999999999993</v>
      </c>
      <c r="U359" s="117">
        <f t="shared" si="323"/>
        <v>31.930000000000003</v>
      </c>
      <c r="V359" s="117">
        <f t="shared" si="323"/>
        <v>39.260000000000005</v>
      </c>
      <c r="W359" s="117">
        <f t="shared" si="323"/>
        <v>88.810000000000016</v>
      </c>
      <c r="X359" s="117">
        <f t="shared" si="323"/>
        <v>76.580000000000013</v>
      </c>
      <c r="Y359" s="138">
        <f t="shared" si="323"/>
        <v>0.69000000000000006</v>
      </c>
      <c r="Z359" s="117">
        <f>SUM(B359:Y359)</f>
        <v>933.6400000000001</v>
      </c>
      <c r="AA359" s="151">
        <f t="shared" si="322"/>
        <v>8.5066370975898E-3</v>
      </c>
      <c r="AB359" s="432">
        <f>X359/$X$370</f>
        <v>2.1016175154918142E-2</v>
      </c>
      <c r="AC359" s="177">
        <v>696.37</v>
      </c>
      <c r="AD359" s="177">
        <v>236.58</v>
      </c>
      <c r="AE359" s="177">
        <v>0.69000000000000006</v>
      </c>
      <c r="AF359" s="177">
        <v>933.6400000000001</v>
      </c>
      <c r="AG359" s="185">
        <f t="shared" si="312"/>
        <v>0.25339531296859602</v>
      </c>
    </row>
    <row r="360" spans="1:38" x14ac:dyDescent="0.35">
      <c r="A360" s="6" t="s">
        <v>55</v>
      </c>
      <c r="B360" s="12">
        <v>285.2</v>
      </c>
      <c r="C360" s="12">
        <v>62.59</v>
      </c>
      <c r="D360" s="12">
        <v>3.53</v>
      </c>
      <c r="E360" s="12">
        <v>2.31</v>
      </c>
      <c r="F360" s="12">
        <v>0.65</v>
      </c>
      <c r="G360" s="12">
        <v>5.77</v>
      </c>
      <c r="H360" s="12">
        <v>9.120000000000001</v>
      </c>
      <c r="I360" s="12">
        <v>5.25</v>
      </c>
      <c r="J360" s="12">
        <v>47.280000000000008</v>
      </c>
      <c r="K360" s="12">
        <v>5.41</v>
      </c>
      <c r="L360" s="12">
        <v>22.47</v>
      </c>
      <c r="M360" s="12">
        <v>53.15</v>
      </c>
      <c r="N360" s="12">
        <v>4.4000000000000004</v>
      </c>
      <c r="O360" s="12">
        <v>5.7200000000000006</v>
      </c>
      <c r="P360" s="12">
        <v>12.35</v>
      </c>
      <c r="Q360" s="12">
        <v>6.59</v>
      </c>
      <c r="R360" s="12">
        <v>17.149999999999999</v>
      </c>
      <c r="S360" s="12">
        <v>19.73</v>
      </c>
      <c r="T360" s="12">
        <v>49.749999999999993</v>
      </c>
      <c r="U360" s="12">
        <v>31.770000000000003</v>
      </c>
      <c r="V360" s="12">
        <v>39.17</v>
      </c>
      <c r="W360" s="12">
        <v>81.830000000000013</v>
      </c>
      <c r="X360" s="12">
        <v>74.430000000000007</v>
      </c>
      <c r="Y360" s="54">
        <v>0.38</v>
      </c>
      <c r="Z360" s="12">
        <f>SUM(B360:Y360)</f>
        <v>845.99999999999989</v>
      </c>
      <c r="AA360" s="150">
        <f t="shared" si="322"/>
        <v>7.7081262419786741E-3</v>
      </c>
      <c r="AC360" s="175">
        <v>618.41999999999996</v>
      </c>
      <c r="AD360" s="175">
        <v>227.20000000000002</v>
      </c>
      <c r="AE360" s="175">
        <v>0.38</v>
      </c>
      <c r="AF360" s="175">
        <v>846</v>
      </c>
      <c r="AG360" s="193">
        <f t="shared" si="312"/>
        <v>0.26855791962174941</v>
      </c>
    </row>
    <row r="361" spans="1:38" x14ac:dyDescent="0.35">
      <c r="A361" s="6" t="s">
        <v>56</v>
      </c>
      <c r="B361" s="12">
        <v>45.38</v>
      </c>
      <c r="C361" s="12"/>
      <c r="D361" s="12"/>
      <c r="E361" s="12"/>
      <c r="F361" s="12"/>
      <c r="G361" s="12"/>
      <c r="H361" s="12">
        <v>12.59</v>
      </c>
      <c r="I361" s="12"/>
      <c r="J361" s="12"/>
      <c r="K361" s="12"/>
      <c r="L361" s="12">
        <v>0.52</v>
      </c>
      <c r="M361" s="54">
        <v>0.21</v>
      </c>
      <c r="N361" s="12"/>
      <c r="O361" s="12"/>
      <c r="P361" s="12"/>
      <c r="Q361" s="54">
        <v>0.42</v>
      </c>
      <c r="R361" s="12">
        <v>6.5600000000000005</v>
      </c>
      <c r="S361" s="54">
        <v>0.27</v>
      </c>
      <c r="T361" s="12">
        <v>12</v>
      </c>
      <c r="U361" s="54">
        <v>0.16</v>
      </c>
      <c r="V361" s="54">
        <v>0.09</v>
      </c>
      <c r="W361" s="12">
        <v>6.98</v>
      </c>
      <c r="X361" s="12">
        <v>2.15</v>
      </c>
      <c r="Y361" s="54">
        <v>0.31000000000000005</v>
      </c>
      <c r="Z361" s="12">
        <f>SUM(B361:Y361)</f>
        <v>87.640000000000015</v>
      </c>
      <c r="AA361" s="150">
        <f t="shared" si="322"/>
        <v>7.9851085561112437E-4</v>
      </c>
      <c r="AC361" s="175">
        <v>77.95</v>
      </c>
      <c r="AD361" s="175">
        <v>9.3800000000000008</v>
      </c>
      <c r="AE361" s="175">
        <v>0.31000000000000005</v>
      </c>
      <c r="AF361" s="175">
        <v>87.64</v>
      </c>
      <c r="AG361" s="193">
        <f t="shared" si="312"/>
        <v>0.10702875399361023</v>
      </c>
    </row>
    <row r="362" spans="1:38" x14ac:dyDescent="0.35">
      <c r="A362" s="116" t="s">
        <v>20</v>
      </c>
      <c r="B362" s="117">
        <v>87.839999999999961</v>
      </c>
      <c r="C362" s="117">
        <v>9.18</v>
      </c>
      <c r="D362" s="117"/>
      <c r="E362" s="117"/>
      <c r="F362" s="117"/>
      <c r="G362" s="117"/>
      <c r="H362" s="117"/>
      <c r="I362" s="117"/>
      <c r="J362" s="117">
        <v>2.94</v>
      </c>
      <c r="K362" s="117">
        <v>7.2700000000000005</v>
      </c>
      <c r="L362" s="117">
        <v>1.05</v>
      </c>
      <c r="M362" s="117">
        <v>1.7599999999999998</v>
      </c>
      <c r="N362" s="117"/>
      <c r="O362" s="117">
        <v>1.5999999999999999</v>
      </c>
      <c r="P362" s="117">
        <v>3.5900000000000003</v>
      </c>
      <c r="Q362" s="117"/>
      <c r="R362" s="117">
        <v>2.15</v>
      </c>
      <c r="S362" s="139">
        <v>0.35</v>
      </c>
      <c r="T362" s="139">
        <v>0.21</v>
      </c>
      <c r="U362" s="139"/>
      <c r="V362" s="117">
        <v>2.0699999999999998</v>
      </c>
      <c r="W362" s="117">
        <v>0.99</v>
      </c>
      <c r="X362" s="139"/>
      <c r="Y362" s="117">
        <v>0.62000000000000011</v>
      </c>
      <c r="Z362" s="117">
        <f>SUM(B362:Y362)</f>
        <v>121.61999999999993</v>
      </c>
      <c r="AA362" s="151">
        <f t="shared" si="322"/>
        <v>1.1081114817369337E-3</v>
      </c>
      <c r="AB362" s="432">
        <f>X362/X414</f>
        <v>0</v>
      </c>
      <c r="AC362" s="177">
        <v>117.93999999999994</v>
      </c>
      <c r="AD362" s="177">
        <v>3.0599999999999996</v>
      </c>
      <c r="AE362" s="177">
        <v>0.62000000000000011</v>
      </c>
      <c r="AF362" s="177">
        <v>121.61999999999995</v>
      </c>
      <c r="AG362" s="185">
        <f t="shared" si="312"/>
        <v>2.5160335471139623E-2</v>
      </c>
    </row>
    <row r="363" spans="1:38" x14ac:dyDescent="0.35">
      <c r="A363" s="6" t="s">
        <v>20</v>
      </c>
      <c r="B363" s="12">
        <v>87.839999999999961</v>
      </c>
      <c r="C363" s="12">
        <v>9.18</v>
      </c>
      <c r="D363" s="12"/>
      <c r="E363" s="12"/>
      <c r="F363" s="12"/>
      <c r="G363" s="12"/>
      <c r="H363" s="12"/>
      <c r="I363" s="12"/>
      <c r="J363" s="12">
        <v>2.94</v>
      </c>
      <c r="K363" s="12">
        <v>7.2700000000000005</v>
      </c>
      <c r="L363" s="12">
        <v>1.05</v>
      </c>
      <c r="M363" s="12">
        <v>1.7599999999999998</v>
      </c>
      <c r="N363" s="12"/>
      <c r="O363" s="12">
        <v>1.5999999999999999</v>
      </c>
      <c r="P363" s="12">
        <v>3.5900000000000003</v>
      </c>
      <c r="Q363" s="12"/>
      <c r="R363" s="12">
        <v>2.15</v>
      </c>
      <c r="S363" s="54">
        <v>0.35</v>
      </c>
      <c r="T363" s="54">
        <v>0.21</v>
      </c>
      <c r="U363" s="12"/>
      <c r="V363" s="12">
        <v>2.0699999999999998</v>
      </c>
      <c r="W363" s="12">
        <v>0.99</v>
      </c>
      <c r="X363" s="12"/>
      <c r="Y363" s="12">
        <v>0.62000000000000011</v>
      </c>
      <c r="Z363" s="12">
        <v>121.62</v>
      </c>
      <c r="AA363" s="150">
        <f t="shared" si="322"/>
        <v>1.1081114817369344E-3</v>
      </c>
      <c r="AB363" s="432"/>
      <c r="AC363" s="175">
        <v>117.93999999999994</v>
      </c>
      <c r="AD363" s="175">
        <v>3.0599999999999996</v>
      </c>
      <c r="AE363" s="175">
        <v>0.62000000000000011</v>
      </c>
      <c r="AF363" s="175">
        <v>121.61999999999995</v>
      </c>
      <c r="AG363" s="175">
        <f t="shared" si="312"/>
        <v>2.5160335471139623E-2</v>
      </c>
    </row>
    <row r="364" spans="1:38" x14ac:dyDescent="0.35">
      <c r="A364" s="116" t="s">
        <v>21</v>
      </c>
      <c r="B364" s="140">
        <v>12.540000000000001</v>
      </c>
      <c r="C364" s="140">
        <v>5.24</v>
      </c>
      <c r="D364" s="140"/>
      <c r="E364" s="140"/>
      <c r="F364" s="140"/>
      <c r="G364" s="140"/>
      <c r="H364" s="140"/>
      <c r="I364" s="140"/>
      <c r="J364" s="140"/>
      <c r="K364" s="140"/>
      <c r="L364" s="140"/>
      <c r="M364" s="140">
        <v>1.94</v>
      </c>
      <c r="N364" s="140">
        <v>2.04</v>
      </c>
      <c r="O364" s="140"/>
      <c r="P364" s="140"/>
      <c r="Q364" s="140"/>
      <c r="R364" s="140"/>
      <c r="S364" s="140">
        <v>9.68</v>
      </c>
      <c r="T364" s="140"/>
      <c r="U364" s="140"/>
      <c r="V364" s="140">
        <v>2.6</v>
      </c>
      <c r="W364" s="140"/>
      <c r="X364" s="140">
        <v>16.16</v>
      </c>
      <c r="Y364" s="140"/>
      <c r="Z364" s="117">
        <v>50.2</v>
      </c>
      <c r="AA364" s="151">
        <f t="shared" si="322"/>
        <v>4.57385268732068E-4</v>
      </c>
      <c r="AB364" s="432">
        <f>X364/$X$370</f>
        <v>4.4348575411788599E-3</v>
      </c>
      <c r="AC364" s="177">
        <v>31.44</v>
      </c>
      <c r="AD364" s="177">
        <v>18.760000000000002</v>
      </c>
      <c r="AE364" s="177">
        <v>0</v>
      </c>
      <c r="AF364" s="177">
        <v>50.2</v>
      </c>
      <c r="AG364" s="185">
        <f t="shared" si="312"/>
        <v>0.37370517928286856</v>
      </c>
    </row>
    <row r="365" spans="1:38" x14ac:dyDescent="0.35">
      <c r="A365" s="6" t="s">
        <v>21</v>
      </c>
      <c r="B365" s="12">
        <v>12.540000000000001</v>
      </c>
      <c r="C365" s="12">
        <v>5.24</v>
      </c>
      <c r="D365" s="12"/>
      <c r="E365" s="12"/>
      <c r="F365" s="12"/>
      <c r="G365" s="12"/>
      <c r="H365" s="12"/>
      <c r="I365" s="12"/>
      <c r="J365" s="12"/>
      <c r="K365" s="12"/>
      <c r="L365" s="12"/>
      <c r="M365" s="12">
        <v>1.94</v>
      </c>
      <c r="N365" s="12">
        <v>2.04</v>
      </c>
      <c r="O365" s="12"/>
      <c r="P365" s="12"/>
      <c r="Q365" s="12"/>
      <c r="R365" s="12"/>
      <c r="S365" s="12">
        <v>9.68</v>
      </c>
      <c r="T365" s="12"/>
      <c r="U365" s="12"/>
      <c r="V365" s="12">
        <v>2.6</v>
      </c>
      <c r="W365" s="12"/>
      <c r="X365" s="12">
        <v>16.16</v>
      </c>
      <c r="Y365" s="12"/>
      <c r="Z365" s="12">
        <f>SUM(B365:Y365)</f>
        <v>50.2</v>
      </c>
      <c r="AA365" s="150">
        <f t="shared" si="322"/>
        <v>4.57385268732068E-4</v>
      </c>
      <c r="AC365" s="175">
        <v>31.44</v>
      </c>
      <c r="AD365" s="175">
        <v>18.760000000000002</v>
      </c>
      <c r="AE365" s="175">
        <v>0</v>
      </c>
      <c r="AF365" s="175">
        <v>50.2</v>
      </c>
      <c r="AG365" s="175">
        <f t="shared" si="312"/>
        <v>0.37370517928286856</v>
      </c>
    </row>
    <row r="366" spans="1:38" x14ac:dyDescent="0.35">
      <c r="A366" s="116" t="s">
        <v>22</v>
      </c>
      <c r="B366" s="117">
        <v>12937.99</v>
      </c>
      <c r="C366" s="117">
        <v>2290.6799999999998</v>
      </c>
      <c r="D366" s="117">
        <v>281.30999999999995</v>
      </c>
      <c r="E366" s="117">
        <v>159.19999999999996</v>
      </c>
      <c r="F366" s="117">
        <v>220.32000000000005</v>
      </c>
      <c r="G366" s="117">
        <v>400.97000000000008</v>
      </c>
      <c r="H366" s="117">
        <v>626.75999999999988</v>
      </c>
      <c r="I366" s="117">
        <v>262.57</v>
      </c>
      <c r="J366" s="117">
        <v>250.23000000000002</v>
      </c>
      <c r="K366" s="117">
        <v>241.27999999999997</v>
      </c>
      <c r="L366" s="117">
        <v>364.90000000000003</v>
      </c>
      <c r="M366" s="117">
        <v>614.39000000000033</v>
      </c>
      <c r="N366" s="117">
        <v>225.48000000000002</v>
      </c>
      <c r="O366" s="117">
        <v>288.45000000000005</v>
      </c>
      <c r="P366" s="117">
        <v>428.35999999999996</v>
      </c>
      <c r="Q366" s="117">
        <v>622.34</v>
      </c>
      <c r="R366" s="117">
        <v>1723.869999999999</v>
      </c>
      <c r="S366" s="117">
        <v>1490.9300000000005</v>
      </c>
      <c r="T366" s="117">
        <v>1637.399999999999</v>
      </c>
      <c r="U366" s="117">
        <v>855.8599999999991</v>
      </c>
      <c r="V366" s="117">
        <v>1085.4800000000005</v>
      </c>
      <c r="W366" s="117">
        <v>1011.0399999999995</v>
      </c>
      <c r="X366" s="117">
        <v>502.54000000000008</v>
      </c>
      <c r="Y366" s="117">
        <v>21.659999999999993</v>
      </c>
      <c r="Z366" s="117">
        <f>SUM(B366:Y366)</f>
        <v>28544.01</v>
      </c>
      <c r="AA366" s="151">
        <f t="shared" si="322"/>
        <v>0.26007190606655051</v>
      </c>
      <c r="AB366" s="432">
        <f>X366/$X$370</f>
        <v>0.1379141898975263</v>
      </c>
      <c r="AC366" s="177">
        <v>25067.429999999997</v>
      </c>
      <c r="AD366" s="177">
        <v>3454.9199999999992</v>
      </c>
      <c r="AE366" s="177">
        <v>21.659999999999993</v>
      </c>
      <c r="AF366" s="177">
        <v>28544.009999999995</v>
      </c>
      <c r="AG366" s="185">
        <f t="shared" si="312"/>
        <v>0.12103835445685451</v>
      </c>
    </row>
    <row r="367" spans="1:38" x14ac:dyDescent="0.35">
      <c r="A367" s="6" t="s">
        <v>22</v>
      </c>
      <c r="B367" s="12">
        <v>12937.99</v>
      </c>
      <c r="C367" s="12">
        <v>2290.6799999999998</v>
      </c>
      <c r="D367" s="12">
        <v>281.30999999999995</v>
      </c>
      <c r="E367" s="12">
        <v>159.19999999999996</v>
      </c>
      <c r="F367" s="12">
        <v>220.32000000000005</v>
      </c>
      <c r="G367" s="12">
        <v>400.97000000000008</v>
      </c>
      <c r="H367" s="12">
        <v>626.75999999999988</v>
      </c>
      <c r="I367" s="12">
        <v>262.57</v>
      </c>
      <c r="J367" s="12">
        <v>250.23000000000002</v>
      </c>
      <c r="K367" s="12">
        <v>241.27999999999997</v>
      </c>
      <c r="L367" s="12">
        <v>364.90000000000003</v>
      </c>
      <c r="M367" s="12">
        <v>614.39000000000033</v>
      </c>
      <c r="N367" s="12">
        <v>225.48000000000002</v>
      </c>
      <c r="O367" s="12">
        <v>288.45000000000005</v>
      </c>
      <c r="P367" s="12">
        <v>428.35999999999996</v>
      </c>
      <c r="Q367" s="12">
        <v>622.34</v>
      </c>
      <c r="R367" s="12">
        <v>1723.869999999999</v>
      </c>
      <c r="S367" s="12">
        <v>1490.9300000000005</v>
      </c>
      <c r="T367" s="12">
        <v>1637.399999999999</v>
      </c>
      <c r="U367" s="12">
        <v>855.8599999999991</v>
      </c>
      <c r="V367" s="12">
        <v>1085.4800000000005</v>
      </c>
      <c r="W367" s="12">
        <v>1011.0399999999995</v>
      </c>
      <c r="X367" s="12">
        <v>502.54000000000008</v>
      </c>
      <c r="Y367" s="12">
        <v>21.659999999999993</v>
      </c>
      <c r="Z367" s="12">
        <f>SUM(B367:Y367)</f>
        <v>28544.01</v>
      </c>
      <c r="AA367" s="150">
        <f t="shared" si="322"/>
        <v>0.26007190606655051</v>
      </c>
      <c r="AC367" s="175">
        <v>25067.429999999997</v>
      </c>
      <c r="AD367" s="175">
        <v>3454.9199999999992</v>
      </c>
      <c r="AE367" s="175">
        <v>21.659999999999993</v>
      </c>
      <c r="AF367" s="175">
        <v>28544.009999999995</v>
      </c>
      <c r="AG367" s="175">
        <f t="shared" si="312"/>
        <v>0.12103835445685451</v>
      </c>
    </row>
    <row r="368" spans="1:38" x14ac:dyDescent="0.35">
      <c r="A368" s="116" t="s">
        <v>23</v>
      </c>
      <c r="B368" s="117">
        <v>84.27000000000001</v>
      </c>
      <c r="C368" s="117">
        <v>4.25</v>
      </c>
      <c r="D368" s="117"/>
      <c r="E368" s="117"/>
      <c r="F368" s="117">
        <v>0.55000000000000004</v>
      </c>
      <c r="G368" s="117"/>
      <c r="H368" s="117"/>
      <c r="I368" s="117">
        <v>15.85</v>
      </c>
      <c r="J368" s="117"/>
      <c r="K368" s="117">
        <v>0.14000000000000001</v>
      </c>
      <c r="L368" s="117">
        <v>9.08</v>
      </c>
      <c r="M368" s="117"/>
      <c r="N368" s="117">
        <v>5.42</v>
      </c>
      <c r="O368" s="117"/>
      <c r="P368" s="117"/>
      <c r="Q368" s="117"/>
      <c r="R368" s="117">
        <v>0.68</v>
      </c>
      <c r="S368" s="117">
        <v>6.43</v>
      </c>
      <c r="T368" s="117">
        <v>3.33</v>
      </c>
      <c r="U368" s="117">
        <v>11.600000000000001</v>
      </c>
      <c r="V368" s="117">
        <v>0.71</v>
      </c>
      <c r="W368" s="117">
        <v>2.0100000000000002</v>
      </c>
      <c r="X368" s="117">
        <v>6.9099999999999993</v>
      </c>
      <c r="Y368" s="117"/>
      <c r="Z368" s="117">
        <f>SUM(B368:Y368)</f>
        <v>151.23000000000002</v>
      </c>
      <c r="AA368" s="151">
        <f t="shared" si="322"/>
        <v>1.3778959002061881E-3</v>
      </c>
      <c r="AB368" s="432">
        <f>X368/$X$370</f>
        <v>1.8963406936600199E-3</v>
      </c>
      <c r="AC368" s="177">
        <v>130.00000000000003</v>
      </c>
      <c r="AD368" s="177">
        <v>21.23</v>
      </c>
      <c r="AE368" s="177">
        <v>0</v>
      </c>
      <c r="AF368" s="177">
        <v>151.23000000000002</v>
      </c>
      <c r="AG368" s="185">
        <f t="shared" si="312"/>
        <v>0.14038219929908086</v>
      </c>
    </row>
    <row r="369" spans="1:33" x14ac:dyDescent="0.35">
      <c r="A369" s="6" t="s">
        <v>23</v>
      </c>
      <c r="B369" s="12">
        <v>84.27000000000001</v>
      </c>
      <c r="C369" s="12">
        <v>4.25</v>
      </c>
      <c r="D369" s="12"/>
      <c r="E369" s="12"/>
      <c r="F369" s="12">
        <v>0.55000000000000004</v>
      </c>
      <c r="G369" s="12"/>
      <c r="H369" s="12"/>
      <c r="I369" s="12">
        <v>15.85</v>
      </c>
      <c r="J369" s="12"/>
      <c r="K369" s="12">
        <v>0.14000000000000001</v>
      </c>
      <c r="L369" s="12">
        <v>9.08</v>
      </c>
      <c r="M369" s="12"/>
      <c r="N369" s="12">
        <v>5.42</v>
      </c>
      <c r="O369" s="12"/>
      <c r="P369" s="12"/>
      <c r="Q369" s="12"/>
      <c r="R369" s="12">
        <v>0.68</v>
      </c>
      <c r="S369" s="12">
        <v>6.43</v>
      </c>
      <c r="T369" s="12">
        <v>3.33</v>
      </c>
      <c r="U369" s="12">
        <v>11.600000000000001</v>
      </c>
      <c r="V369" s="12">
        <v>0.71</v>
      </c>
      <c r="W369" s="12">
        <v>2.0100000000000002</v>
      </c>
      <c r="X369" s="12">
        <v>6.9099999999999993</v>
      </c>
      <c r="Y369" s="12"/>
      <c r="Z369" s="12">
        <f>SUM(B369:Y369)</f>
        <v>151.23000000000002</v>
      </c>
      <c r="AA369" s="150">
        <f t="shared" si="322"/>
        <v>1.3778959002061881E-3</v>
      </c>
      <c r="AC369" s="175">
        <v>130.00000000000003</v>
      </c>
      <c r="AD369" s="175">
        <v>21.23</v>
      </c>
      <c r="AE369" s="175">
        <v>0</v>
      </c>
      <c r="AF369" s="175">
        <v>151.23000000000002</v>
      </c>
      <c r="AG369" s="175">
        <f t="shared" si="312"/>
        <v>0.14038219929908086</v>
      </c>
    </row>
    <row r="370" spans="1:33" ht="15.5" x14ac:dyDescent="0.35">
      <c r="A370" s="179" t="s">
        <v>25</v>
      </c>
      <c r="B370" s="114">
        <f>SUM(B319,B328,B332,B336,B341,B347,B357,B359,B362,B366,B368,B364)</f>
        <v>43144.86</v>
      </c>
      <c r="C370" s="213">
        <f t="shared" ref="C370:X370" si="324">SUM(C319,C328,C332,C336,C341,C347,C357,C359,C362,C366,C368,C364)</f>
        <v>6254.91</v>
      </c>
      <c r="D370" s="213">
        <f t="shared" si="324"/>
        <v>843.87999999999988</v>
      </c>
      <c r="E370" s="213">
        <f t="shared" si="324"/>
        <v>722.69999999999993</v>
      </c>
      <c r="F370" s="213">
        <f t="shared" si="324"/>
        <v>815.16</v>
      </c>
      <c r="G370" s="213">
        <f t="shared" si="324"/>
        <v>1518.6899999999998</v>
      </c>
      <c r="H370" s="213">
        <f t="shared" si="324"/>
        <v>1834.23</v>
      </c>
      <c r="I370" s="213">
        <f t="shared" si="324"/>
        <v>1257.5699999999997</v>
      </c>
      <c r="J370" s="213">
        <f t="shared" si="324"/>
        <v>1746.9599999999998</v>
      </c>
      <c r="K370" s="213">
        <f t="shared" si="324"/>
        <v>1103.3600000000001</v>
      </c>
      <c r="L370" s="213">
        <f t="shared" si="324"/>
        <v>1465.4099999999999</v>
      </c>
      <c r="M370" s="213">
        <f t="shared" si="324"/>
        <v>1865.31</v>
      </c>
      <c r="N370" s="213">
        <f t="shared" si="324"/>
        <v>768.7399999999999</v>
      </c>
      <c r="O370" s="213">
        <f t="shared" si="324"/>
        <v>1040.9400000000005</v>
      </c>
      <c r="P370" s="213">
        <f t="shared" si="324"/>
        <v>1751.82</v>
      </c>
      <c r="Q370" s="213">
        <f t="shared" si="324"/>
        <v>2964.2000000000003</v>
      </c>
      <c r="R370" s="213">
        <f t="shared" si="324"/>
        <v>7018.4699999999993</v>
      </c>
      <c r="S370" s="213">
        <f t="shared" si="324"/>
        <v>8264.260000000002</v>
      </c>
      <c r="T370" s="213">
        <f t="shared" si="324"/>
        <v>7919.01</v>
      </c>
      <c r="U370" s="213">
        <f t="shared" si="324"/>
        <v>4867.199999999998</v>
      </c>
      <c r="V370" s="213">
        <f t="shared" si="324"/>
        <v>4581.7200000000012</v>
      </c>
      <c r="W370" s="213">
        <f t="shared" si="324"/>
        <v>4301.1099999999988</v>
      </c>
      <c r="X370" s="213">
        <f t="shared" si="324"/>
        <v>3643.8599999999997</v>
      </c>
      <c r="Y370" s="114">
        <f t="shared" ref="Y370" si="325">SUM(Y319,Y328,Y332,Y336,Y341,Y347,Y357,Y359,Y362,Y366,Y368)</f>
        <v>59.929999999999993</v>
      </c>
      <c r="Z370" s="114">
        <f>SUM(Z319,Z328,Z332,Z336,Z341,Z347,Z357,Z359,Z362,Z366,Z368,Z364)</f>
        <v>109754.29999999999</v>
      </c>
      <c r="AA370" s="186">
        <f>SUM(,AA368,AA366,AA364,AA362,AA359,AA357,AA347,AA341,AA336,AA332,AA328,AA319)</f>
        <v>1.0000000000000002</v>
      </c>
      <c r="AB370" s="432">
        <f>X370/$X$370</f>
        <v>1</v>
      </c>
      <c r="AC370" s="149">
        <v>92300.479999999996</v>
      </c>
      <c r="AD370" s="149">
        <v>17393.89</v>
      </c>
      <c r="AE370" s="149">
        <v>59.93</v>
      </c>
      <c r="AF370" s="149">
        <v>109754.29999999999</v>
      </c>
      <c r="AG370" s="194">
        <f>AD370/AF370</f>
        <v>0.15848025999892487</v>
      </c>
    </row>
    <row r="371" spans="1:33" x14ac:dyDescent="0.35">
      <c r="A371" s="378" t="s">
        <v>253</v>
      </c>
      <c r="B371" s="379"/>
      <c r="C371" s="379">
        <f>C370+B370</f>
        <v>49399.770000000004</v>
      </c>
      <c r="D371" s="379">
        <f>D370+C371</f>
        <v>50243.65</v>
      </c>
      <c r="E371" s="379">
        <f>E370+D371</f>
        <v>50966.35</v>
      </c>
      <c r="F371" s="379">
        <f t="shared" ref="F371:X371" si="326">F370+E371</f>
        <v>51781.51</v>
      </c>
      <c r="G371" s="379">
        <f t="shared" si="326"/>
        <v>53300.200000000004</v>
      </c>
      <c r="H371" s="379">
        <f t="shared" si="326"/>
        <v>55134.430000000008</v>
      </c>
      <c r="I371" s="379">
        <f t="shared" si="326"/>
        <v>56392.000000000007</v>
      </c>
      <c r="J371" s="379">
        <f t="shared" si="326"/>
        <v>58138.960000000006</v>
      </c>
      <c r="K371" s="379">
        <f t="shared" si="326"/>
        <v>59242.320000000007</v>
      </c>
      <c r="L371" s="379">
        <f t="shared" si="326"/>
        <v>60707.73000000001</v>
      </c>
      <c r="M371" s="379">
        <f t="shared" si="326"/>
        <v>62573.040000000008</v>
      </c>
      <c r="N371" s="379">
        <f t="shared" si="326"/>
        <v>63341.780000000006</v>
      </c>
      <c r="O371" s="379">
        <f t="shared" si="326"/>
        <v>64382.720000000008</v>
      </c>
      <c r="P371" s="379">
        <f t="shared" si="326"/>
        <v>66134.540000000008</v>
      </c>
      <c r="Q371" s="379">
        <f t="shared" si="326"/>
        <v>69098.740000000005</v>
      </c>
      <c r="R371" s="379">
        <f t="shared" si="326"/>
        <v>76117.210000000006</v>
      </c>
      <c r="S371" s="379">
        <f t="shared" si="326"/>
        <v>84381.47</v>
      </c>
      <c r="T371" s="379">
        <f t="shared" si="326"/>
        <v>92300.479999999996</v>
      </c>
      <c r="U371" s="379">
        <f t="shared" si="326"/>
        <v>97167.679999999993</v>
      </c>
      <c r="V371" s="379">
        <f t="shared" si="326"/>
        <v>101749.4</v>
      </c>
      <c r="W371" s="379">
        <f t="shared" si="326"/>
        <v>106050.51</v>
      </c>
      <c r="X371" s="379">
        <f t="shared" si="326"/>
        <v>109694.37</v>
      </c>
      <c r="AG371" s="190"/>
    </row>
    <row r="372" spans="1:33" x14ac:dyDescent="0.35">
      <c r="A372" s="380" t="s">
        <v>254</v>
      </c>
      <c r="B372" s="379"/>
      <c r="C372" s="381"/>
      <c r="D372" s="381">
        <f>D371/C371-1</f>
        <v>1.7082670627818652E-2</v>
      </c>
      <c r="E372" s="381">
        <f t="shared" ref="E372:V372" si="327">E371/D371-1</f>
        <v>1.4383907220116399E-2</v>
      </c>
      <c r="F372" s="381">
        <f t="shared" si="327"/>
        <v>1.5994082370034413E-2</v>
      </c>
      <c r="G372" s="381">
        <f t="shared" si="327"/>
        <v>2.9328808680936458E-2</v>
      </c>
      <c r="H372" s="381">
        <f t="shared" si="327"/>
        <v>3.4413191695340739E-2</v>
      </c>
      <c r="I372" s="381">
        <f t="shared" si="327"/>
        <v>2.280915935831751E-2</v>
      </c>
      <c r="J372" s="381">
        <f t="shared" si="327"/>
        <v>3.0978862249964489E-2</v>
      </c>
      <c r="K372" s="381">
        <f t="shared" si="327"/>
        <v>1.8977979654262844E-2</v>
      </c>
      <c r="L372" s="381">
        <f t="shared" si="327"/>
        <v>2.4735864496866489E-2</v>
      </c>
      <c r="M372" s="381">
        <f t="shared" si="327"/>
        <v>3.0726070633838587E-2</v>
      </c>
      <c r="N372" s="381">
        <f t="shared" si="327"/>
        <v>1.2285482693505045E-2</v>
      </c>
      <c r="O372" s="381">
        <f t="shared" si="327"/>
        <v>1.6433702999820943E-2</v>
      </c>
      <c r="P372" s="381">
        <f t="shared" si="327"/>
        <v>2.7209474840454106E-2</v>
      </c>
      <c r="Q372" s="381">
        <f t="shared" si="327"/>
        <v>4.482075478259917E-2</v>
      </c>
      <c r="R372" s="381">
        <f t="shared" si="327"/>
        <v>0.10157160608138449</v>
      </c>
      <c r="S372" s="381">
        <f t="shared" si="327"/>
        <v>0.10857281815768061</v>
      </c>
      <c r="T372" s="381">
        <f t="shared" si="327"/>
        <v>9.3847736949830285E-2</v>
      </c>
      <c r="U372" s="381">
        <f t="shared" si="327"/>
        <v>5.2732120136320004E-2</v>
      </c>
      <c r="V372" s="381">
        <f t="shared" si="327"/>
        <v>4.7152715800150791E-2</v>
      </c>
      <c r="W372" s="381">
        <f t="shared" ref="W372:X372" si="328">W371/V371-1</f>
        <v>4.2271600618775107E-2</v>
      </c>
      <c r="X372" s="381">
        <f t="shared" si="328"/>
        <v>3.4359665031313824E-2</v>
      </c>
      <c r="Y372" s="141">
        <f>SUM(R370:X370)</f>
        <v>40595.629999999997</v>
      </c>
    </row>
    <row r="373" spans="1:33" s="136" customFormat="1" x14ac:dyDescent="0.35">
      <c r="A373" s="522" t="s">
        <v>313</v>
      </c>
      <c r="B373" s="379">
        <f>B368+B366+B364+B362+B359+B357+B347+B341+B336+B332+B328+B319</f>
        <v>43144.86</v>
      </c>
      <c r="C373" s="379">
        <f t="shared" ref="C373:Z373" si="329">C368+C366+C364+C362+C359+C357+C347+C341+C336+C332+C328+C319</f>
        <v>6254.91</v>
      </c>
      <c r="D373" s="379">
        <f t="shared" si="329"/>
        <v>843.88</v>
      </c>
      <c r="E373" s="379">
        <f t="shared" si="329"/>
        <v>722.69999999999993</v>
      </c>
      <c r="F373" s="379">
        <f t="shared" si="329"/>
        <v>815.16000000000008</v>
      </c>
      <c r="G373" s="379">
        <f t="shared" si="329"/>
        <v>1518.69</v>
      </c>
      <c r="H373" s="379">
        <f t="shared" si="329"/>
        <v>1834.23</v>
      </c>
      <c r="I373" s="379">
        <f t="shared" si="329"/>
        <v>1257.5699999999997</v>
      </c>
      <c r="J373" s="379">
        <f t="shared" si="329"/>
        <v>1746.9599999999998</v>
      </c>
      <c r="K373" s="379">
        <f t="shared" si="329"/>
        <v>1103.3599999999999</v>
      </c>
      <c r="L373" s="379">
        <f t="shared" si="329"/>
        <v>1465.4099999999999</v>
      </c>
      <c r="M373" s="379">
        <f t="shared" si="329"/>
        <v>1865.31</v>
      </c>
      <c r="N373" s="379">
        <f t="shared" si="329"/>
        <v>768.74</v>
      </c>
      <c r="O373" s="379">
        <f t="shared" si="329"/>
        <v>1040.94</v>
      </c>
      <c r="P373" s="379">
        <f t="shared" si="329"/>
        <v>1751.82</v>
      </c>
      <c r="Q373" s="379">
        <f t="shared" si="329"/>
        <v>2964.2</v>
      </c>
      <c r="R373" s="379">
        <f t="shared" si="329"/>
        <v>7018.4699999999993</v>
      </c>
      <c r="S373" s="379">
        <f t="shared" si="329"/>
        <v>8264.260000000002</v>
      </c>
      <c r="T373" s="379">
        <f t="shared" si="329"/>
        <v>7919.0099999999984</v>
      </c>
      <c r="U373" s="379">
        <f t="shared" si="329"/>
        <v>4867.1999999999989</v>
      </c>
      <c r="V373" s="379">
        <f t="shared" si="329"/>
        <v>4581.7199999999993</v>
      </c>
      <c r="W373" s="379">
        <f t="shared" si="329"/>
        <v>4301.1099999999988</v>
      </c>
      <c r="X373" s="379">
        <f t="shared" si="329"/>
        <v>3643.86</v>
      </c>
      <c r="Y373" s="379">
        <f t="shared" si="329"/>
        <v>59.93</v>
      </c>
      <c r="Z373" s="379">
        <f t="shared" si="329"/>
        <v>109754.29999999999</v>
      </c>
    </row>
    <row r="375" spans="1:33" ht="15.5" x14ac:dyDescent="0.35">
      <c r="A375" s="121" t="s">
        <v>99</v>
      </c>
      <c r="B375" s="122" t="s">
        <v>134</v>
      </c>
      <c r="C375" s="122">
        <v>2000</v>
      </c>
      <c r="D375" s="122">
        <v>2001</v>
      </c>
      <c r="E375" s="122">
        <v>2002</v>
      </c>
      <c r="F375" s="122">
        <v>2003</v>
      </c>
      <c r="G375" s="122">
        <v>2004</v>
      </c>
      <c r="H375" s="122">
        <v>2005</v>
      </c>
      <c r="I375" s="122">
        <v>2006</v>
      </c>
      <c r="J375" s="122">
        <v>2007</v>
      </c>
      <c r="K375" s="122">
        <v>2008</v>
      </c>
      <c r="L375" s="122">
        <v>2009</v>
      </c>
      <c r="M375" s="122">
        <v>2010</v>
      </c>
      <c r="N375" s="122">
        <v>2011</v>
      </c>
      <c r="O375" s="122">
        <v>2012</v>
      </c>
      <c r="P375" s="122">
        <v>2013</v>
      </c>
      <c r="Q375" s="122">
        <v>2014</v>
      </c>
      <c r="R375" s="122">
        <v>2015</v>
      </c>
      <c r="S375" s="122">
        <v>2016</v>
      </c>
      <c r="T375" s="122">
        <v>2017</v>
      </c>
      <c r="U375" s="122">
        <v>2018</v>
      </c>
      <c r="V375" s="122">
        <v>2019</v>
      </c>
      <c r="W375" s="122">
        <v>2020</v>
      </c>
      <c r="X375" s="123">
        <v>2021</v>
      </c>
      <c r="Y375" s="123" t="s">
        <v>90</v>
      </c>
      <c r="AD375" s="141"/>
    </row>
    <row r="376" spans="1:33" x14ac:dyDescent="0.35">
      <c r="A376" s="116" t="s">
        <v>5</v>
      </c>
      <c r="B376" s="22">
        <f>B319/$Z$319</f>
        <v>0.3373888642780874</v>
      </c>
      <c r="C376" s="22">
        <f t="shared" ref="C376:Y376" si="330">C319/$Z$319</f>
        <v>6.8182362897264329E-2</v>
      </c>
      <c r="D376" s="22">
        <f t="shared" si="330"/>
        <v>8.0379924946780076E-3</v>
      </c>
      <c r="E376" s="22">
        <f t="shared" si="330"/>
        <v>1.0310055704192828E-2</v>
      </c>
      <c r="F376" s="22">
        <f t="shared" si="330"/>
        <v>1.0325405663057632E-2</v>
      </c>
      <c r="G376" s="22">
        <f t="shared" si="330"/>
        <v>1.9051184033888401E-2</v>
      </c>
      <c r="H376" s="22">
        <f t="shared" si="330"/>
        <v>2.0564097523405319E-2</v>
      </c>
      <c r="I376" s="22">
        <f t="shared" si="330"/>
        <v>1.7374806947337517E-2</v>
      </c>
      <c r="J376" s="22">
        <f t="shared" si="330"/>
        <v>2.5738110850939775E-2</v>
      </c>
      <c r="K376" s="22">
        <f>K319/$Z$319</f>
        <v>1.0050722188634837E-2</v>
      </c>
      <c r="L376" s="22">
        <f t="shared" si="330"/>
        <v>1.3052312390513725E-2</v>
      </c>
      <c r="M376" s="22">
        <f t="shared" si="330"/>
        <v>1.6358208794449228E-2</v>
      </c>
      <c r="N376" s="22">
        <f t="shared" si="330"/>
        <v>8.1578298928330507E-3</v>
      </c>
      <c r="O376" s="22">
        <f t="shared" si="330"/>
        <v>1.2836874371358593E-2</v>
      </c>
      <c r="P376" s="22">
        <f t="shared" si="330"/>
        <v>2.1282852614811634E-2</v>
      </c>
      <c r="Q376" s="22">
        <f t="shared" si="330"/>
        <v>3.3123595445101676E-2</v>
      </c>
      <c r="R376" s="22">
        <f t="shared" si="330"/>
        <v>5.5376727038683245E-2</v>
      </c>
      <c r="S376" s="22">
        <f t="shared" si="330"/>
        <v>7.395394743043035E-2</v>
      </c>
      <c r="T376" s="22">
        <f t="shared" si="330"/>
        <v>7.4379976113309654E-2</v>
      </c>
      <c r="U376" s="22">
        <f t="shared" si="330"/>
        <v>4.9565017174449576E-2</v>
      </c>
      <c r="V376" s="22">
        <f t="shared" si="330"/>
        <v>4.4100162521055676E-2</v>
      </c>
      <c r="W376" s="22">
        <f t="shared" si="330"/>
        <v>4.1033133020858432E-2</v>
      </c>
      <c r="X376" s="22">
        <f t="shared" si="330"/>
        <v>2.943825882992919E-2</v>
      </c>
      <c r="Y376" s="383">
        <f t="shared" si="330"/>
        <v>3.175017807298771E-4</v>
      </c>
      <c r="AC376" s="141"/>
    </row>
    <row r="377" spans="1:33" x14ac:dyDescent="0.35">
      <c r="A377" s="116" t="s">
        <v>12</v>
      </c>
      <c r="B377" s="22">
        <f>B328/$Z$328</f>
        <v>0.62063716464486018</v>
      </c>
      <c r="C377" s="22">
        <f t="shared" ref="C377:Y377" si="331">C328/$Z$328</f>
        <v>5.8495555587943317E-2</v>
      </c>
      <c r="D377" s="22">
        <f t="shared" si="331"/>
        <v>5.9642082728086814E-3</v>
      </c>
      <c r="E377" s="22">
        <f t="shared" si="331"/>
        <v>4.5796310061099509E-3</v>
      </c>
      <c r="F377" s="22">
        <f t="shared" si="331"/>
        <v>7.9220491095791674E-3</v>
      </c>
      <c r="G377" s="22">
        <f t="shared" si="331"/>
        <v>1.3627155203824345E-2</v>
      </c>
      <c r="H377" s="22">
        <f t="shared" si="331"/>
        <v>8.9082567767365083E-3</v>
      </c>
      <c r="I377" s="22">
        <f t="shared" si="331"/>
        <v>1.6956618198365379E-2</v>
      </c>
      <c r="J377" s="22">
        <f t="shared" si="331"/>
        <v>9.492856067120416E-3</v>
      </c>
      <c r="K377" s="22">
        <f t="shared" si="331"/>
        <v>6.586053501361093E-3</v>
      </c>
      <c r="L377" s="22">
        <f t="shared" si="331"/>
        <v>9.7827266293883386E-3</v>
      </c>
      <c r="M377" s="22">
        <f t="shared" si="331"/>
        <v>9.0329497001701946E-3</v>
      </c>
      <c r="N377" s="22">
        <f t="shared" si="331"/>
        <v>2.8954668454471686E-3</v>
      </c>
      <c r="O377" s="22">
        <f t="shared" si="331"/>
        <v>4.9375158902507932E-3</v>
      </c>
      <c r="P377" s="22">
        <f t="shared" si="331"/>
        <v>1.0929253769531846E-2</v>
      </c>
      <c r="Q377" s="22">
        <f t="shared" si="331"/>
        <v>1.810800350435696E-2</v>
      </c>
      <c r="R377" s="22">
        <f t="shared" si="331"/>
        <v>2.7207348137784054E-2</v>
      </c>
      <c r="S377" s="22">
        <f t="shared" si="331"/>
        <v>2.6344214005444379E-2</v>
      </c>
      <c r="T377" s="22">
        <f t="shared" si="331"/>
        <v>1.7685343075575243E-2</v>
      </c>
      <c r="U377" s="22">
        <f t="shared" si="331"/>
        <v>4.6011688747030433E-2</v>
      </c>
      <c r="V377" s="22">
        <f t="shared" si="331"/>
        <v>2.849314269890545E-2</v>
      </c>
      <c r="W377" s="22">
        <f t="shared" si="331"/>
        <v>1.8835108992950798E-2</v>
      </c>
      <c r="X377" s="22">
        <f t="shared" si="331"/>
        <v>2.5592817687610212E-2</v>
      </c>
      <c r="Y377" s="383">
        <f t="shared" si="331"/>
        <v>9.7487194684518796E-4</v>
      </c>
    </row>
    <row r="378" spans="1:33" x14ac:dyDescent="0.35">
      <c r="A378" s="116" t="s">
        <v>13</v>
      </c>
      <c r="B378" s="22">
        <f>B332/$Z$332</f>
        <v>0.67135741773923296</v>
      </c>
      <c r="C378" s="22">
        <f t="shared" ref="C378:Y378" si="332">C332/$Z$332</f>
        <v>4.5573707856892957E-2</v>
      </c>
      <c r="D378" s="22">
        <f t="shared" si="332"/>
        <v>4.7091642269237143E-3</v>
      </c>
      <c r="E378" s="22">
        <f t="shared" si="332"/>
        <v>2.325811559778305E-3</v>
      </c>
      <c r="F378" s="22">
        <f t="shared" si="332"/>
        <v>4.1233957539266045E-3</v>
      </c>
      <c r="G378" s="22">
        <f t="shared" si="332"/>
        <v>6.8796147968108413E-3</v>
      </c>
      <c r="H378" s="22">
        <f t="shared" si="332"/>
        <v>5.0774273140731735E-3</v>
      </c>
      <c r="I378" s="22">
        <f t="shared" si="332"/>
        <v>3.8218803513229843E-3</v>
      </c>
      <c r="J378" s="22">
        <f t="shared" si="332"/>
        <v>3.4340532876687107E-3</v>
      </c>
      <c r="K378" s="22">
        <f t="shared" si="332"/>
        <v>1.0519665248853782E-2</v>
      </c>
      <c r="L378" s="22">
        <f t="shared" si="332"/>
        <v>7.1362481356681204E-3</v>
      </c>
      <c r="M378" s="22">
        <f t="shared" si="332"/>
        <v>8.4596936051114912E-3</v>
      </c>
      <c r="N378" s="22">
        <f t="shared" si="332"/>
        <v>1.0553039091126702E-3</v>
      </c>
      <c r="O378" s="22">
        <f t="shared" si="332"/>
        <v>1.6525806035832E-3</v>
      </c>
      <c r="P378" s="22">
        <f t="shared" si="332"/>
        <v>5.003774696643282E-3</v>
      </c>
      <c r="Q378" s="22">
        <f t="shared" si="332"/>
        <v>1.7935563166326021E-2</v>
      </c>
      <c r="R378" s="22">
        <f t="shared" si="332"/>
        <v>2.247440571544311E-2</v>
      </c>
      <c r="S378" s="22">
        <f t="shared" si="332"/>
        <v>4.3295080005155688E-2</v>
      </c>
      <c r="T378" s="22">
        <f t="shared" si="332"/>
        <v>3.4249617927047081E-2</v>
      </c>
      <c r="U378" s="22">
        <f t="shared" si="332"/>
        <v>2.5368723416008394E-2</v>
      </c>
      <c r="V378" s="22">
        <f t="shared" si="332"/>
        <v>2.1195842309746079E-2</v>
      </c>
      <c r="W378" s="22">
        <f t="shared" si="332"/>
        <v>2.5945285311826768E-2</v>
      </c>
      <c r="X378" s="22">
        <f t="shared" si="332"/>
        <v>2.7243412694028607E-2</v>
      </c>
      <c r="Y378" s="383">
        <f t="shared" si="332"/>
        <v>1.1623303688154819E-3</v>
      </c>
    </row>
    <row r="379" spans="1:33" x14ac:dyDescent="0.35">
      <c r="A379" s="116" t="s">
        <v>14</v>
      </c>
      <c r="B379" s="22">
        <f>B336/$Z$336</f>
        <v>0.83987283344349339</v>
      </c>
      <c r="C379" s="22">
        <f t="shared" ref="C379:X379" si="333">C336/$Z$336</f>
        <v>3.5227539643955495E-2</v>
      </c>
      <c r="D379" s="22">
        <f t="shared" si="333"/>
        <v>9.6685912807879099E-4</v>
      </c>
      <c r="E379" s="22">
        <f t="shared" si="333"/>
        <v>2.9060398651859711E-3</v>
      </c>
      <c r="F379" s="22">
        <f t="shared" si="333"/>
        <v>5.5608056066904473E-3</v>
      </c>
      <c r="G379" s="22">
        <f t="shared" si="333"/>
        <v>3.5670000600872913E-3</v>
      </c>
      <c r="H379" s="22">
        <f t="shared" si="333"/>
        <v>3.1463890269682691E-3</v>
      </c>
      <c r="I379" s="22">
        <f t="shared" si="333"/>
        <v>7.4835989009488352E-4</v>
      </c>
      <c r="J379" s="22">
        <f t="shared" si="333"/>
        <v>1.037871380423561E-3</v>
      </c>
      <c r="K379" s="22">
        <f t="shared" si="333"/>
        <v>1.0651837851715492E-3</v>
      </c>
      <c r="L379" s="22">
        <f t="shared" si="333"/>
        <v>2.7530903985972357E-3</v>
      </c>
      <c r="M379" s="22">
        <f t="shared" si="333"/>
        <v>1.567732032534537E-3</v>
      </c>
      <c r="N379" s="22">
        <f t="shared" si="333"/>
        <v>1.3820076802482156E-3</v>
      </c>
      <c r="O379" s="22">
        <f t="shared" si="333"/>
        <v>5.9759541588598718E-3</v>
      </c>
      <c r="P379" s="22">
        <f t="shared" si="333"/>
        <v>5.3477688496561381E-3</v>
      </c>
      <c r="Q379" s="22">
        <f t="shared" si="333"/>
        <v>6.2763906110877453E-3</v>
      </c>
      <c r="R379" s="22">
        <f t="shared" si="333"/>
        <v>1.7534563848208583E-2</v>
      </c>
      <c r="S379" s="22">
        <f t="shared" si="333"/>
        <v>1.7889625109932437E-2</v>
      </c>
      <c r="T379" s="22">
        <f t="shared" si="333"/>
        <v>2.0954076922656738E-2</v>
      </c>
      <c r="U379" s="22">
        <f t="shared" si="333"/>
        <v>1.0602675523169113E-2</v>
      </c>
      <c r="V379" s="22">
        <f t="shared" si="333"/>
        <v>8.0353094768582014E-3</v>
      </c>
      <c r="W379" s="22">
        <f t="shared" si="333"/>
        <v>4.1897228883414281E-3</v>
      </c>
      <c r="X379" s="22">
        <f t="shared" si="333"/>
        <v>3.3922006697001657E-3</v>
      </c>
      <c r="Y379" s="385">
        <f>Y336/$Z$336</f>
        <v>0</v>
      </c>
    </row>
    <row r="380" spans="1:33" x14ac:dyDescent="0.35">
      <c r="A380" s="116" t="s">
        <v>15</v>
      </c>
      <c r="B380" s="22">
        <f>B341/$Z$341</f>
        <v>0.22806891733078774</v>
      </c>
      <c r="C380" s="22">
        <f t="shared" ref="C380:Y380" si="334">C341/$Z$341</f>
        <v>2.0503795453449998E-2</v>
      </c>
      <c r="D380" s="22">
        <f t="shared" si="334"/>
        <v>6.9850764282962802E-3</v>
      </c>
      <c r="E380" s="22">
        <f t="shared" si="334"/>
        <v>4.8329283360548682E-3</v>
      </c>
      <c r="F380" s="22">
        <f t="shared" si="334"/>
        <v>4.2564880877505864E-3</v>
      </c>
      <c r="G380" s="22">
        <f t="shared" si="334"/>
        <v>9.6278453165111536E-3</v>
      </c>
      <c r="H380" s="22">
        <f t="shared" si="334"/>
        <v>1.2388958837620586E-2</v>
      </c>
      <c r="I380" s="22">
        <f t="shared" si="334"/>
        <v>7.3765542039971486E-3</v>
      </c>
      <c r="J380" s="22">
        <f t="shared" si="334"/>
        <v>1.5435745330187404E-2</v>
      </c>
      <c r="K380" s="22">
        <f t="shared" si="334"/>
        <v>1.3358836209852464E-2</v>
      </c>
      <c r="L380" s="22">
        <f t="shared" si="334"/>
        <v>1.7807732293468045E-2</v>
      </c>
      <c r="M380" s="22">
        <f t="shared" si="334"/>
        <v>1.7739938844823149E-2</v>
      </c>
      <c r="N380" s="22">
        <f t="shared" si="334"/>
        <v>7.7938953762908677E-3</v>
      </c>
      <c r="O380" s="22">
        <f t="shared" si="334"/>
        <v>8.3103795688571798E-3</v>
      </c>
      <c r="P380" s="22">
        <f t="shared" si="334"/>
        <v>1.498156841123114E-2</v>
      </c>
      <c r="Q380" s="22">
        <f t="shared" si="334"/>
        <v>3.1935416747489773E-2</v>
      </c>
      <c r="R380" s="22">
        <f t="shared" si="334"/>
        <v>0.10962984385170241</v>
      </c>
      <c r="S380" s="22">
        <f t="shared" si="334"/>
        <v>0.13309147138822566</v>
      </c>
      <c r="T380" s="22">
        <f t="shared" si="334"/>
        <v>0.11576926558534156</v>
      </c>
      <c r="U380" s="22">
        <f t="shared" si="334"/>
        <v>5.8453235648068147E-2</v>
      </c>
      <c r="V380" s="22">
        <f t="shared" si="334"/>
        <v>5.3212762880853214E-2</v>
      </c>
      <c r="W380" s="22">
        <f t="shared" si="334"/>
        <v>5.0155004038216704E-2</v>
      </c>
      <c r="X380" s="22">
        <f t="shared" si="334"/>
        <v>5.7968884766420224E-2</v>
      </c>
      <c r="Y380" s="384">
        <f t="shared" si="334"/>
        <v>3.1545506450370302E-4</v>
      </c>
    </row>
    <row r="381" spans="1:33" x14ac:dyDescent="0.35">
      <c r="A381" s="116" t="s">
        <v>16</v>
      </c>
      <c r="B381" s="22">
        <f>B347/$Z$347</f>
        <v>0.10431154381084838</v>
      </c>
      <c r="C381" s="22">
        <f t="shared" ref="C381:Y381" si="335">C347/$Z$347</f>
        <v>1.8102744111089034E-3</v>
      </c>
      <c r="D381" s="22">
        <f t="shared" si="335"/>
        <v>6.1593483012120009E-3</v>
      </c>
      <c r="E381" s="22">
        <f t="shared" si="335"/>
        <v>0</v>
      </c>
      <c r="F381" s="22">
        <f t="shared" si="335"/>
        <v>0</v>
      </c>
      <c r="G381" s="22">
        <f t="shared" si="335"/>
        <v>0</v>
      </c>
      <c r="H381" s="22">
        <f t="shared" si="335"/>
        <v>1.9868865487780649E-3</v>
      </c>
      <c r="I381" s="22">
        <f t="shared" si="335"/>
        <v>0</v>
      </c>
      <c r="J381" s="22">
        <f t="shared" si="335"/>
        <v>1.4349736185619357E-2</v>
      </c>
      <c r="K381" s="22">
        <f t="shared" si="335"/>
        <v>0</v>
      </c>
      <c r="L381" s="22">
        <f t="shared" si="335"/>
        <v>0</v>
      </c>
      <c r="M381" s="22">
        <f t="shared" si="335"/>
        <v>3.4439366845486455E-3</v>
      </c>
      <c r="N381" s="22">
        <f t="shared" si="335"/>
        <v>0</v>
      </c>
      <c r="O381" s="22">
        <f t="shared" si="335"/>
        <v>4.1945382696425816E-4</v>
      </c>
      <c r="P381" s="22">
        <f t="shared" si="335"/>
        <v>3.0686358920016782E-2</v>
      </c>
      <c r="Q381" s="22">
        <f t="shared" si="335"/>
        <v>2.2959577896990969E-2</v>
      </c>
      <c r="R381" s="22">
        <f t="shared" si="335"/>
        <v>3.7684614875157299E-2</v>
      </c>
      <c r="S381" s="22">
        <f t="shared" si="335"/>
        <v>3.2386250745082459E-2</v>
      </c>
      <c r="T381" s="22">
        <f t="shared" si="335"/>
        <v>0.11720422986069719</v>
      </c>
      <c r="U381" s="22">
        <f t="shared" si="335"/>
        <v>0.2272335916285847</v>
      </c>
      <c r="V381" s="22">
        <f t="shared" si="335"/>
        <v>0.16327792127513965</v>
      </c>
      <c r="W381" s="22">
        <f t="shared" si="335"/>
        <v>8.8217762765746083E-2</v>
      </c>
      <c r="X381" s="22">
        <f t="shared" si="335"/>
        <v>0.14649976819656932</v>
      </c>
      <c r="Y381" s="383">
        <f t="shared" si="335"/>
        <v>1.3687440669360002E-3</v>
      </c>
    </row>
    <row r="382" spans="1:33" x14ac:dyDescent="0.35">
      <c r="A382" s="116" t="s">
        <v>18</v>
      </c>
      <c r="B382" s="22">
        <f>B357/$Z$357</f>
        <v>0.60192144304293838</v>
      </c>
      <c r="C382" s="22">
        <f t="shared" ref="C382:Y382" si="336">C357/$Z$357</f>
        <v>3.4899679759492847E-2</v>
      </c>
      <c r="D382" s="22">
        <f t="shared" si="336"/>
        <v>0</v>
      </c>
      <c r="E382" s="22">
        <f t="shared" si="336"/>
        <v>7.8426246650545716E-3</v>
      </c>
      <c r="F382" s="22">
        <f t="shared" si="336"/>
        <v>4.3591922096594994E-2</v>
      </c>
      <c r="G382" s="22">
        <f t="shared" si="336"/>
        <v>5.4636951833213515E-2</v>
      </c>
      <c r="H382" s="22">
        <f t="shared" si="336"/>
        <v>1.3071041108424287E-3</v>
      </c>
      <c r="I382" s="22">
        <f t="shared" si="336"/>
        <v>7.7119142539703285E-3</v>
      </c>
      <c r="J382" s="22">
        <f t="shared" si="336"/>
        <v>0</v>
      </c>
      <c r="K382" s="22">
        <f t="shared" si="336"/>
        <v>7.25442781517548E-3</v>
      </c>
      <c r="L382" s="22">
        <f t="shared" si="336"/>
        <v>5.3591268544539569E-3</v>
      </c>
      <c r="M382" s="22">
        <f t="shared" si="336"/>
        <v>0</v>
      </c>
      <c r="N382" s="22">
        <f t="shared" si="336"/>
        <v>0</v>
      </c>
      <c r="O382" s="22">
        <f t="shared" si="336"/>
        <v>2.875629043853343E-3</v>
      </c>
      <c r="P382" s="22">
        <f t="shared" si="336"/>
        <v>1.5685249330109144E-3</v>
      </c>
      <c r="Q382" s="22">
        <f t="shared" si="336"/>
        <v>2.222076988432129E-3</v>
      </c>
      <c r="R382" s="22">
        <f t="shared" si="336"/>
        <v>1.0718253708907914E-2</v>
      </c>
      <c r="S382" s="22">
        <f t="shared" si="336"/>
        <v>5.2676295666949882E-2</v>
      </c>
      <c r="T382" s="22">
        <f t="shared" si="336"/>
        <v>1.1567871380955493E-2</v>
      </c>
      <c r="U382" s="22">
        <f t="shared" si="336"/>
        <v>5.6989739232729895E-2</v>
      </c>
      <c r="V382" s="22">
        <f t="shared" si="336"/>
        <v>4.7578589634664409E-2</v>
      </c>
      <c r="W382" s="22">
        <f t="shared" si="336"/>
        <v>3.4442193320697999E-2</v>
      </c>
      <c r="X382" s="22">
        <f t="shared" si="336"/>
        <v>1.2352133847460952E-2</v>
      </c>
      <c r="Y382" s="383">
        <f t="shared" si="336"/>
        <v>2.4834978106006147E-3</v>
      </c>
    </row>
    <row r="383" spans="1:33" x14ac:dyDescent="0.35">
      <c r="A383" s="116" t="s">
        <v>17</v>
      </c>
      <c r="B383" s="22">
        <f>B359/$Z$359</f>
        <v>0.35407651771560766</v>
      </c>
      <c r="C383" s="22">
        <f t="shared" ref="C383:Y383" si="337">C359/$Z$359</f>
        <v>6.7038687288462365E-2</v>
      </c>
      <c r="D383" s="22">
        <f t="shared" si="337"/>
        <v>3.7809005612441621E-3</v>
      </c>
      <c r="E383" s="22">
        <f t="shared" si="337"/>
        <v>2.4741870528255001E-3</v>
      </c>
      <c r="F383" s="22">
        <f t="shared" si="337"/>
        <v>6.9619982005912336E-4</v>
      </c>
      <c r="G383" s="22">
        <f t="shared" si="337"/>
        <v>6.1801122488325255E-3</v>
      </c>
      <c r="H383" s="22">
        <f t="shared" si="337"/>
        <v>2.3253073989974719E-2</v>
      </c>
      <c r="I383" s="22">
        <f t="shared" si="337"/>
        <v>5.6231523927852273E-3</v>
      </c>
      <c r="J383" s="22">
        <f t="shared" si="337"/>
        <v>5.0640503834454398E-2</v>
      </c>
      <c r="K383" s="22">
        <f t="shared" si="337"/>
        <v>5.7945246561843964E-3</v>
      </c>
      <c r="L383" s="22">
        <f t="shared" si="337"/>
        <v>2.4624052097168069E-2</v>
      </c>
      <c r="M383" s="22">
        <f t="shared" si="337"/>
        <v>5.7152649843622803E-2</v>
      </c>
      <c r="N383" s="22">
        <f t="shared" si="337"/>
        <v>4.7127372434771428E-3</v>
      </c>
      <c r="O383" s="22">
        <f t="shared" si="337"/>
        <v>6.126558416520286E-3</v>
      </c>
      <c r="P383" s="22">
        <f t="shared" si="337"/>
        <v>1.3227796581123344E-2</v>
      </c>
      <c r="Q383" s="22">
        <f t="shared" si="337"/>
        <v>7.5082472901760837E-3</v>
      </c>
      <c r="R383" s="22">
        <f t="shared" si="337"/>
        <v>2.5395227282464333E-2</v>
      </c>
      <c r="S383" s="22">
        <f t="shared" si="337"/>
        <v>2.1421532924896104E-2</v>
      </c>
      <c r="T383" s="22">
        <f t="shared" si="337"/>
        <v>6.6138982905616706E-2</v>
      </c>
      <c r="U383" s="22">
        <f t="shared" si="337"/>
        <v>3.4199477314596632E-2</v>
      </c>
      <c r="V383" s="22">
        <f t="shared" si="337"/>
        <v>4.205046913157106E-2</v>
      </c>
      <c r="W383" s="22">
        <f t="shared" si="337"/>
        <v>9.5122316953001163E-2</v>
      </c>
      <c r="X383" s="22">
        <f t="shared" si="337"/>
        <v>8.2023049569427187E-2</v>
      </c>
      <c r="Y383" s="383">
        <f t="shared" si="337"/>
        <v>7.3904288590891565E-4</v>
      </c>
    </row>
    <row r="384" spans="1:33" x14ac:dyDescent="0.35">
      <c r="A384" s="116" t="s">
        <v>20</v>
      </c>
      <c r="B384" s="22">
        <f>B362/$Z$362</f>
        <v>0.7222496299950667</v>
      </c>
      <c r="C384" s="22">
        <f t="shared" ref="C384:Y384" si="338">C362/$Z$362</f>
        <v>7.5481006413418886E-2</v>
      </c>
      <c r="D384" s="22">
        <f t="shared" si="338"/>
        <v>0</v>
      </c>
      <c r="E384" s="22">
        <f t="shared" si="338"/>
        <v>0</v>
      </c>
      <c r="F384" s="22">
        <f t="shared" si="338"/>
        <v>0</v>
      </c>
      <c r="G384" s="22">
        <f t="shared" si="338"/>
        <v>0</v>
      </c>
      <c r="H384" s="22">
        <f t="shared" si="338"/>
        <v>0</v>
      </c>
      <c r="I384" s="22">
        <f t="shared" si="338"/>
        <v>0</v>
      </c>
      <c r="J384" s="22">
        <f t="shared" si="338"/>
        <v>2.4173655648741996E-2</v>
      </c>
      <c r="K384" s="22">
        <f t="shared" si="338"/>
        <v>5.977635257358991E-2</v>
      </c>
      <c r="L384" s="22">
        <f t="shared" si="338"/>
        <v>8.6334484459792849E-3</v>
      </c>
      <c r="M384" s="22">
        <f t="shared" si="338"/>
        <v>1.4471304061831941E-2</v>
      </c>
      <c r="N384" s="22">
        <f t="shared" si="338"/>
        <v>0</v>
      </c>
      <c r="O384" s="22">
        <f t="shared" si="338"/>
        <v>1.3155730965301766E-2</v>
      </c>
      <c r="P384" s="22">
        <f t="shared" si="338"/>
        <v>2.9518171353395843E-2</v>
      </c>
      <c r="Q384" s="22">
        <f t="shared" si="338"/>
        <v>0</v>
      </c>
      <c r="R384" s="22">
        <f t="shared" si="338"/>
        <v>1.767801348462425E-2</v>
      </c>
      <c r="S384" s="22">
        <f t="shared" si="338"/>
        <v>2.8778161486597612E-3</v>
      </c>
      <c r="T384" s="22">
        <f t="shared" si="338"/>
        <v>1.7266896891958569E-3</v>
      </c>
      <c r="U384" s="22">
        <f t="shared" si="338"/>
        <v>0</v>
      </c>
      <c r="V384" s="22">
        <f t="shared" si="338"/>
        <v>1.702022693635916E-2</v>
      </c>
      <c r="W384" s="22">
        <f t="shared" si="338"/>
        <v>8.1401085347804682E-3</v>
      </c>
      <c r="X384" s="22">
        <f t="shared" si="338"/>
        <v>0</v>
      </c>
      <c r="Y384" s="383">
        <f t="shared" si="338"/>
        <v>5.0978457490544358E-3</v>
      </c>
    </row>
    <row r="385" spans="1:192" x14ac:dyDescent="0.35">
      <c r="A385" s="116" t="s">
        <v>21</v>
      </c>
      <c r="B385" s="22">
        <f>B364/$Z$364</f>
        <v>0.249800796812749</v>
      </c>
      <c r="C385" s="22">
        <f t="shared" ref="C385:Y385" si="339">C364/$Z$364</f>
        <v>0.10438247011952191</v>
      </c>
      <c r="D385" s="22">
        <f t="shared" si="339"/>
        <v>0</v>
      </c>
      <c r="E385" s="22">
        <f t="shared" si="339"/>
        <v>0</v>
      </c>
      <c r="F385" s="22">
        <f t="shared" si="339"/>
        <v>0</v>
      </c>
      <c r="G385" s="22">
        <f t="shared" si="339"/>
        <v>0</v>
      </c>
      <c r="H385" s="22">
        <f t="shared" si="339"/>
        <v>0</v>
      </c>
      <c r="I385" s="22">
        <f t="shared" si="339"/>
        <v>0</v>
      </c>
      <c r="J385" s="22">
        <f t="shared" si="339"/>
        <v>0</v>
      </c>
      <c r="K385" s="22">
        <f t="shared" si="339"/>
        <v>0</v>
      </c>
      <c r="L385" s="22">
        <f t="shared" si="339"/>
        <v>0</v>
      </c>
      <c r="M385" s="22">
        <f t="shared" si="339"/>
        <v>3.8645418326693222E-2</v>
      </c>
      <c r="N385" s="22">
        <f t="shared" si="339"/>
        <v>4.0637450199203187E-2</v>
      </c>
      <c r="O385" s="22">
        <f t="shared" si="339"/>
        <v>0</v>
      </c>
      <c r="P385" s="22">
        <f t="shared" si="339"/>
        <v>0</v>
      </c>
      <c r="Q385" s="22">
        <f t="shared" si="339"/>
        <v>0</v>
      </c>
      <c r="R385" s="22">
        <f t="shared" si="339"/>
        <v>0</v>
      </c>
      <c r="S385" s="22">
        <f t="shared" si="339"/>
        <v>0.19282868525896413</v>
      </c>
      <c r="T385" s="22">
        <f t="shared" si="339"/>
        <v>0</v>
      </c>
      <c r="U385" s="22">
        <f t="shared" si="339"/>
        <v>0</v>
      </c>
      <c r="V385" s="22">
        <f t="shared" si="339"/>
        <v>5.179282868525896E-2</v>
      </c>
      <c r="W385" s="22">
        <f t="shared" si="339"/>
        <v>0</v>
      </c>
      <c r="X385" s="22">
        <f t="shared" si="339"/>
        <v>0.32191235059760953</v>
      </c>
      <c r="Y385" s="385">
        <f t="shared" si="339"/>
        <v>0</v>
      </c>
    </row>
    <row r="386" spans="1:192" x14ac:dyDescent="0.35">
      <c r="A386" s="116" t="s">
        <v>22</v>
      </c>
      <c r="B386" s="22">
        <f>B366/$Z$366</f>
        <v>0.45326462539776297</v>
      </c>
      <c r="C386" s="22">
        <f t="shared" ref="C386:Y386" si="340">C366/$Z$366</f>
        <v>8.0250812692400267E-2</v>
      </c>
      <c r="D386" s="22">
        <f t="shared" si="340"/>
        <v>9.8553076459824661E-3</v>
      </c>
      <c r="E386" s="22">
        <f t="shared" si="340"/>
        <v>5.5773523061405867E-3</v>
      </c>
      <c r="F386" s="22">
        <f t="shared" si="340"/>
        <v>7.7186071613624032E-3</v>
      </c>
      <c r="G386" s="22">
        <f t="shared" si="340"/>
        <v>1.4047430616791408E-2</v>
      </c>
      <c r="H386" s="22">
        <f t="shared" si="340"/>
        <v>2.1957671679627352E-2</v>
      </c>
      <c r="I386" s="22">
        <f t="shared" si="340"/>
        <v>9.198777606930492E-3</v>
      </c>
      <c r="J386" s="22">
        <f t="shared" si="340"/>
        <v>8.7664627359645697E-3</v>
      </c>
      <c r="K386" s="22">
        <f t="shared" si="340"/>
        <v>8.4529118368442263E-3</v>
      </c>
      <c r="L386" s="22">
        <f t="shared" si="340"/>
        <v>1.2783767942906412E-2</v>
      </c>
      <c r="M386" s="22">
        <f t="shared" si="340"/>
        <v>2.1524305800061042E-2</v>
      </c>
      <c r="N386" s="22">
        <f t="shared" si="340"/>
        <v>7.899380640631783E-3</v>
      </c>
      <c r="O386" s="22">
        <f t="shared" si="340"/>
        <v>1.0105447692878473E-2</v>
      </c>
      <c r="P386" s="22">
        <f t="shared" si="340"/>
        <v>1.5007001468959686E-2</v>
      </c>
      <c r="Q386" s="22">
        <f t="shared" si="340"/>
        <v>2.1802823079167925E-2</v>
      </c>
      <c r="R386" s="22">
        <f t="shared" si="340"/>
        <v>6.0393406532578957E-2</v>
      </c>
      <c r="S386" s="22">
        <f t="shared" si="340"/>
        <v>5.2232675086646925E-2</v>
      </c>
      <c r="T386" s="22">
        <f t="shared" si="340"/>
        <v>5.7364049410016292E-2</v>
      </c>
      <c r="U386" s="22">
        <f t="shared" si="340"/>
        <v>2.9983874024707782E-2</v>
      </c>
      <c r="V386" s="22">
        <f t="shared" si="340"/>
        <v>3.8028293852195277E-2</v>
      </c>
      <c r="W386" s="22">
        <f t="shared" si="340"/>
        <v>3.542039117839433E-2</v>
      </c>
      <c r="X386" s="22">
        <f t="shared" si="340"/>
        <v>1.7605795401557107E-2</v>
      </c>
      <c r="Y386" s="383">
        <f t="shared" si="340"/>
        <v>7.5882820949123807E-4</v>
      </c>
    </row>
    <row r="387" spans="1:192" x14ac:dyDescent="0.35">
      <c r="A387" s="116" t="s">
        <v>23</v>
      </c>
      <c r="B387" s="22">
        <f>B368/$Z$368</f>
        <v>0.55723070819281884</v>
      </c>
      <c r="C387" s="22">
        <f t="shared" ref="C387:Y387" si="341">C368/$Z$368</f>
        <v>2.8102889638299277E-2</v>
      </c>
      <c r="D387" s="22">
        <f t="shared" si="341"/>
        <v>0</v>
      </c>
      <c r="E387" s="22">
        <f t="shared" si="341"/>
        <v>0</v>
      </c>
      <c r="F387" s="22">
        <f t="shared" si="341"/>
        <v>3.6368445414269655E-3</v>
      </c>
      <c r="G387" s="22">
        <f t="shared" si="341"/>
        <v>0</v>
      </c>
      <c r="H387" s="22">
        <f t="shared" si="341"/>
        <v>0</v>
      </c>
      <c r="I387" s="22">
        <f t="shared" si="341"/>
        <v>0.10480724723930436</v>
      </c>
      <c r="J387" s="22">
        <f t="shared" si="341"/>
        <v>0</v>
      </c>
      <c r="K387" s="22">
        <f t="shared" si="341"/>
        <v>9.257422469086821E-4</v>
      </c>
      <c r="L387" s="22">
        <f t="shared" si="341"/>
        <v>6.0040997156648804E-2</v>
      </c>
      <c r="M387" s="22">
        <f t="shared" si="341"/>
        <v>0</v>
      </c>
      <c r="N387" s="22">
        <f t="shared" si="341"/>
        <v>3.5839449844607546E-2</v>
      </c>
      <c r="O387" s="22">
        <f t="shared" si="341"/>
        <v>0</v>
      </c>
      <c r="P387" s="22">
        <f t="shared" si="341"/>
        <v>0</v>
      </c>
      <c r="Q387" s="22">
        <f t="shared" si="341"/>
        <v>0</v>
      </c>
      <c r="R387" s="22">
        <f t="shared" si="341"/>
        <v>4.4964623421278847E-3</v>
      </c>
      <c r="S387" s="22">
        <f t="shared" si="341"/>
        <v>4.2518018911591605E-2</v>
      </c>
      <c r="T387" s="22">
        <f t="shared" si="341"/>
        <v>2.201944058718508E-2</v>
      </c>
      <c r="U387" s="22">
        <f t="shared" si="341"/>
        <v>7.6704357601005094E-2</v>
      </c>
      <c r="V387" s="22">
        <f t="shared" si="341"/>
        <v>4.6948356807511729E-3</v>
      </c>
      <c r="W387" s="22">
        <f t="shared" si="341"/>
        <v>1.3291013687760365E-2</v>
      </c>
      <c r="X387" s="22">
        <f t="shared" si="341"/>
        <v>4.5691992329564231E-2</v>
      </c>
      <c r="Y387" s="385">
        <f t="shared" si="341"/>
        <v>0</v>
      </c>
    </row>
    <row r="388" spans="1:192" x14ac:dyDescent="0.35">
      <c r="A388" s="116" t="s">
        <v>25</v>
      </c>
      <c r="B388" s="22">
        <f>B370/$Z$370</f>
        <v>0.39310405150413247</v>
      </c>
      <c r="C388" s="22">
        <f t="shared" ref="C388:Y388" si="342">C370/$Z$370</f>
        <v>5.6990113371412333E-2</v>
      </c>
      <c r="D388" s="22">
        <f t="shared" si="342"/>
        <v>7.6888103700720606E-3</v>
      </c>
      <c r="E388" s="22">
        <f t="shared" si="342"/>
        <v>6.5847078428817821E-3</v>
      </c>
      <c r="F388" s="22">
        <f t="shared" si="342"/>
        <v>7.4271349732994525E-3</v>
      </c>
      <c r="G388" s="22">
        <f t="shared" si="342"/>
        <v>1.3837179955591717E-2</v>
      </c>
      <c r="H388" s="22">
        <f t="shared" si="342"/>
        <v>1.6712147041163763E-2</v>
      </c>
      <c r="I388" s="22">
        <f t="shared" si="342"/>
        <v>1.1458047657358299E-2</v>
      </c>
      <c r="J388" s="22">
        <f t="shared" si="342"/>
        <v>1.5917007351875963E-2</v>
      </c>
      <c r="K388" s="22">
        <f t="shared" si="342"/>
        <v>1.0053000201358856E-2</v>
      </c>
      <c r="L388" s="22">
        <f t="shared" si="342"/>
        <v>1.3351732005033061E-2</v>
      </c>
      <c r="M388" s="22">
        <f t="shared" si="342"/>
        <v>1.6995325012322982E-2</v>
      </c>
      <c r="N388" s="22">
        <f t="shared" si="342"/>
        <v>7.0041902686272884E-3</v>
      </c>
      <c r="O388" s="22">
        <f t="shared" si="342"/>
        <v>9.484275331353766E-3</v>
      </c>
      <c r="P388" s="22">
        <f t="shared" si="342"/>
        <v>1.5961288077095841E-2</v>
      </c>
      <c r="Q388" s="22">
        <f t="shared" si="342"/>
        <v>2.7007597879991952E-2</v>
      </c>
      <c r="R388" s="22">
        <f t="shared" si="342"/>
        <v>6.3947107311513082E-2</v>
      </c>
      <c r="S388" s="22">
        <f t="shared" si="342"/>
        <v>7.5297824322145032E-2</v>
      </c>
      <c r="T388" s="22">
        <f t="shared" si="342"/>
        <v>7.2152161692070393E-2</v>
      </c>
      <c r="U388" s="22">
        <f t="shared" si="342"/>
        <v>4.4346326294277295E-2</v>
      </c>
      <c r="V388" s="22">
        <f t="shared" si="342"/>
        <v>4.1745243694324523E-2</v>
      </c>
      <c r="W388" s="22">
        <f t="shared" si="342"/>
        <v>3.9188532932194903E-2</v>
      </c>
      <c r="X388" s="22">
        <f t="shared" si="342"/>
        <v>3.3200157078128144E-2</v>
      </c>
      <c r="Y388" s="383">
        <f t="shared" si="342"/>
        <v>5.46037831775156E-4</v>
      </c>
    </row>
    <row r="390" spans="1:192" ht="18.5" x14ac:dyDescent="0.45">
      <c r="A390" s="108"/>
      <c r="D390" s="109"/>
      <c r="AA390" s="110"/>
    </row>
    <row r="391" spans="1:192" ht="15" x14ac:dyDescent="0.35">
      <c r="A391" s="284" t="s">
        <v>60</v>
      </c>
      <c r="B391" s="284"/>
    </row>
    <row r="392" spans="1:192" ht="15.5" x14ac:dyDescent="0.35">
      <c r="A392" s="288" t="s">
        <v>98</v>
      </c>
      <c r="AB392" s="111"/>
    </row>
    <row r="394" spans="1:192" ht="39" x14ac:dyDescent="0.35">
      <c r="A394" s="125" t="s">
        <v>88</v>
      </c>
      <c r="B394" s="198" t="s">
        <v>89</v>
      </c>
      <c r="C394" s="198">
        <v>2000</v>
      </c>
      <c r="D394" s="198">
        <v>2001</v>
      </c>
      <c r="E394" s="198">
        <v>2002</v>
      </c>
      <c r="F394" s="198">
        <v>2003</v>
      </c>
      <c r="G394" s="198">
        <v>2004</v>
      </c>
      <c r="H394" s="198">
        <v>2005</v>
      </c>
      <c r="I394" s="198">
        <v>2006</v>
      </c>
      <c r="J394" s="198">
        <v>2007</v>
      </c>
      <c r="K394" s="198">
        <v>2008</v>
      </c>
      <c r="L394" s="198">
        <v>2009</v>
      </c>
      <c r="M394" s="198">
        <v>2010</v>
      </c>
      <c r="N394" s="198">
        <v>2011</v>
      </c>
      <c r="O394" s="198">
        <v>2012</v>
      </c>
      <c r="P394" s="198">
        <v>2013</v>
      </c>
      <c r="Q394" s="198">
        <v>2014</v>
      </c>
      <c r="R394" s="198">
        <v>2015</v>
      </c>
      <c r="S394" s="198">
        <v>2016</v>
      </c>
      <c r="T394" s="198">
        <v>2017</v>
      </c>
      <c r="U394" s="198">
        <v>2018</v>
      </c>
      <c r="V394" s="198">
        <v>2019</v>
      </c>
      <c r="W394" s="198">
        <v>2020</v>
      </c>
      <c r="X394" s="198">
        <v>2021</v>
      </c>
      <c r="Y394" s="198" t="s">
        <v>90</v>
      </c>
      <c r="Z394" s="198" t="s">
        <v>91</v>
      </c>
      <c r="AA394" s="199" t="s">
        <v>92</v>
      </c>
      <c r="AC394" s="127" t="s">
        <v>110</v>
      </c>
      <c r="AD394" s="127" t="s">
        <v>108</v>
      </c>
      <c r="AE394" s="127" t="s">
        <v>94</v>
      </c>
      <c r="AF394" s="127" t="s">
        <v>96</v>
      </c>
      <c r="AG394" s="127" t="s">
        <v>97</v>
      </c>
    </row>
    <row r="395" spans="1:192" x14ac:dyDescent="0.35">
      <c r="A395" s="118" t="s">
        <v>5</v>
      </c>
      <c r="B395" s="119">
        <f t="shared" ref="B395:Y395" si="343">SUM(B396:B403)</f>
        <v>432.26</v>
      </c>
      <c r="C395" s="119">
        <f t="shared" si="343"/>
        <v>71.52000000000001</v>
      </c>
      <c r="D395" s="119">
        <f t="shared" si="343"/>
        <v>19.009999999999998</v>
      </c>
      <c r="E395" s="119">
        <f t="shared" si="343"/>
        <v>18.700000000000003</v>
      </c>
      <c r="F395" s="119">
        <f t="shared" si="343"/>
        <v>28.54</v>
      </c>
      <c r="G395" s="119">
        <f t="shared" si="343"/>
        <v>57.14</v>
      </c>
      <c r="H395" s="119">
        <f t="shared" si="343"/>
        <v>58.070000000000007</v>
      </c>
      <c r="I395" s="119">
        <f t="shared" si="343"/>
        <v>95.580000000000013</v>
      </c>
      <c r="J395" s="119">
        <f t="shared" si="343"/>
        <v>46.21</v>
      </c>
      <c r="K395" s="119">
        <f t="shared" si="343"/>
        <v>42.09</v>
      </c>
      <c r="L395" s="119">
        <f t="shared" si="343"/>
        <v>56.999999999999993</v>
      </c>
      <c r="M395" s="119">
        <f t="shared" si="343"/>
        <v>36.660000000000004</v>
      </c>
      <c r="N395" s="119">
        <f t="shared" si="343"/>
        <v>128.57</v>
      </c>
      <c r="O395" s="119">
        <f t="shared" si="343"/>
        <v>56.779999999999994</v>
      </c>
      <c r="P395" s="119">
        <f t="shared" si="343"/>
        <v>119.34999999999998</v>
      </c>
      <c r="Q395" s="119">
        <f t="shared" si="343"/>
        <v>162.23999999999998</v>
      </c>
      <c r="R395" s="119">
        <f t="shared" si="343"/>
        <v>442.30999999999995</v>
      </c>
      <c r="S395" s="119">
        <f t="shared" si="343"/>
        <v>446.91</v>
      </c>
      <c r="T395" s="119">
        <f t="shared" si="343"/>
        <v>308.82999999999993</v>
      </c>
      <c r="U395" s="119">
        <f t="shared" si="343"/>
        <v>179.33000000000004</v>
      </c>
      <c r="V395" s="119">
        <f t="shared" si="343"/>
        <v>140.01999999999998</v>
      </c>
      <c r="W395" s="119">
        <f t="shared" si="343"/>
        <v>223.91</v>
      </c>
      <c r="X395" s="119">
        <f t="shared" si="343"/>
        <v>188.79</v>
      </c>
      <c r="Y395" s="119">
        <f t="shared" si="343"/>
        <v>1.3199999999999998</v>
      </c>
      <c r="Z395" s="119">
        <f t="shared" ref="Z395:Z420" si="344">SUM(B395:Y395)</f>
        <v>3361.14</v>
      </c>
      <c r="AA395" s="143">
        <f>Z395/Z445</f>
        <v>0.23671700361575268</v>
      </c>
      <c r="AB395" s="136"/>
      <c r="AC395" s="119">
        <v>2807.1</v>
      </c>
      <c r="AD395" s="119">
        <v>552.71999999999991</v>
      </c>
      <c r="AE395" s="119">
        <v>1.3199999999999998</v>
      </c>
      <c r="AF395" s="119">
        <v>3361.14</v>
      </c>
      <c r="AG395" s="196">
        <f t="shared" ref="AG395:AG444" si="345">AD395/AF395</f>
        <v>0.16444420642996124</v>
      </c>
      <c r="AH395" s="136"/>
      <c r="AI395" s="136"/>
      <c r="AJ395" s="136"/>
      <c r="AK395" s="136"/>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c r="EE395" s="136"/>
      <c r="EF395" s="136"/>
      <c r="EG395" s="136"/>
      <c r="EH395" s="136"/>
      <c r="EI395" s="136"/>
      <c r="EJ395" s="136"/>
      <c r="EK395" s="136"/>
      <c r="EL395" s="136"/>
      <c r="EM395" s="136"/>
      <c r="EN395" s="136"/>
      <c r="EO395" s="136"/>
      <c r="EP395" s="136"/>
      <c r="EQ395" s="136"/>
      <c r="ER395" s="136"/>
      <c r="ES395" s="136"/>
      <c r="ET395" s="136"/>
      <c r="EU395" s="136"/>
      <c r="EV395" s="136"/>
      <c r="EW395" s="136"/>
      <c r="EX395" s="136"/>
      <c r="EY395" s="136"/>
      <c r="EZ395" s="136"/>
      <c r="FA395" s="136"/>
      <c r="FB395" s="136"/>
      <c r="FC395" s="136"/>
      <c r="FD395" s="136"/>
      <c r="FE395" s="136"/>
      <c r="FF395" s="136"/>
      <c r="FG395" s="136"/>
      <c r="FH395" s="136"/>
      <c r="FI395" s="136"/>
      <c r="FJ395" s="136"/>
      <c r="FK395" s="136"/>
      <c r="FL395" s="136"/>
      <c r="FM395" s="136"/>
      <c r="FN395" s="136"/>
      <c r="FO395" s="136"/>
      <c r="FP395" s="136"/>
      <c r="FQ395" s="136"/>
      <c r="FR395" s="136"/>
      <c r="FS395" s="136"/>
      <c r="FT395" s="136"/>
      <c r="FU395" s="136"/>
      <c r="FV395" s="136"/>
      <c r="FW395" s="136"/>
      <c r="FX395" s="136"/>
      <c r="FY395" s="136"/>
      <c r="FZ395" s="136"/>
      <c r="GA395" s="136"/>
      <c r="GB395" s="136"/>
      <c r="GC395" s="136"/>
      <c r="GD395" s="136"/>
      <c r="GE395" s="136"/>
      <c r="GF395" s="136"/>
      <c r="GG395" s="136"/>
      <c r="GH395" s="136"/>
      <c r="GI395" s="136"/>
      <c r="GJ395" s="136"/>
    </row>
    <row r="396" spans="1:192" s="128" customFormat="1" ht="15.5" x14ac:dyDescent="0.35">
      <c r="A396" s="6" t="s">
        <v>6</v>
      </c>
      <c r="B396" s="12">
        <v>57.66</v>
      </c>
      <c r="C396" s="12">
        <v>16.869999999999997</v>
      </c>
      <c r="D396" s="12">
        <v>1.58</v>
      </c>
      <c r="E396" s="12"/>
      <c r="F396" s="12"/>
      <c r="G396" s="12">
        <v>10.870000000000001</v>
      </c>
      <c r="H396" s="12"/>
      <c r="I396" s="12"/>
      <c r="J396" s="12"/>
      <c r="K396" s="12"/>
      <c r="L396" s="12">
        <v>7.2399999999999993</v>
      </c>
      <c r="M396" s="12">
        <v>4.78</v>
      </c>
      <c r="N396" s="12">
        <v>10.11</v>
      </c>
      <c r="O396" s="12">
        <v>8.43</v>
      </c>
      <c r="P396" s="12">
        <v>6.57</v>
      </c>
      <c r="Q396" s="12">
        <v>0.56999999999999995</v>
      </c>
      <c r="R396" s="12">
        <v>15.98</v>
      </c>
      <c r="S396" s="12">
        <v>22.229999999999997</v>
      </c>
      <c r="T396" s="12">
        <v>16.920000000000002</v>
      </c>
      <c r="U396" s="12">
        <v>23.58</v>
      </c>
      <c r="V396" s="12">
        <v>0.53</v>
      </c>
      <c r="W396" s="12">
        <v>0.67</v>
      </c>
      <c r="X396" s="12">
        <v>4.3899999999999997</v>
      </c>
      <c r="Y396" s="12">
        <v>0.54</v>
      </c>
      <c r="Z396" s="12">
        <f t="shared" si="344"/>
        <v>209.5199999999999</v>
      </c>
      <c r="AA396" s="22">
        <f>Z396/$Z$445</f>
        <v>1.4755989514739784E-2</v>
      </c>
      <c r="AB396" s="112"/>
      <c r="AC396" s="175">
        <v>203.38999999999993</v>
      </c>
      <c r="AD396" s="175">
        <v>5.59</v>
      </c>
      <c r="AE396" s="12">
        <v>0.54</v>
      </c>
      <c r="AF396" s="12">
        <v>209.51999999999992</v>
      </c>
      <c r="AG396" s="22">
        <f t="shared" si="345"/>
        <v>2.6680030546009936E-2</v>
      </c>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c r="EE396" s="136"/>
      <c r="EF396" s="136"/>
      <c r="EG396" s="136"/>
      <c r="EH396" s="136"/>
      <c r="EI396" s="136"/>
      <c r="EJ396" s="136"/>
      <c r="EK396" s="136"/>
      <c r="EL396" s="136"/>
      <c r="EM396" s="136"/>
      <c r="EN396" s="136"/>
      <c r="EO396" s="136"/>
      <c r="EP396" s="136"/>
      <c r="EQ396" s="136"/>
      <c r="ER396" s="136"/>
      <c r="ES396" s="136"/>
      <c r="ET396" s="136"/>
      <c r="EU396" s="136"/>
      <c r="EV396" s="136"/>
      <c r="EW396" s="136"/>
      <c r="EX396" s="136"/>
      <c r="EY396" s="136"/>
      <c r="EZ396" s="136"/>
      <c r="FA396" s="136"/>
      <c r="FB396" s="136"/>
      <c r="FC396" s="136"/>
      <c r="FD396" s="136"/>
      <c r="FE396" s="136"/>
      <c r="FF396" s="136"/>
      <c r="FG396" s="136"/>
      <c r="FH396" s="136"/>
      <c r="FI396" s="136"/>
      <c r="FJ396" s="136"/>
      <c r="FK396" s="136"/>
      <c r="FL396" s="136"/>
      <c r="FM396" s="136"/>
      <c r="FN396" s="136"/>
      <c r="FO396" s="136"/>
      <c r="FP396" s="136"/>
      <c r="FQ396" s="136"/>
      <c r="FR396" s="136"/>
      <c r="FS396" s="136"/>
      <c r="FT396" s="136"/>
      <c r="FU396" s="136"/>
      <c r="FV396" s="136"/>
      <c r="FW396" s="136"/>
      <c r="FX396" s="136"/>
      <c r="FY396" s="136"/>
      <c r="FZ396" s="136"/>
      <c r="GA396" s="136"/>
      <c r="GB396" s="136"/>
      <c r="GC396" s="136"/>
      <c r="GD396" s="136"/>
    </row>
    <row r="397" spans="1:192" x14ac:dyDescent="0.35">
      <c r="A397" s="6" t="s">
        <v>7</v>
      </c>
      <c r="B397" s="54">
        <v>0.22</v>
      </c>
      <c r="C397" s="12"/>
      <c r="D397" s="12"/>
      <c r="E397" s="12"/>
      <c r="F397" s="12"/>
      <c r="G397" s="12"/>
      <c r="H397" s="12"/>
      <c r="I397" s="12"/>
      <c r="J397" s="12"/>
      <c r="K397" s="12"/>
      <c r="L397" s="12"/>
      <c r="M397" s="12"/>
      <c r="N397" s="12"/>
      <c r="O397" s="12"/>
      <c r="P397" s="12"/>
      <c r="Q397" s="12"/>
      <c r="R397" s="12"/>
      <c r="S397" s="12">
        <v>6.14</v>
      </c>
      <c r="T397" s="12"/>
      <c r="U397" s="54">
        <v>0.42</v>
      </c>
      <c r="V397" s="12"/>
      <c r="W397" s="12"/>
      <c r="X397" s="12"/>
      <c r="Y397" s="12"/>
      <c r="Z397" s="12">
        <f t="shared" si="344"/>
        <v>6.7799999999999994</v>
      </c>
      <c r="AA397" s="22">
        <f t="shared" ref="AA397:AA444" si="346">Z397/$Z$445</f>
        <v>4.7749908796265646E-4</v>
      </c>
      <c r="AB397" s="113"/>
      <c r="AC397" s="175">
        <v>6.7799999999999994</v>
      </c>
      <c r="AD397" s="175">
        <v>0</v>
      </c>
      <c r="AE397" s="12">
        <v>0</v>
      </c>
      <c r="AF397" s="12">
        <v>6.7799999999999994</v>
      </c>
      <c r="AG397" s="22">
        <f t="shared" si="345"/>
        <v>0</v>
      </c>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c r="EE397" s="136"/>
      <c r="EF397" s="136"/>
      <c r="EG397" s="136"/>
      <c r="EH397" s="136"/>
      <c r="EI397" s="136"/>
      <c r="EJ397" s="136"/>
      <c r="EK397" s="136"/>
      <c r="EL397" s="136"/>
      <c r="EM397" s="136"/>
      <c r="EN397" s="136"/>
      <c r="EO397" s="136"/>
      <c r="EP397" s="136"/>
      <c r="EQ397" s="136"/>
      <c r="ER397" s="136"/>
      <c r="ES397" s="136"/>
      <c r="ET397" s="136"/>
      <c r="EU397" s="136"/>
      <c r="EV397" s="136"/>
      <c r="EW397" s="136"/>
      <c r="EX397" s="136"/>
      <c r="EY397" s="136"/>
      <c r="EZ397" s="136"/>
      <c r="FA397" s="136"/>
      <c r="FB397" s="136"/>
      <c r="FC397" s="136"/>
      <c r="FD397" s="136"/>
      <c r="FE397" s="136"/>
      <c r="FF397" s="136"/>
      <c r="FG397" s="136"/>
      <c r="FH397" s="136"/>
      <c r="FI397" s="136"/>
      <c r="FJ397" s="136"/>
      <c r="FK397" s="136"/>
      <c r="FL397" s="136"/>
      <c r="FM397" s="136"/>
      <c r="FN397" s="136"/>
      <c r="FO397" s="136"/>
      <c r="FP397" s="136"/>
      <c r="FQ397" s="136"/>
      <c r="FR397" s="136"/>
      <c r="FS397" s="136"/>
      <c r="FT397" s="136"/>
      <c r="FU397" s="136"/>
      <c r="FV397" s="136"/>
      <c r="FW397" s="136"/>
      <c r="FX397" s="136"/>
      <c r="FY397" s="136"/>
      <c r="FZ397" s="136"/>
      <c r="GA397" s="136"/>
      <c r="GB397" s="136"/>
      <c r="GC397" s="136"/>
      <c r="GD397" s="136"/>
      <c r="GE397" s="136"/>
      <c r="GF397" s="136"/>
      <c r="GG397" s="136"/>
      <c r="GH397" s="136"/>
      <c r="GI397" s="136"/>
      <c r="GJ397" s="136"/>
    </row>
    <row r="398" spans="1:192" x14ac:dyDescent="0.35">
      <c r="A398" s="6" t="s">
        <v>8</v>
      </c>
      <c r="B398" s="54">
        <v>0.23</v>
      </c>
      <c r="C398" s="54"/>
      <c r="D398" s="54"/>
      <c r="E398" s="54"/>
      <c r="F398" s="54"/>
      <c r="G398" s="54"/>
      <c r="H398" s="54"/>
      <c r="I398" s="54">
        <v>0.65</v>
      </c>
      <c r="J398" s="54"/>
      <c r="K398" s="54"/>
      <c r="L398" s="54"/>
      <c r="M398" s="54"/>
      <c r="N398" s="54"/>
      <c r="O398" s="54"/>
      <c r="P398" s="12">
        <v>4.72</v>
      </c>
      <c r="Q398" s="12">
        <v>3.41</v>
      </c>
      <c r="R398" s="12"/>
      <c r="S398" s="12">
        <v>36.419999999999995</v>
      </c>
      <c r="T398" s="12">
        <v>1.0900000000000001</v>
      </c>
      <c r="U398" s="12">
        <v>5.59</v>
      </c>
      <c r="V398" s="12">
        <v>45.78</v>
      </c>
      <c r="W398" s="12">
        <v>62.239999999999995</v>
      </c>
      <c r="X398" s="12">
        <v>126.60000000000002</v>
      </c>
      <c r="Y398" s="12"/>
      <c r="Z398" s="12">
        <f t="shared" si="344"/>
        <v>286.73</v>
      </c>
      <c r="AA398" s="22">
        <f t="shared" si="346"/>
        <v>2.0193704054798305E-2</v>
      </c>
      <c r="AB398" s="136"/>
      <c r="AC398" s="175">
        <v>52.11</v>
      </c>
      <c r="AD398" s="175">
        <v>234.62</v>
      </c>
      <c r="AE398" s="12">
        <v>0</v>
      </c>
      <c r="AF398" s="12">
        <v>286.73</v>
      </c>
      <c r="AG398" s="22">
        <f t="shared" si="345"/>
        <v>0.81826108185400892</v>
      </c>
      <c r="AH398" s="136"/>
      <c r="AI398" s="136"/>
      <c r="AJ398" s="136"/>
      <c r="AK398" s="136"/>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c r="EE398" s="136"/>
      <c r="EF398" s="136"/>
      <c r="EG398" s="136"/>
      <c r="EH398" s="136"/>
      <c r="EI398" s="136"/>
      <c r="EJ398" s="136"/>
      <c r="EK398" s="136"/>
      <c r="EL398" s="136"/>
      <c r="EM398" s="136"/>
      <c r="EN398" s="136"/>
      <c r="EO398" s="136"/>
      <c r="EP398" s="136"/>
      <c r="EQ398" s="136"/>
      <c r="ER398" s="136"/>
      <c r="ES398" s="136"/>
      <c r="ET398" s="136"/>
      <c r="EU398" s="136"/>
      <c r="EV398" s="136"/>
      <c r="EW398" s="136"/>
      <c r="EX398" s="136"/>
      <c r="EY398" s="136"/>
      <c r="EZ398" s="136"/>
      <c r="FA398" s="136"/>
      <c r="FB398" s="136"/>
      <c r="FC398" s="136"/>
      <c r="FD398" s="136"/>
      <c r="FE398" s="136"/>
      <c r="FF398" s="136"/>
      <c r="FG398" s="136"/>
      <c r="FH398" s="136"/>
      <c r="FI398" s="136"/>
      <c r="FJ398" s="136"/>
      <c r="FK398" s="136"/>
      <c r="FL398" s="136"/>
      <c r="FM398" s="136"/>
      <c r="FN398" s="136"/>
      <c r="FO398" s="136"/>
      <c r="FP398" s="136"/>
      <c r="FQ398" s="136"/>
      <c r="FR398" s="136"/>
      <c r="FS398" s="136"/>
      <c r="FT398" s="136"/>
      <c r="FU398" s="136"/>
      <c r="FV398" s="136"/>
      <c r="FW398" s="136"/>
      <c r="FX398" s="136"/>
      <c r="FY398" s="136"/>
      <c r="FZ398" s="136"/>
      <c r="GA398" s="136"/>
      <c r="GB398" s="136"/>
      <c r="GC398" s="136"/>
      <c r="GD398" s="136"/>
      <c r="GE398" s="136"/>
      <c r="GF398" s="136"/>
      <c r="GG398" s="136"/>
      <c r="GH398" s="136"/>
      <c r="GI398" s="136"/>
      <c r="GJ398" s="136"/>
    </row>
    <row r="399" spans="1:192" x14ac:dyDescent="0.35">
      <c r="A399" s="6" t="s">
        <v>26</v>
      </c>
      <c r="B399" s="12">
        <v>363.28999999999996</v>
      </c>
      <c r="C399" s="12">
        <v>54.650000000000006</v>
      </c>
      <c r="D399" s="12">
        <v>17.43</v>
      </c>
      <c r="E399" s="12">
        <v>18.700000000000003</v>
      </c>
      <c r="F399" s="12">
        <v>28.54</v>
      </c>
      <c r="G399" s="12">
        <v>46.269999999999996</v>
      </c>
      <c r="H399" s="12">
        <v>58.070000000000007</v>
      </c>
      <c r="I399" s="12">
        <v>94.93</v>
      </c>
      <c r="J399" s="12">
        <v>36.79</v>
      </c>
      <c r="K399" s="12">
        <v>20.87</v>
      </c>
      <c r="L399" s="12">
        <v>49.759999999999991</v>
      </c>
      <c r="M399" s="12">
        <v>31.700000000000003</v>
      </c>
      <c r="N399" s="12">
        <v>96.70999999999998</v>
      </c>
      <c r="O399" s="12">
        <v>48.349999999999994</v>
      </c>
      <c r="P399" s="12">
        <v>96.579999999999984</v>
      </c>
      <c r="Q399" s="12">
        <v>125.22999999999999</v>
      </c>
      <c r="R399" s="12">
        <v>189.56999999999996</v>
      </c>
      <c r="S399" s="12">
        <v>277.29000000000008</v>
      </c>
      <c r="T399" s="12">
        <v>233.25999999999993</v>
      </c>
      <c r="U399" s="12">
        <v>139.88000000000002</v>
      </c>
      <c r="V399" s="12">
        <v>69.659999999999982</v>
      </c>
      <c r="W399" s="12">
        <v>126.59</v>
      </c>
      <c r="X399" s="12">
        <v>41.73</v>
      </c>
      <c r="Y399" s="12">
        <v>0.77999999999999992</v>
      </c>
      <c r="Z399" s="12">
        <f t="shared" si="344"/>
        <v>2266.6300000000006</v>
      </c>
      <c r="AA399" s="22">
        <f t="shared" si="346"/>
        <v>0.1596332976030673</v>
      </c>
      <c r="AB399" s="136"/>
      <c r="AC399" s="175">
        <v>2027.8700000000001</v>
      </c>
      <c r="AD399" s="175">
        <v>237.98</v>
      </c>
      <c r="AE399" s="12">
        <v>0.77999999999999992</v>
      </c>
      <c r="AF399" s="12">
        <v>2266.63</v>
      </c>
      <c r="AG399" s="22">
        <f t="shared" si="345"/>
        <v>0.10499287488474077</v>
      </c>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c r="EE399" s="136"/>
      <c r="EF399" s="136"/>
      <c r="EG399" s="136"/>
      <c r="EH399" s="136"/>
      <c r="EI399" s="136"/>
      <c r="EJ399" s="136"/>
      <c r="EK399" s="136"/>
      <c r="EL399" s="136"/>
      <c r="EM399" s="136"/>
      <c r="EN399" s="136"/>
      <c r="EO399" s="136"/>
      <c r="EP399" s="136"/>
      <c r="EQ399" s="136"/>
      <c r="ER399" s="136"/>
      <c r="ES399" s="136"/>
      <c r="ET399" s="136"/>
      <c r="EU399" s="136"/>
      <c r="EV399" s="136"/>
      <c r="EW399" s="136"/>
      <c r="EX399" s="136"/>
      <c r="EY399" s="136"/>
      <c r="EZ399" s="136"/>
      <c r="FA399" s="136"/>
      <c r="FB399" s="136"/>
      <c r="FC399" s="136"/>
      <c r="FD399" s="136"/>
      <c r="FE399" s="136"/>
      <c r="FF399" s="136"/>
      <c r="FG399" s="136"/>
      <c r="FH399" s="136"/>
      <c r="FI399" s="136"/>
      <c r="FJ399" s="136"/>
      <c r="FK399" s="136"/>
      <c r="FL399" s="136"/>
      <c r="FM399" s="136"/>
      <c r="FN399" s="136"/>
      <c r="FO399" s="136"/>
      <c r="FP399" s="136"/>
      <c r="FQ399" s="136"/>
      <c r="FR399" s="136"/>
      <c r="FS399" s="136"/>
      <c r="FT399" s="136"/>
      <c r="FU399" s="136"/>
      <c r="FV399" s="136"/>
      <c r="FW399" s="136"/>
      <c r="FX399" s="136"/>
      <c r="FY399" s="136"/>
      <c r="FZ399" s="136"/>
      <c r="GA399" s="136"/>
      <c r="GB399" s="136"/>
      <c r="GC399" s="136"/>
      <c r="GD399" s="136"/>
      <c r="GE399" s="136"/>
      <c r="GF399" s="136"/>
      <c r="GG399" s="136"/>
      <c r="GH399" s="136"/>
      <c r="GI399" s="136"/>
      <c r="GJ399" s="136"/>
    </row>
    <row r="400" spans="1:192" x14ac:dyDescent="0.35">
      <c r="A400" s="6" t="s">
        <v>27</v>
      </c>
      <c r="B400" s="12"/>
      <c r="C400" s="12"/>
      <c r="D400" s="12"/>
      <c r="E400" s="12"/>
      <c r="F400" s="12"/>
      <c r="G400" s="12"/>
      <c r="H400" s="12"/>
      <c r="I400" s="12"/>
      <c r="J400" s="12"/>
      <c r="K400" s="12"/>
      <c r="L400" s="12"/>
      <c r="M400" s="12"/>
      <c r="N400" s="12"/>
      <c r="O400" s="12"/>
      <c r="P400" s="12"/>
      <c r="Q400" s="12"/>
      <c r="R400" s="12"/>
      <c r="S400" s="12"/>
      <c r="T400" s="12">
        <v>3.27</v>
      </c>
      <c r="U400" s="12"/>
      <c r="V400" s="12"/>
      <c r="W400" s="12"/>
      <c r="X400" s="12">
        <v>3.43</v>
      </c>
      <c r="Y400" s="12"/>
      <c r="Z400" s="12">
        <f t="shared" si="344"/>
        <v>6.7</v>
      </c>
      <c r="AA400" s="22">
        <f t="shared" si="346"/>
        <v>4.7186488043507354E-4</v>
      </c>
      <c r="AB400" s="136"/>
      <c r="AC400" s="175">
        <v>3.27</v>
      </c>
      <c r="AD400" s="175">
        <v>3.43</v>
      </c>
      <c r="AE400" s="12">
        <v>0</v>
      </c>
      <c r="AF400" s="12">
        <v>6.7</v>
      </c>
      <c r="AG400" s="22">
        <f t="shared" si="345"/>
        <v>0.5119402985074627</v>
      </c>
      <c r="AH400" s="136"/>
      <c r="AI400" s="136"/>
      <c r="AJ400" s="136"/>
      <c r="AK400" s="136"/>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c r="EE400" s="136"/>
      <c r="EF400" s="136"/>
      <c r="EG400" s="136"/>
      <c r="EH400" s="136"/>
      <c r="EI400" s="136"/>
      <c r="EJ400" s="136"/>
      <c r="EK400" s="136"/>
      <c r="EL400" s="136"/>
      <c r="EM400" s="136"/>
      <c r="EN400" s="136"/>
      <c r="EO400" s="136"/>
      <c r="EP400" s="136"/>
      <c r="EQ400" s="136"/>
      <c r="ER400" s="136"/>
      <c r="ES400" s="136"/>
      <c r="ET400" s="136"/>
      <c r="EU400" s="136"/>
      <c r="EV400" s="136"/>
      <c r="EW400" s="136"/>
      <c r="EX400" s="136"/>
      <c r="EY400" s="136"/>
      <c r="EZ400" s="136"/>
      <c r="FA400" s="136"/>
      <c r="FB400" s="136"/>
      <c r="FC400" s="136"/>
      <c r="FD400" s="136"/>
      <c r="FE400" s="136"/>
      <c r="FF400" s="136"/>
      <c r="FG400" s="136"/>
      <c r="FH400" s="136"/>
      <c r="FI400" s="136"/>
      <c r="FJ400" s="136"/>
      <c r="FK400" s="136"/>
      <c r="FL400" s="136"/>
      <c r="FM400" s="136"/>
      <c r="FN400" s="136"/>
      <c r="FO400" s="136"/>
      <c r="FP400" s="136"/>
      <c r="FQ400" s="136"/>
      <c r="FR400" s="136"/>
      <c r="FS400" s="136"/>
      <c r="FT400" s="136"/>
      <c r="FU400" s="136"/>
      <c r="FV400" s="136"/>
      <c r="FW400" s="136"/>
      <c r="FX400" s="136"/>
      <c r="FY400" s="136"/>
      <c r="FZ400" s="136"/>
      <c r="GA400" s="136"/>
      <c r="GB400" s="136"/>
      <c r="GC400" s="136"/>
      <c r="GD400" s="136"/>
      <c r="GE400" s="136"/>
      <c r="GF400" s="136"/>
      <c r="GG400" s="136"/>
      <c r="GH400" s="136"/>
      <c r="GI400" s="136"/>
      <c r="GJ400" s="136"/>
    </row>
    <row r="401" spans="1:194" x14ac:dyDescent="0.35">
      <c r="A401" s="6" t="s">
        <v>28</v>
      </c>
      <c r="B401" s="12"/>
      <c r="C401" s="12"/>
      <c r="D401" s="12"/>
      <c r="E401" s="12"/>
      <c r="F401" s="12"/>
      <c r="G401" s="12"/>
      <c r="H401" s="12"/>
      <c r="I401" s="12"/>
      <c r="J401" s="12"/>
      <c r="K401" s="12"/>
      <c r="L401" s="12"/>
      <c r="M401" s="54">
        <v>0.18</v>
      </c>
      <c r="N401" s="12"/>
      <c r="O401" s="12"/>
      <c r="P401" s="12"/>
      <c r="Q401" s="12"/>
      <c r="R401" s="12">
        <v>183.10999999999999</v>
      </c>
      <c r="S401" s="12">
        <v>15.64</v>
      </c>
      <c r="T401" s="12">
        <v>52.86</v>
      </c>
      <c r="U401" s="12">
        <v>9.8600000000000012</v>
      </c>
      <c r="V401" s="12">
        <v>5.53</v>
      </c>
      <c r="W401" s="12"/>
      <c r="X401" s="12">
        <v>3.2</v>
      </c>
      <c r="Y401" s="12"/>
      <c r="Z401" s="12">
        <f t="shared" si="344"/>
        <v>270.38</v>
      </c>
      <c r="AA401" s="22">
        <f t="shared" si="346"/>
        <v>1.9042212891348533E-2</v>
      </c>
      <c r="AB401" s="136"/>
      <c r="AC401" s="175">
        <v>261.65000000000003</v>
      </c>
      <c r="AD401" s="175">
        <v>8.73</v>
      </c>
      <c r="AE401" s="12">
        <v>0</v>
      </c>
      <c r="AF401" s="12">
        <v>270.38000000000005</v>
      </c>
      <c r="AG401" s="22">
        <f t="shared" si="345"/>
        <v>3.2287891116206814E-2</v>
      </c>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c r="EE401" s="136"/>
      <c r="EF401" s="136"/>
      <c r="EG401" s="136"/>
      <c r="EH401" s="136"/>
      <c r="EI401" s="136"/>
      <c r="EJ401" s="136"/>
      <c r="EK401" s="136"/>
      <c r="EL401" s="136"/>
      <c r="EM401" s="136"/>
      <c r="EN401" s="136"/>
      <c r="EO401" s="136"/>
      <c r="EP401" s="136"/>
      <c r="EQ401" s="136"/>
      <c r="ER401" s="136"/>
      <c r="ES401" s="136"/>
      <c r="ET401" s="136"/>
      <c r="EU401" s="136"/>
      <c r="EV401" s="136"/>
      <c r="EW401" s="136"/>
      <c r="EX401" s="136"/>
      <c r="EY401" s="136"/>
      <c r="EZ401" s="136"/>
      <c r="FA401" s="136"/>
      <c r="FB401" s="136"/>
      <c r="FC401" s="136"/>
      <c r="FD401" s="136"/>
      <c r="FE401" s="136"/>
      <c r="FF401" s="136"/>
      <c r="FG401" s="136"/>
      <c r="FH401" s="136"/>
      <c r="FI401" s="136"/>
      <c r="FJ401" s="136"/>
      <c r="FK401" s="136"/>
      <c r="FL401" s="136"/>
      <c r="FM401" s="136"/>
      <c r="FN401" s="136"/>
      <c r="FO401" s="136"/>
      <c r="FP401" s="136"/>
      <c r="FQ401" s="136"/>
      <c r="FR401" s="136"/>
      <c r="FS401" s="136"/>
      <c r="FT401" s="136"/>
      <c r="FU401" s="136"/>
      <c r="FV401" s="136"/>
      <c r="FW401" s="136"/>
      <c r="FX401" s="136"/>
      <c r="FY401" s="136"/>
      <c r="FZ401" s="136"/>
      <c r="GA401" s="136"/>
      <c r="GB401" s="136"/>
      <c r="GC401" s="136"/>
      <c r="GD401" s="136"/>
      <c r="GE401" s="136"/>
      <c r="GF401" s="136"/>
      <c r="GG401" s="136"/>
      <c r="GH401" s="136"/>
      <c r="GI401" s="136"/>
      <c r="GJ401" s="136"/>
    </row>
    <row r="402" spans="1:194" x14ac:dyDescent="0.35">
      <c r="A402" s="6" t="s">
        <v>29</v>
      </c>
      <c r="B402" s="12">
        <v>10.86</v>
      </c>
      <c r="C402" s="12"/>
      <c r="D402" s="12"/>
      <c r="E402" s="12"/>
      <c r="F402" s="12"/>
      <c r="G402" s="12"/>
      <c r="H402" s="12"/>
      <c r="I402" s="12"/>
      <c r="J402" s="12"/>
      <c r="K402" s="12"/>
      <c r="L402" s="12"/>
      <c r="M402" s="12"/>
      <c r="N402" s="12"/>
      <c r="O402" s="12"/>
      <c r="P402" s="12"/>
      <c r="Q402" s="12"/>
      <c r="R402" s="12"/>
      <c r="S402" s="12"/>
      <c r="T402" s="12"/>
      <c r="U402" s="12"/>
      <c r="V402" s="12"/>
      <c r="W402" s="12">
        <v>13.35</v>
      </c>
      <c r="X402" s="12"/>
      <c r="Y402" s="12"/>
      <c r="Z402" s="12">
        <f t="shared" si="344"/>
        <v>24.21</v>
      </c>
      <c r="AA402" s="22">
        <f t="shared" si="346"/>
        <v>1.7050520530347956E-3</v>
      </c>
      <c r="AC402" s="175">
        <v>10.86</v>
      </c>
      <c r="AD402" s="175">
        <v>13.35</v>
      </c>
      <c r="AE402" s="12">
        <v>0</v>
      </c>
      <c r="AF402" s="12">
        <v>24.21</v>
      </c>
      <c r="AG402" s="22">
        <f t="shared" si="345"/>
        <v>0.55142503097893425</v>
      </c>
      <c r="AH402" s="136"/>
      <c r="AI402" s="136"/>
      <c r="AJ402" s="136"/>
      <c r="AK402" s="136"/>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c r="EE402" s="136"/>
      <c r="EF402" s="136"/>
      <c r="EG402" s="136"/>
      <c r="EH402" s="136"/>
      <c r="EI402" s="136"/>
      <c r="EJ402" s="136"/>
      <c r="EK402" s="136"/>
      <c r="EL402" s="136"/>
      <c r="EM402" s="136"/>
      <c r="EN402" s="136"/>
      <c r="EO402" s="136"/>
      <c r="EP402" s="136"/>
      <c r="EQ402" s="136"/>
      <c r="ER402" s="136"/>
      <c r="ES402" s="136"/>
      <c r="ET402" s="136"/>
      <c r="EU402" s="136"/>
      <c r="EV402" s="136"/>
      <c r="EW402" s="136"/>
      <c r="EX402" s="136"/>
      <c r="EY402" s="136"/>
      <c r="EZ402" s="136"/>
      <c r="FA402" s="136"/>
      <c r="FB402" s="136"/>
      <c r="FC402" s="136"/>
      <c r="FD402" s="136"/>
      <c r="FE402" s="136"/>
      <c r="FF402" s="136"/>
      <c r="FG402" s="136"/>
      <c r="FH402" s="136"/>
      <c r="FI402" s="136"/>
      <c r="FJ402" s="136"/>
      <c r="FK402" s="136"/>
      <c r="FL402" s="136"/>
      <c r="FM402" s="136"/>
      <c r="FN402" s="136"/>
      <c r="FO402" s="136"/>
      <c r="FP402" s="136"/>
      <c r="FQ402" s="136"/>
      <c r="FR402" s="136"/>
      <c r="FS402" s="136"/>
      <c r="FT402" s="136"/>
      <c r="FU402" s="136"/>
      <c r="FV402" s="136"/>
      <c r="FW402" s="136"/>
      <c r="FX402" s="136"/>
      <c r="FY402" s="136"/>
      <c r="FZ402" s="136"/>
      <c r="GA402" s="136"/>
      <c r="GB402" s="136"/>
      <c r="GC402" s="136"/>
      <c r="GD402" s="136"/>
      <c r="GE402" s="136"/>
      <c r="GF402" s="136"/>
      <c r="GG402" s="136"/>
      <c r="GH402" s="136"/>
      <c r="GI402" s="136"/>
      <c r="GJ402" s="136"/>
    </row>
    <row r="403" spans="1:194" x14ac:dyDescent="0.35">
      <c r="A403" s="6" t="s">
        <v>30</v>
      </c>
      <c r="B403" s="12"/>
      <c r="C403" s="12"/>
      <c r="D403" s="12"/>
      <c r="E403" s="12"/>
      <c r="F403" s="12"/>
      <c r="G403" s="12"/>
      <c r="H403" s="12"/>
      <c r="I403" s="12"/>
      <c r="J403" s="12">
        <v>9.42</v>
      </c>
      <c r="K403" s="12">
        <v>21.22</v>
      </c>
      <c r="L403" s="12"/>
      <c r="M403" s="12"/>
      <c r="N403" s="12">
        <v>21.75</v>
      </c>
      <c r="O403" s="12"/>
      <c r="P403" s="12">
        <v>11.48</v>
      </c>
      <c r="Q403" s="12">
        <v>33.03</v>
      </c>
      <c r="R403" s="12">
        <v>53.65</v>
      </c>
      <c r="S403" s="12">
        <v>89.190000000000012</v>
      </c>
      <c r="T403" s="12">
        <v>1.43</v>
      </c>
      <c r="U403" s="12"/>
      <c r="V403" s="12">
        <v>18.52</v>
      </c>
      <c r="W403" s="12">
        <v>21.060000000000002</v>
      </c>
      <c r="X403" s="12">
        <v>9.4400000000000013</v>
      </c>
      <c r="Y403" s="12"/>
      <c r="Z403" s="12">
        <f t="shared" si="344"/>
        <v>290.19</v>
      </c>
      <c r="AA403" s="22">
        <f t="shared" si="346"/>
        <v>2.0437383530366265E-2</v>
      </c>
      <c r="AC403" s="175">
        <v>241.17000000000002</v>
      </c>
      <c r="AD403" s="175">
        <v>49.019999999999996</v>
      </c>
      <c r="AE403" s="12">
        <v>0</v>
      </c>
      <c r="AF403" s="12">
        <v>290.19</v>
      </c>
      <c r="AG403" s="22">
        <f t="shared" si="345"/>
        <v>0.16892380853923292</v>
      </c>
      <c r="AH403" s="136"/>
      <c r="AI403" s="136"/>
      <c r="AJ403" s="136"/>
      <c r="AK403" s="136"/>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c r="EE403" s="136"/>
      <c r="EF403" s="136"/>
      <c r="EG403" s="136"/>
      <c r="EH403" s="136"/>
      <c r="EI403" s="136"/>
      <c r="EJ403" s="136"/>
      <c r="EK403" s="136"/>
      <c r="EL403" s="136"/>
      <c r="EM403" s="136"/>
      <c r="EN403" s="136"/>
      <c r="EO403" s="136"/>
      <c r="EP403" s="136"/>
      <c r="EQ403" s="136"/>
      <c r="ER403" s="136"/>
      <c r="ES403" s="136"/>
      <c r="ET403" s="136"/>
      <c r="EU403" s="136"/>
      <c r="EV403" s="136"/>
      <c r="EW403" s="136"/>
      <c r="EX403" s="136"/>
      <c r="EY403" s="136"/>
      <c r="EZ403" s="136"/>
      <c r="FA403" s="136"/>
      <c r="FB403" s="136"/>
      <c r="FC403" s="136"/>
      <c r="FD403" s="136"/>
      <c r="FE403" s="136"/>
      <c r="FF403" s="136"/>
      <c r="FG403" s="136"/>
      <c r="FH403" s="136"/>
      <c r="FI403" s="136"/>
      <c r="FJ403" s="136"/>
      <c r="FK403" s="136"/>
      <c r="FL403" s="136"/>
      <c r="FM403" s="136"/>
      <c r="FN403" s="136"/>
      <c r="FO403" s="136"/>
      <c r="FP403" s="136"/>
      <c r="FQ403" s="136"/>
      <c r="FR403" s="136"/>
      <c r="FS403" s="136"/>
      <c r="FT403" s="136"/>
      <c r="FU403" s="136"/>
      <c r="FV403" s="136"/>
      <c r="FW403" s="136"/>
      <c r="FX403" s="136"/>
      <c r="FY403" s="136"/>
      <c r="FZ403" s="136"/>
      <c r="GA403" s="136"/>
      <c r="GB403" s="136"/>
      <c r="GC403" s="136"/>
      <c r="GD403" s="136"/>
      <c r="GE403" s="136"/>
      <c r="GF403" s="136"/>
      <c r="GG403" s="136"/>
      <c r="GH403" s="136"/>
      <c r="GI403" s="136"/>
      <c r="GJ403" s="136"/>
    </row>
    <row r="404" spans="1:194" x14ac:dyDescent="0.35">
      <c r="A404" s="118" t="s">
        <v>12</v>
      </c>
      <c r="B404" s="119">
        <f t="shared" ref="B404:Y404" si="347">SUM(B405:B407)</f>
        <v>70.97999999999999</v>
      </c>
      <c r="C404" s="119">
        <f t="shared" si="347"/>
        <v>27.08</v>
      </c>
      <c r="D404" s="119">
        <f t="shared" si="347"/>
        <v>1.3</v>
      </c>
      <c r="E404" s="119">
        <f t="shared" si="347"/>
        <v>0.65</v>
      </c>
      <c r="F404" s="119">
        <f t="shared" si="347"/>
        <v>1.32</v>
      </c>
      <c r="G404" s="119">
        <f t="shared" si="347"/>
        <v>2.7600000000000002</v>
      </c>
      <c r="H404" s="119">
        <f t="shared" si="347"/>
        <v>3.16</v>
      </c>
      <c r="I404" s="119">
        <f t="shared" si="347"/>
        <v>3</v>
      </c>
      <c r="J404" s="119">
        <f t="shared" si="347"/>
        <v>2.52</v>
      </c>
      <c r="K404" s="119">
        <f t="shared" si="347"/>
        <v>7.9</v>
      </c>
      <c r="L404" s="119">
        <f t="shared" si="347"/>
        <v>6.53</v>
      </c>
      <c r="M404" s="119">
        <f t="shared" si="347"/>
        <v>16.240000000000002</v>
      </c>
      <c r="N404" s="119">
        <f t="shared" si="347"/>
        <v>14.689999999999998</v>
      </c>
      <c r="O404" s="119">
        <f t="shared" si="347"/>
        <v>23.76</v>
      </c>
      <c r="P404" s="119">
        <f t="shared" si="347"/>
        <v>149.26</v>
      </c>
      <c r="Q404" s="119">
        <f t="shared" si="347"/>
        <v>24.619999999999997</v>
      </c>
      <c r="R404" s="119">
        <f t="shared" si="347"/>
        <v>54.989999999999995</v>
      </c>
      <c r="S404" s="119">
        <f t="shared" si="347"/>
        <v>25.709999999999997</v>
      </c>
      <c r="T404" s="119">
        <f t="shared" si="347"/>
        <v>27.830000000000002</v>
      </c>
      <c r="U404" s="119">
        <f t="shared" si="347"/>
        <v>71.95</v>
      </c>
      <c r="V404" s="119">
        <f t="shared" si="347"/>
        <v>95.71</v>
      </c>
      <c r="W404" s="119">
        <f t="shared" si="347"/>
        <v>158.59</v>
      </c>
      <c r="X404" s="119">
        <f t="shared" si="347"/>
        <v>57.529999999999994</v>
      </c>
      <c r="Y404" s="131">
        <f t="shared" si="347"/>
        <v>0.74</v>
      </c>
      <c r="Z404" s="119">
        <f t="shared" si="344"/>
        <v>848.82</v>
      </c>
      <c r="AA404" s="143">
        <f t="shared" si="346"/>
        <v>5.9780350419537186E-2</v>
      </c>
      <c r="AC404" s="119">
        <v>536.25</v>
      </c>
      <c r="AD404" s="119">
        <v>311.83</v>
      </c>
      <c r="AE404" s="119">
        <v>0.74</v>
      </c>
      <c r="AF404" s="119">
        <v>848.81999999999994</v>
      </c>
      <c r="AG404" s="143">
        <f t="shared" si="345"/>
        <v>0.36736881788836268</v>
      </c>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c r="EE404" s="136"/>
      <c r="EF404" s="136"/>
      <c r="EG404" s="136"/>
      <c r="EH404" s="136"/>
      <c r="EI404" s="136"/>
      <c r="EJ404" s="136"/>
      <c r="EK404" s="136"/>
      <c r="EL404" s="136"/>
      <c r="EM404" s="136"/>
      <c r="EN404" s="136"/>
      <c r="EO404" s="136"/>
      <c r="EP404" s="136"/>
      <c r="EQ404" s="136"/>
      <c r="ER404" s="136"/>
      <c r="ES404" s="136"/>
      <c r="ET404" s="136"/>
      <c r="EU404" s="136"/>
      <c r="EV404" s="136"/>
      <c r="EW404" s="136"/>
      <c r="EX404" s="136"/>
      <c r="EY404" s="136"/>
      <c r="EZ404" s="136"/>
      <c r="FA404" s="136"/>
      <c r="FB404" s="136"/>
      <c r="FC404" s="136"/>
      <c r="FD404" s="136"/>
      <c r="FE404" s="136"/>
      <c r="FF404" s="136"/>
      <c r="FG404" s="136"/>
      <c r="FH404" s="136"/>
      <c r="FI404" s="136"/>
      <c r="FJ404" s="136"/>
      <c r="FK404" s="136"/>
      <c r="FL404" s="136"/>
      <c r="FM404" s="136"/>
      <c r="FN404" s="136"/>
      <c r="FO404" s="136"/>
      <c r="FP404" s="136"/>
      <c r="FQ404" s="136"/>
      <c r="FR404" s="136"/>
      <c r="FS404" s="136"/>
      <c r="FT404" s="136"/>
      <c r="FU404" s="136"/>
      <c r="FV404" s="136"/>
      <c r="FW404" s="136"/>
      <c r="FX404" s="136"/>
      <c r="FY404" s="136"/>
      <c r="FZ404" s="136"/>
      <c r="GA404" s="136"/>
      <c r="GB404" s="136"/>
      <c r="GC404" s="136"/>
      <c r="GD404" s="136"/>
      <c r="GE404" s="136"/>
      <c r="GF404" s="136"/>
      <c r="GG404" s="136"/>
      <c r="GH404" s="136"/>
      <c r="GI404" s="136"/>
      <c r="GJ404" s="136"/>
    </row>
    <row r="405" spans="1:194" x14ac:dyDescent="0.35">
      <c r="A405" s="6" t="s">
        <v>31</v>
      </c>
      <c r="B405" s="12">
        <v>6.21</v>
      </c>
      <c r="C405" s="12"/>
      <c r="D405" s="12"/>
      <c r="E405" s="12"/>
      <c r="F405" s="54">
        <v>0.02</v>
      </c>
      <c r="G405" s="12"/>
      <c r="H405" s="12"/>
      <c r="I405" s="12"/>
      <c r="J405" s="12"/>
      <c r="K405" s="12">
        <v>2.7</v>
      </c>
      <c r="L405" s="12"/>
      <c r="M405" s="12"/>
      <c r="N405" s="12"/>
      <c r="O405" s="12">
        <v>6.91</v>
      </c>
      <c r="P405" s="12">
        <v>96.23</v>
      </c>
      <c r="Q405" s="12">
        <v>8.81</v>
      </c>
      <c r="R405" s="12">
        <v>25.82</v>
      </c>
      <c r="S405" s="12">
        <v>19.25</v>
      </c>
      <c r="T405" s="12">
        <v>1</v>
      </c>
      <c r="U405" s="12">
        <v>1.31</v>
      </c>
      <c r="V405" s="12">
        <v>46.98</v>
      </c>
      <c r="W405" s="12">
        <v>10.6</v>
      </c>
      <c r="X405" s="12"/>
      <c r="Y405" s="54">
        <v>0.08</v>
      </c>
      <c r="Z405" s="12">
        <f t="shared" si="344"/>
        <v>225.92000000000002</v>
      </c>
      <c r="AA405" s="22">
        <f t="shared" si="346"/>
        <v>1.5911002057894301E-2</v>
      </c>
      <c r="AC405" s="175">
        <v>168.26000000000002</v>
      </c>
      <c r="AD405" s="175">
        <v>57.58</v>
      </c>
      <c r="AE405" s="12">
        <v>0.08</v>
      </c>
      <c r="AF405" s="12">
        <v>225.92000000000004</v>
      </c>
      <c r="AG405" s="22">
        <f t="shared" si="345"/>
        <v>0.25486898016997162</v>
      </c>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c r="EE405" s="136"/>
      <c r="EF405" s="136"/>
      <c r="EG405" s="136"/>
      <c r="EH405" s="136"/>
      <c r="EI405" s="136"/>
      <c r="EJ405" s="136"/>
      <c r="EK405" s="136"/>
      <c r="EL405" s="136"/>
      <c r="EM405" s="136"/>
      <c r="EN405" s="136"/>
      <c r="EO405" s="136"/>
      <c r="EP405" s="136"/>
      <c r="EQ405" s="136"/>
      <c r="ER405" s="136"/>
      <c r="ES405" s="136"/>
      <c r="ET405" s="136"/>
      <c r="EU405" s="136"/>
      <c r="EV405" s="136"/>
      <c r="EW405" s="136"/>
      <c r="EX405" s="136"/>
      <c r="EY405" s="136"/>
      <c r="EZ405" s="136"/>
      <c r="FA405" s="136"/>
      <c r="FB405" s="136"/>
      <c r="FC405" s="136"/>
      <c r="FD405" s="136"/>
      <c r="FE405" s="136"/>
      <c r="FF405" s="136"/>
      <c r="FG405" s="136"/>
      <c r="FH405" s="136"/>
      <c r="FI405" s="136"/>
      <c r="FJ405" s="136"/>
      <c r="FK405" s="136"/>
      <c r="FL405" s="136"/>
      <c r="FM405" s="136"/>
      <c r="FN405" s="136"/>
      <c r="FO405" s="136"/>
      <c r="FP405" s="136"/>
      <c r="FQ405" s="136"/>
      <c r="FR405" s="136"/>
      <c r="FS405" s="136"/>
      <c r="FT405" s="136"/>
      <c r="FU405" s="136"/>
      <c r="FV405" s="136"/>
      <c r="FW405" s="136"/>
      <c r="FX405" s="136"/>
      <c r="FY405" s="136"/>
      <c r="FZ405" s="136"/>
      <c r="GA405" s="136"/>
      <c r="GB405" s="136"/>
      <c r="GC405" s="136"/>
      <c r="GD405" s="136"/>
      <c r="GE405" s="136"/>
      <c r="GF405" s="136"/>
      <c r="GG405" s="136"/>
      <c r="GH405" s="136"/>
      <c r="GI405" s="136"/>
      <c r="GJ405" s="136"/>
    </row>
    <row r="406" spans="1:194" s="129" customFormat="1" x14ac:dyDescent="0.35">
      <c r="A406" s="6" t="s">
        <v>32</v>
      </c>
      <c r="B406" s="12">
        <v>23.259999999999998</v>
      </c>
      <c r="C406" s="12"/>
      <c r="D406" s="12">
        <v>1.3</v>
      </c>
      <c r="E406" s="12"/>
      <c r="F406" s="12"/>
      <c r="G406" s="12">
        <v>1.84</v>
      </c>
      <c r="H406" s="12"/>
      <c r="I406" s="12"/>
      <c r="J406" s="12">
        <v>1.1499999999999999</v>
      </c>
      <c r="K406" s="12">
        <v>1.1299999999999999</v>
      </c>
      <c r="L406" s="12"/>
      <c r="M406" s="12">
        <v>8.01</v>
      </c>
      <c r="N406" s="12">
        <v>12.989999999999998</v>
      </c>
      <c r="O406" s="12">
        <v>5.32</v>
      </c>
      <c r="P406" s="12">
        <v>5.16</v>
      </c>
      <c r="Q406" s="54">
        <v>0.2</v>
      </c>
      <c r="R406" s="12">
        <v>10.98</v>
      </c>
      <c r="S406" s="12">
        <v>1.08</v>
      </c>
      <c r="T406" s="12">
        <v>7.9200000000000008</v>
      </c>
      <c r="U406" s="12">
        <v>0.66</v>
      </c>
      <c r="V406" s="12">
        <v>14.59</v>
      </c>
      <c r="W406" s="12">
        <v>20.459999999999997</v>
      </c>
      <c r="X406" s="12">
        <v>1.96</v>
      </c>
      <c r="Y406" s="54">
        <v>0.09</v>
      </c>
      <c r="Z406" s="12">
        <f t="shared" si="344"/>
        <v>118.1</v>
      </c>
      <c r="AA406" s="22">
        <f t="shared" si="346"/>
        <v>8.3174988625943549E-3</v>
      </c>
      <c r="AB406" s="133"/>
      <c r="AC406" s="175">
        <v>81</v>
      </c>
      <c r="AD406" s="175">
        <v>37.01</v>
      </c>
      <c r="AE406" s="12">
        <v>0.09</v>
      </c>
      <c r="AF406" s="12">
        <v>118.1</v>
      </c>
      <c r="AG406" s="22">
        <f t="shared" si="345"/>
        <v>0.31337849280270957</v>
      </c>
      <c r="AH406" s="133"/>
      <c r="AI406" s="133"/>
      <c r="AJ406" s="133"/>
      <c r="AK406" s="133"/>
      <c r="AL406" s="133"/>
      <c r="AM406" s="133"/>
      <c r="AN406" s="133"/>
      <c r="AO406" s="133"/>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c r="CQ406" s="133"/>
      <c r="CR406" s="133"/>
      <c r="CS406" s="133"/>
      <c r="CT406" s="133"/>
      <c r="CU406" s="133"/>
      <c r="CV406" s="133"/>
      <c r="CW406" s="133"/>
      <c r="CX406" s="133"/>
      <c r="CY406" s="133"/>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3"/>
      <c r="EA406" s="133"/>
      <c r="EB406" s="133"/>
      <c r="EC406" s="133"/>
      <c r="ED406" s="133"/>
      <c r="EE406" s="133"/>
      <c r="EF406" s="133"/>
      <c r="EG406" s="133"/>
      <c r="EH406" s="133"/>
      <c r="EI406" s="133"/>
      <c r="EJ406" s="133"/>
      <c r="EK406" s="133"/>
      <c r="EL406" s="133"/>
      <c r="EM406" s="133"/>
      <c r="EN406" s="133"/>
      <c r="EO406" s="133"/>
      <c r="EP406" s="133"/>
      <c r="EQ406" s="133"/>
      <c r="ER406" s="133"/>
      <c r="ES406" s="133"/>
      <c r="ET406" s="133"/>
      <c r="EU406" s="133"/>
      <c r="EV406" s="133"/>
      <c r="EW406" s="133"/>
      <c r="EX406" s="133"/>
      <c r="EY406" s="133"/>
      <c r="EZ406" s="133"/>
      <c r="FA406" s="133"/>
      <c r="FB406" s="133"/>
      <c r="FC406" s="133"/>
      <c r="FD406" s="133"/>
      <c r="FE406" s="133"/>
      <c r="FF406" s="133"/>
      <c r="FG406" s="133"/>
      <c r="FH406" s="133"/>
      <c r="FI406" s="133"/>
      <c r="FJ406" s="133"/>
      <c r="FK406" s="133"/>
      <c r="FL406" s="133"/>
      <c r="FM406" s="133"/>
      <c r="FN406" s="133"/>
      <c r="FO406" s="133"/>
      <c r="FP406" s="133"/>
      <c r="FQ406" s="133"/>
      <c r="FR406" s="133"/>
      <c r="FS406" s="133"/>
      <c r="FT406" s="133"/>
      <c r="FU406" s="133"/>
      <c r="FV406" s="133"/>
      <c r="FW406" s="133"/>
      <c r="FX406" s="133"/>
      <c r="FY406" s="133"/>
      <c r="FZ406" s="133"/>
      <c r="GA406" s="133"/>
      <c r="GB406" s="133"/>
      <c r="GC406" s="133"/>
      <c r="GD406" s="133"/>
      <c r="GE406" s="133"/>
      <c r="GF406" s="133"/>
      <c r="GG406" s="133"/>
      <c r="GH406" s="133"/>
      <c r="GI406" s="133"/>
      <c r="GJ406" s="133"/>
      <c r="GK406" s="133"/>
      <c r="GL406" s="133"/>
    </row>
    <row r="407" spans="1:194" x14ac:dyDescent="0.35">
      <c r="A407" s="6" t="s">
        <v>33</v>
      </c>
      <c r="B407" s="12">
        <v>41.51</v>
      </c>
      <c r="C407" s="12">
        <v>27.08</v>
      </c>
      <c r="D407" s="12"/>
      <c r="E407" s="12">
        <v>0.65</v>
      </c>
      <c r="F407" s="12">
        <v>1.3</v>
      </c>
      <c r="G407" s="12">
        <v>0.92</v>
      </c>
      <c r="H407" s="12">
        <v>3.16</v>
      </c>
      <c r="I407" s="12">
        <v>3</v>
      </c>
      <c r="J407" s="12">
        <v>1.37</v>
      </c>
      <c r="K407" s="12">
        <v>4.07</v>
      </c>
      <c r="L407" s="12">
        <v>6.53</v>
      </c>
      <c r="M407" s="12">
        <v>8.23</v>
      </c>
      <c r="N407" s="12">
        <v>1.7</v>
      </c>
      <c r="O407" s="12">
        <v>11.530000000000001</v>
      </c>
      <c r="P407" s="12">
        <v>47.87</v>
      </c>
      <c r="Q407" s="12">
        <v>15.61</v>
      </c>
      <c r="R407" s="12">
        <v>18.189999999999998</v>
      </c>
      <c r="S407" s="12">
        <v>5.38</v>
      </c>
      <c r="T407" s="12">
        <v>18.91</v>
      </c>
      <c r="U407" s="12">
        <v>69.98</v>
      </c>
      <c r="V407" s="12">
        <v>34.14</v>
      </c>
      <c r="W407" s="12">
        <v>127.53</v>
      </c>
      <c r="X407" s="12">
        <v>55.569999999999993</v>
      </c>
      <c r="Y407" s="12">
        <v>0.56999999999999995</v>
      </c>
      <c r="Z407" s="12">
        <f t="shared" si="344"/>
        <v>504.79999999999995</v>
      </c>
      <c r="AA407" s="22">
        <f t="shared" si="346"/>
        <v>3.5551849499048521E-2</v>
      </c>
      <c r="AB407" s="136"/>
      <c r="AC407" s="175">
        <v>286.99</v>
      </c>
      <c r="AD407" s="175">
        <v>217.24</v>
      </c>
      <c r="AE407" s="12">
        <v>0.56999999999999995</v>
      </c>
      <c r="AF407" s="12">
        <v>504.8</v>
      </c>
      <c r="AG407" s="22">
        <f t="shared" si="345"/>
        <v>0.4303486529318542</v>
      </c>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c r="CA407" s="136"/>
      <c r="CB407" s="136"/>
      <c r="CC407" s="136"/>
      <c r="CD407" s="136"/>
      <c r="CE407" s="136"/>
      <c r="CF407" s="136"/>
      <c r="CG407" s="136"/>
      <c r="CH407" s="136"/>
      <c r="CI407" s="136"/>
      <c r="CJ407" s="136"/>
      <c r="CK407" s="136"/>
      <c r="CL407" s="136"/>
      <c r="CM407" s="136"/>
      <c r="CN407" s="136"/>
      <c r="CO407" s="136"/>
      <c r="CP407" s="136"/>
      <c r="CQ407" s="136"/>
      <c r="CR407" s="136"/>
      <c r="CS407" s="136"/>
      <c r="CT407" s="136"/>
      <c r="CU407" s="136"/>
      <c r="CV407" s="136"/>
      <c r="CW407" s="136"/>
      <c r="CX407" s="136"/>
      <c r="CY407" s="136"/>
      <c r="CZ407" s="136"/>
      <c r="DA407" s="136"/>
      <c r="DB407" s="136"/>
      <c r="DC407" s="136"/>
      <c r="DD407" s="136"/>
      <c r="DE407" s="136"/>
      <c r="DF407" s="136"/>
      <c r="DG407" s="136"/>
      <c r="DH407" s="136"/>
      <c r="DI407" s="136"/>
      <c r="DJ407" s="136"/>
      <c r="DK407" s="136"/>
      <c r="DL407" s="136"/>
      <c r="DM407" s="136"/>
      <c r="DN407" s="136"/>
      <c r="DO407" s="136"/>
      <c r="DP407" s="136"/>
      <c r="DQ407" s="136"/>
      <c r="DR407" s="136"/>
      <c r="DS407" s="136"/>
      <c r="DT407" s="136"/>
      <c r="DU407" s="136"/>
      <c r="DV407" s="136"/>
      <c r="DW407" s="136"/>
      <c r="DX407" s="136"/>
      <c r="DY407" s="136"/>
      <c r="DZ407" s="136"/>
      <c r="EA407" s="136"/>
      <c r="EB407" s="136"/>
      <c r="EC407" s="136"/>
      <c r="ED407" s="136"/>
      <c r="EE407" s="136"/>
      <c r="EF407" s="136"/>
      <c r="EG407" s="136"/>
      <c r="EH407" s="136"/>
      <c r="EI407" s="136"/>
      <c r="EJ407" s="136"/>
      <c r="EK407" s="136"/>
      <c r="EL407" s="136"/>
      <c r="EM407" s="136"/>
      <c r="EN407" s="136"/>
      <c r="EO407" s="136"/>
      <c r="EP407" s="136"/>
      <c r="EQ407" s="136"/>
      <c r="ER407" s="136"/>
      <c r="ES407" s="136"/>
      <c r="ET407" s="136"/>
      <c r="EU407" s="136"/>
      <c r="EV407" s="136"/>
      <c r="EW407" s="136"/>
      <c r="EX407" s="136"/>
      <c r="EY407" s="136"/>
      <c r="EZ407" s="136"/>
      <c r="FA407" s="136"/>
      <c r="FB407" s="136"/>
      <c r="FC407" s="136"/>
      <c r="FD407" s="136"/>
      <c r="FE407" s="136"/>
      <c r="FF407" s="136"/>
      <c r="FG407" s="136"/>
      <c r="FH407" s="136"/>
      <c r="FI407" s="136"/>
      <c r="FJ407" s="136"/>
      <c r="FK407" s="136"/>
      <c r="FL407" s="136"/>
      <c r="FM407" s="136"/>
      <c r="FN407" s="136"/>
      <c r="FO407" s="136"/>
      <c r="FP407" s="136"/>
      <c r="FQ407" s="136"/>
      <c r="FR407" s="136"/>
      <c r="FS407" s="136"/>
      <c r="FT407" s="136"/>
      <c r="FU407" s="136"/>
      <c r="FV407" s="136"/>
      <c r="FW407" s="136"/>
      <c r="FX407" s="136"/>
      <c r="FY407" s="136"/>
      <c r="FZ407" s="136"/>
      <c r="GA407" s="136"/>
      <c r="GB407" s="136"/>
      <c r="GC407" s="136"/>
      <c r="GD407" s="136"/>
      <c r="GE407" s="136"/>
      <c r="GF407" s="136"/>
      <c r="GG407" s="136"/>
      <c r="GH407" s="136"/>
      <c r="GI407" s="136"/>
      <c r="GJ407" s="136"/>
      <c r="GK407" s="136"/>
      <c r="GL407" s="136"/>
    </row>
    <row r="408" spans="1:194" x14ac:dyDescent="0.35">
      <c r="A408" s="118" t="s">
        <v>13</v>
      </c>
      <c r="B408" s="119">
        <f t="shared" ref="B408:Y408" si="348">SUM(B409:B411)</f>
        <v>1443.9800000000005</v>
      </c>
      <c r="C408" s="119">
        <f t="shared" si="348"/>
        <v>94.610000000000014</v>
      </c>
      <c r="D408" s="119">
        <f t="shared" si="348"/>
        <v>12.92</v>
      </c>
      <c r="E408" s="119">
        <f t="shared" si="348"/>
        <v>1.9000000000000001</v>
      </c>
      <c r="F408" s="119">
        <f t="shared" si="348"/>
        <v>1.67</v>
      </c>
      <c r="G408" s="119">
        <f t="shared" si="348"/>
        <v>4.72</v>
      </c>
      <c r="H408" s="119">
        <f t="shared" si="348"/>
        <v>27.299999999999997</v>
      </c>
      <c r="I408" s="119">
        <f t="shared" si="348"/>
        <v>24.18</v>
      </c>
      <c r="J408" s="119">
        <f t="shared" si="348"/>
        <v>4.7699999999999996</v>
      </c>
      <c r="K408" s="119">
        <f t="shared" si="348"/>
        <v>48.820000000000007</v>
      </c>
      <c r="L408" s="119">
        <f t="shared" si="348"/>
        <v>37.75</v>
      </c>
      <c r="M408" s="119">
        <f t="shared" si="348"/>
        <v>38.120000000000005</v>
      </c>
      <c r="N408" s="119">
        <f t="shared" si="348"/>
        <v>6.4999999999999991</v>
      </c>
      <c r="O408" s="119">
        <f t="shared" si="348"/>
        <v>16.02</v>
      </c>
      <c r="P408" s="119">
        <f t="shared" si="348"/>
        <v>5.27</v>
      </c>
      <c r="Q408" s="119">
        <f t="shared" si="348"/>
        <v>40.949999999999996</v>
      </c>
      <c r="R408" s="119">
        <f t="shared" si="348"/>
        <v>73.280000000000015</v>
      </c>
      <c r="S408" s="119">
        <f t="shared" si="348"/>
        <v>356.51</v>
      </c>
      <c r="T408" s="119">
        <f t="shared" si="348"/>
        <v>235.70999999999998</v>
      </c>
      <c r="U408" s="119">
        <f t="shared" si="348"/>
        <v>451.69000000000005</v>
      </c>
      <c r="V408" s="119">
        <f t="shared" si="348"/>
        <v>95.02</v>
      </c>
      <c r="W408" s="119">
        <f t="shared" si="348"/>
        <v>126.03</v>
      </c>
      <c r="X408" s="119">
        <f t="shared" si="348"/>
        <v>58.15</v>
      </c>
      <c r="Y408" s="119">
        <f t="shared" si="348"/>
        <v>2.1100000000000003</v>
      </c>
      <c r="Z408" s="119">
        <f t="shared" si="344"/>
        <v>3207.9800000000009</v>
      </c>
      <c r="AA408" s="143">
        <f t="shared" si="346"/>
        <v>0.22593031330419516</v>
      </c>
      <c r="AB408" s="136"/>
      <c r="AC408" s="119">
        <v>2926.6700000000005</v>
      </c>
      <c r="AD408" s="119">
        <v>279.2</v>
      </c>
      <c r="AE408" s="119">
        <v>2.1100000000000003</v>
      </c>
      <c r="AF408" s="119">
        <v>3207.9800000000005</v>
      </c>
      <c r="AG408" s="143">
        <f t="shared" si="345"/>
        <v>8.7032961552129362E-2</v>
      </c>
      <c r="AH408" s="136"/>
      <c r="AI408" s="136"/>
      <c r="AJ408" s="136"/>
      <c r="AK408" s="136"/>
      <c r="AL408" s="136"/>
      <c r="AM408" s="136"/>
      <c r="AN408" s="136"/>
      <c r="AO408" s="136"/>
      <c r="AP408" s="136"/>
      <c r="AQ408" s="136"/>
      <c r="AR408" s="136"/>
      <c r="AS408" s="136"/>
      <c r="AT408" s="136"/>
      <c r="AU408" s="136"/>
      <c r="AV408" s="136"/>
      <c r="AW408" s="136"/>
      <c r="AX408" s="136"/>
      <c r="AY408" s="136"/>
      <c r="AZ408" s="136"/>
      <c r="BA408" s="136"/>
      <c r="BB408" s="136"/>
      <c r="BC408" s="136"/>
      <c r="BD408" s="136"/>
      <c r="BE408" s="136"/>
      <c r="BF408" s="136"/>
      <c r="BG408" s="136"/>
      <c r="BH408" s="136"/>
      <c r="BI408" s="136"/>
      <c r="BJ408" s="136"/>
      <c r="BK408" s="136"/>
      <c r="BL408" s="136"/>
      <c r="BM408" s="136"/>
      <c r="BN408" s="136"/>
      <c r="BO408" s="136"/>
      <c r="BP408" s="136"/>
      <c r="BQ408" s="136"/>
      <c r="BR408" s="136"/>
      <c r="BS408" s="136"/>
      <c r="BT408" s="136"/>
      <c r="BU408" s="136"/>
      <c r="BV408" s="136"/>
      <c r="BW408" s="136"/>
      <c r="BX408" s="136"/>
      <c r="BY408" s="136"/>
      <c r="BZ408" s="136"/>
      <c r="CA408" s="136"/>
      <c r="CB408" s="136"/>
      <c r="CC408" s="136"/>
      <c r="CD408" s="136"/>
      <c r="CE408" s="136"/>
      <c r="CF408" s="136"/>
      <c r="CG408" s="136"/>
      <c r="CH408" s="136"/>
      <c r="CI408" s="136"/>
      <c r="CJ408" s="136"/>
      <c r="CK408" s="136"/>
      <c r="CL408" s="136"/>
      <c r="CM408" s="136"/>
      <c r="CN408" s="136"/>
      <c r="CO408" s="136"/>
      <c r="CP408" s="136"/>
      <c r="CQ408" s="136"/>
      <c r="CR408" s="136"/>
      <c r="CS408" s="136"/>
      <c r="CT408" s="136"/>
      <c r="CU408" s="136"/>
      <c r="CV408" s="136"/>
      <c r="CW408" s="136"/>
      <c r="CX408" s="136"/>
      <c r="CY408" s="136"/>
      <c r="CZ408" s="136"/>
      <c r="DA408" s="136"/>
      <c r="DB408" s="136"/>
      <c r="DC408" s="136"/>
      <c r="DD408" s="136"/>
      <c r="DE408" s="136"/>
      <c r="DF408" s="136"/>
      <c r="DG408" s="136"/>
      <c r="DH408" s="136"/>
      <c r="DI408" s="136"/>
      <c r="DJ408" s="136"/>
      <c r="DK408" s="136"/>
      <c r="DL408" s="136"/>
      <c r="DM408" s="136"/>
      <c r="DN408" s="136"/>
      <c r="DO408" s="136"/>
      <c r="DP408" s="136"/>
      <c r="DQ408" s="136"/>
      <c r="DR408" s="136"/>
      <c r="DS408" s="136"/>
      <c r="DT408" s="136"/>
      <c r="DU408" s="136"/>
      <c r="DV408" s="136"/>
      <c r="DW408" s="136"/>
      <c r="DX408" s="136"/>
      <c r="DY408" s="136"/>
      <c r="DZ408" s="136"/>
      <c r="EA408" s="136"/>
      <c r="EB408" s="136"/>
      <c r="EC408" s="136"/>
      <c r="ED408" s="136"/>
      <c r="EE408" s="136"/>
      <c r="EF408" s="136"/>
      <c r="EG408" s="136"/>
      <c r="EH408" s="136"/>
      <c r="EI408" s="136"/>
      <c r="EJ408" s="136"/>
      <c r="EK408" s="136"/>
      <c r="EL408" s="136"/>
      <c r="EM408" s="136"/>
      <c r="EN408" s="136"/>
      <c r="EO408" s="136"/>
      <c r="EP408" s="136"/>
      <c r="EQ408" s="136"/>
      <c r="ER408" s="136"/>
      <c r="ES408" s="136"/>
      <c r="ET408" s="136"/>
      <c r="EU408" s="136"/>
      <c r="EV408" s="136"/>
      <c r="EW408" s="136"/>
      <c r="EX408" s="136"/>
      <c r="EY408" s="136"/>
      <c r="EZ408" s="136"/>
      <c r="FA408" s="136"/>
      <c r="FB408" s="136"/>
      <c r="FC408" s="136"/>
      <c r="FD408" s="136"/>
      <c r="FE408" s="136"/>
      <c r="FF408" s="136"/>
      <c r="FG408" s="136"/>
      <c r="FH408" s="136"/>
      <c r="FI408" s="136"/>
      <c r="FJ408" s="136"/>
      <c r="FK408" s="136"/>
      <c r="FL408" s="136"/>
      <c r="FM408" s="136"/>
      <c r="FN408" s="136"/>
      <c r="FO408" s="136"/>
      <c r="FP408" s="136"/>
      <c r="FQ408" s="136"/>
      <c r="FR408" s="136"/>
      <c r="FS408" s="136"/>
      <c r="FT408" s="136"/>
      <c r="FU408" s="136"/>
      <c r="FV408" s="136"/>
      <c r="FW408" s="136"/>
      <c r="FX408" s="136"/>
      <c r="FY408" s="136"/>
      <c r="FZ408" s="136"/>
      <c r="GA408" s="136"/>
      <c r="GB408" s="136"/>
      <c r="GC408" s="136"/>
      <c r="GD408" s="136"/>
      <c r="GE408" s="136"/>
      <c r="GF408" s="136"/>
      <c r="GG408" s="136"/>
      <c r="GH408" s="136"/>
      <c r="GI408" s="136"/>
      <c r="GJ408" s="136"/>
      <c r="GK408" s="136"/>
      <c r="GL408" s="136"/>
    </row>
    <row r="409" spans="1:194" x14ac:dyDescent="0.35">
      <c r="A409" s="6" t="s">
        <v>34</v>
      </c>
      <c r="B409" s="12">
        <v>1135.5100000000004</v>
      </c>
      <c r="C409" s="12">
        <v>85.65</v>
      </c>
      <c r="D409" s="12">
        <v>11.85</v>
      </c>
      <c r="E409" s="12">
        <v>0.56000000000000005</v>
      </c>
      <c r="F409" s="12">
        <v>0.74</v>
      </c>
      <c r="G409" s="12">
        <v>2.77</v>
      </c>
      <c r="H409" s="12">
        <v>14.84</v>
      </c>
      <c r="I409" s="12">
        <v>12.100000000000001</v>
      </c>
      <c r="J409" s="12">
        <v>2.69</v>
      </c>
      <c r="K409" s="12">
        <v>37.180000000000007</v>
      </c>
      <c r="L409" s="12">
        <v>37.26</v>
      </c>
      <c r="M409" s="12">
        <v>14.97</v>
      </c>
      <c r="N409" s="12">
        <v>5.8199999999999994</v>
      </c>
      <c r="O409" s="12">
        <v>13.07</v>
      </c>
      <c r="P409" s="12">
        <v>3.18</v>
      </c>
      <c r="Q409" s="12">
        <v>16.039999999999996</v>
      </c>
      <c r="R409" s="12">
        <v>42.960000000000008</v>
      </c>
      <c r="S409" s="12">
        <v>285.95</v>
      </c>
      <c r="T409" s="12">
        <v>209.82</v>
      </c>
      <c r="U409" s="12">
        <v>388.97</v>
      </c>
      <c r="V409" s="12">
        <v>68.849999999999994</v>
      </c>
      <c r="W409" s="12">
        <v>68.150000000000006</v>
      </c>
      <c r="X409" s="12">
        <v>51.08</v>
      </c>
      <c r="Y409" s="12">
        <v>0.75000000000000011</v>
      </c>
      <c r="Z409" s="12">
        <f t="shared" si="344"/>
        <v>2510.7600000000002</v>
      </c>
      <c r="AA409" s="22">
        <f t="shared" si="346"/>
        <v>0.17682678614942765</v>
      </c>
      <c r="AB409" s="136"/>
      <c r="AC409" s="175">
        <v>2321.9300000000003</v>
      </c>
      <c r="AD409" s="175">
        <v>188.07999999999998</v>
      </c>
      <c r="AE409" s="12">
        <v>0.75000000000000011</v>
      </c>
      <c r="AF409" s="12">
        <v>2510.7600000000002</v>
      </c>
      <c r="AG409" s="22">
        <f t="shared" si="345"/>
        <v>7.4909589128391393E-2</v>
      </c>
      <c r="AH409" s="136"/>
      <c r="AI409" s="136"/>
      <c r="AJ409" s="136"/>
      <c r="AK409" s="136"/>
      <c r="AL409" s="136"/>
      <c r="AM409" s="136"/>
      <c r="AN409" s="136"/>
      <c r="AO409" s="136"/>
      <c r="AP409" s="136"/>
      <c r="AQ409" s="136"/>
      <c r="AR409" s="136"/>
      <c r="AS409" s="136"/>
      <c r="AT409" s="136"/>
      <c r="AU409" s="136"/>
      <c r="AV409" s="136"/>
      <c r="AW409" s="136"/>
      <c r="AX409" s="136"/>
      <c r="AY409" s="136"/>
      <c r="AZ409" s="136"/>
      <c r="BA409" s="136"/>
      <c r="BB409" s="136"/>
      <c r="BC409" s="136"/>
      <c r="BD409" s="136"/>
      <c r="BE409" s="136"/>
      <c r="BF409" s="136"/>
      <c r="BG409" s="136"/>
      <c r="BH409" s="136"/>
      <c r="BI409" s="136"/>
      <c r="BJ409" s="136"/>
      <c r="BK409" s="136"/>
      <c r="BL409" s="136"/>
      <c r="BM409" s="136"/>
      <c r="BN409" s="136"/>
      <c r="BO409" s="136"/>
      <c r="BP409" s="136"/>
      <c r="BQ409" s="136"/>
      <c r="BR409" s="136"/>
      <c r="BS409" s="136"/>
      <c r="BT409" s="136"/>
      <c r="BU409" s="136"/>
      <c r="BV409" s="136"/>
      <c r="BW409" s="136"/>
      <c r="BX409" s="136"/>
      <c r="BY409" s="136"/>
      <c r="BZ409" s="136"/>
      <c r="CA409" s="136"/>
      <c r="CB409" s="136"/>
      <c r="CC409" s="136"/>
      <c r="CD409" s="136"/>
      <c r="CE409" s="136"/>
      <c r="CF409" s="136"/>
      <c r="CG409" s="136"/>
      <c r="CH409" s="136"/>
      <c r="CI409" s="136"/>
      <c r="CJ409" s="136"/>
      <c r="CK409" s="136"/>
      <c r="CL409" s="136"/>
      <c r="CM409" s="136"/>
      <c r="CN409" s="136"/>
      <c r="CO409" s="136"/>
      <c r="CP409" s="136"/>
      <c r="CQ409" s="136"/>
      <c r="CR409" s="136"/>
      <c r="CS409" s="136"/>
      <c r="CT409" s="136"/>
      <c r="CU409" s="136"/>
      <c r="CV409" s="136"/>
      <c r="CW409" s="136"/>
      <c r="CX409" s="136"/>
      <c r="CY409" s="136"/>
      <c r="CZ409" s="136"/>
      <c r="DA409" s="136"/>
      <c r="DB409" s="136"/>
      <c r="DC409" s="136"/>
      <c r="DD409" s="136"/>
      <c r="DE409" s="136"/>
      <c r="DF409" s="136"/>
      <c r="DG409" s="136"/>
      <c r="DH409" s="136"/>
      <c r="DI409" s="136"/>
      <c r="DJ409" s="136"/>
      <c r="DK409" s="136"/>
      <c r="DL409" s="136"/>
      <c r="DM409" s="136"/>
      <c r="DN409" s="136"/>
      <c r="DO409" s="136"/>
      <c r="DP409" s="136"/>
      <c r="DQ409" s="136"/>
      <c r="DR409" s="136"/>
      <c r="DS409" s="136"/>
      <c r="DT409" s="136"/>
      <c r="DU409" s="136"/>
      <c r="DV409" s="136"/>
      <c r="DW409" s="136"/>
      <c r="DX409" s="136"/>
      <c r="DY409" s="136"/>
      <c r="DZ409" s="136"/>
      <c r="EA409" s="136"/>
      <c r="EB409" s="136"/>
      <c r="EC409" s="136"/>
      <c r="ED409" s="136"/>
      <c r="EE409" s="136"/>
      <c r="EF409" s="136"/>
      <c r="EG409" s="136"/>
      <c r="EH409" s="136"/>
      <c r="EI409" s="136"/>
      <c r="EJ409" s="136"/>
      <c r="EK409" s="136"/>
      <c r="EL409" s="136"/>
      <c r="EM409" s="136"/>
      <c r="EN409" s="136"/>
      <c r="EO409" s="136"/>
      <c r="EP409" s="136"/>
      <c r="EQ409" s="136"/>
      <c r="ER409" s="136"/>
      <c r="ES409" s="136"/>
      <c r="ET409" s="136"/>
      <c r="EU409" s="136"/>
      <c r="EV409" s="136"/>
      <c r="EW409" s="136"/>
      <c r="EX409" s="136"/>
      <c r="EY409" s="136"/>
      <c r="EZ409" s="136"/>
      <c r="FA409" s="136"/>
      <c r="FB409" s="136"/>
      <c r="FC409" s="136"/>
      <c r="FD409" s="136"/>
      <c r="FE409" s="136"/>
      <c r="FF409" s="136"/>
      <c r="FG409" s="136"/>
      <c r="FH409" s="136"/>
      <c r="FI409" s="136"/>
      <c r="FJ409" s="136"/>
      <c r="FK409" s="136"/>
      <c r="FL409" s="136"/>
      <c r="FM409" s="136"/>
      <c r="FN409" s="136"/>
      <c r="FO409" s="136"/>
      <c r="FP409" s="136"/>
      <c r="FQ409" s="136"/>
      <c r="FR409" s="136"/>
      <c r="FS409" s="136"/>
      <c r="FT409" s="136"/>
      <c r="FU409" s="136"/>
      <c r="FV409" s="136"/>
      <c r="FW409" s="136"/>
      <c r="FX409" s="136"/>
      <c r="FY409" s="136"/>
      <c r="FZ409" s="136"/>
      <c r="GA409" s="136"/>
      <c r="GB409" s="136"/>
      <c r="GC409" s="136"/>
      <c r="GD409" s="136"/>
      <c r="GE409" s="136"/>
      <c r="GF409" s="136"/>
      <c r="GG409" s="136"/>
      <c r="GH409" s="136"/>
      <c r="GI409" s="136"/>
      <c r="GJ409" s="136"/>
      <c r="GK409" s="136"/>
      <c r="GL409" s="136"/>
    </row>
    <row r="410" spans="1:194" s="129" customFormat="1" x14ac:dyDescent="0.35">
      <c r="A410" s="6" t="s">
        <v>61</v>
      </c>
      <c r="B410" s="12">
        <v>15.329999999999998</v>
      </c>
      <c r="C410" s="54">
        <v>0.09</v>
      </c>
      <c r="D410" s="12"/>
      <c r="E410" s="12">
        <v>1.34</v>
      </c>
      <c r="F410" s="12"/>
      <c r="G410" s="12"/>
      <c r="H410" s="12"/>
      <c r="I410" s="12"/>
      <c r="J410" s="12"/>
      <c r="K410" s="12"/>
      <c r="L410" s="12"/>
      <c r="M410" s="12"/>
      <c r="N410" s="12"/>
      <c r="O410" s="12"/>
      <c r="P410" s="12"/>
      <c r="Q410" s="54">
        <v>0.17</v>
      </c>
      <c r="R410" s="12">
        <v>3.89</v>
      </c>
      <c r="S410" s="12">
        <v>13.030000000000001</v>
      </c>
      <c r="T410" s="12">
        <v>1.19</v>
      </c>
      <c r="U410" s="12">
        <v>1.4100000000000001</v>
      </c>
      <c r="V410" s="12">
        <v>0.61</v>
      </c>
      <c r="W410" s="12">
        <v>7</v>
      </c>
      <c r="X410" s="12"/>
      <c r="Y410" s="12"/>
      <c r="Z410" s="12">
        <f t="shared" si="344"/>
        <v>44.06</v>
      </c>
      <c r="AA410" s="22">
        <f t="shared" si="346"/>
        <v>3.1030397958163197E-3</v>
      </c>
      <c r="AB410" s="133"/>
      <c r="AC410" s="175">
        <v>36.450000000000003</v>
      </c>
      <c r="AD410" s="175">
        <v>7.61</v>
      </c>
      <c r="AE410" s="12">
        <v>0</v>
      </c>
      <c r="AF410" s="12">
        <v>44.06</v>
      </c>
      <c r="AG410" s="22">
        <f t="shared" si="345"/>
        <v>0.17271901951883795</v>
      </c>
      <c r="AH410" s="133"/>
      <c r="AI410" s="133"/>
      <c r="AJ410" s="133"/>
      <c r="AK410" s="133"/>
      <c r="AL410" s="133"/>
      <c r="AM410" s="133"/>
      <c r="AN410" s="133"/>
      <c r="AO410" s="133"/>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c r="CQ410" s="133"/>
      <c r="CR410" s="133"/>
      <c r="CS410" s="133"/>
      <c r="CT410" s="133"/>
      <c r="CU410" s="133"/>
      <c r="CV410" s="133"/>
      <c r="CW410" s="133"/>
      <c r="CX410" s="133"/>
      <c r="CY410" s="133"/>
      <c r="CZ410" s="133"/>
      <c r="DA410" s="133"/>
      <c r="DB410" s="133"/>
      <c r="DC410" s="133"/>
      <c r="DD410" s="133"/>
      <c r="DE410" s="133"/>
      <c r="DF410" s="133"/>
      <c r="DG410" s="133"/>
      <c r="DH410" s="133"/>
      <c r="DI410" s="133"/>
      <c r="DJ410" s="133"/>
      <c r="DK410" s="133"/>
      <c r="DL410" s="133"/>
      <c r="DM410" s="133"/>
      <c r="DN410" s="133"/>
      <c r="DO410" s="133"/>
      <c r="DP410" s="133"/>
      <c r="DQ410" s="133"/>
      <c r="DR410" s="133"/>
      <c r="DS410" s="133"/>
      <c r="DT410" s="133"/>
      <c r="DU410" s="133"/>
      <c r="DV410" s="133"/>
      <c r="DW410" s="133"/>
      <c r="DX410" s="133"/>
      <c r="DY410" s="133"/>
      <c r="DZ410" s="133"/>
      <c r="EA410" s="133"/>
      <c r="EB410" s="133"/>
      <c r="EC410" s="133"/>
      <c r="ED410" s="133"/>
      <c r="EE410" s="133"/>
      <c r="EF410" s="133"/>
      <c r="EG410" s="133"/>
      <c r="EH410" s="133"/>
      <c r="EI410" s="133"/>
      <c r="EJ410" s="133"/>
      <c r="EK410" s="133"/>
      <c r="EL410" s="133"/>
      <c r="EM410" s="133"/>
      <c r="EN410" s="133"/>
      <c r="EO410" s="133"/>
      <c r="EP410" s="133"/>
      <c r="EQ410" s="133"/>
      <c r="ER410" s="133"/>
      <c r="ES410" s="133"/>
      <c r="ET410" s="133"/>
      <c r="EU410" s="133"/>
      <c r="EV410" s="133"/>
      <c r="EW410" s="133"/>
      <c r="EX410" s="133"/>
      <c r="EY410" s="133"/>
      <c r="EZ410" s="133"/>
      <c r="FA410" s="133"/>
      <c r="FB410" s="133"/>
      <c r="FC410" s="133"/>
      <c r="FD410" s="133"/>
      <c r="FE410" s="133"/>
      <c r="FF410" s="133"/>
      <c r="FG410" s="133"/>
      <c r="FH410" s="133"/>
      <c r="FI410" s="133"/>
      <c r="FJ410" s="133"/>
      <c r="FK410" s="133"/>
      <c r="FL410" s="133"/>
      <c r="FM410" s="133"/>
      <c r="FN410" s="133"/>
      <c r="FO410" s="133"/>
      <c r="FP410" s="133"/>
      <c r="FQ410" s="133"/>
      <c r="FR410" s="133"/>
      <c r="FS410" s="133"/>
      <c r="FT410" s="133"/>
      <c r="FU410" s="133"/>
      <c r="FV410" s="133"/>
      <c r="FW410" s="133"/>
      <c r="FX410" s="133"/>
      <c r="FY410" s="133"/>
      <c r="FZ410" s="133"/>
      <c r="GA410" s="133"/>
      <c r="GB410" s="133"/>
      <c r="GC410" s="133"/>
      <c r="GD410" s="133"/>
      <c r="GE410" s="133"/>
      <c r="GF410" s="133"/>
      <c r="GG410" s="133"/>
      <c r="GH410" s="133"/>
      <c r="GI410" s="133"/>
      <c r="GJ410" s="133"/>
      <c r="GK410" s="133"/>
      <c r="GL410" s="133"/>
    </row>
    <row r="411" spans="1:194" x14ac:dyDescent="0.35">
      <c r="A411" s="6" t="s">
        <v>36</v>
      </c>
      <c r="B411" s="12">
        <v>293.14</v>
      </c>
      <c r="C411" s="12">
        <v>8.870000000000001</v>
      </c>
      <c r="D411" s="12">
        <v>1.07</v>
      </c>
      <c r="E411" s="12"/>
      <c r="F411" s="12">
        <v>0.93</v>
      </c>
      <c r="G411" s="12">
        <v>1.95</v>
      </c>
      <c r="H411" s="12">
        <v>12.459999999999999</v>
      </c>
      <c r="I411" s="12">
        <v>12.08</v>
      </c>
      <c r="J411" s="12">
        <v>2.08</v>
      </c>
      <c r="K411" s="12">
        <v>11.64</v>
      </c>
      <c r="L411" s="54">
        <v>0.49</v>
      </c>
      <c r="M411" s="12">
        <v>23.150000000000002</v>
      </c>
      <c r="N411" s="12">
        <v>0.68</v>
      </c>
      <c r="O411" s="12">
        <v>2.95</v>
      </c>
      <c r="P411" s="12">
        <v>2.09</v>
      </c>
      <c r="Q411" s="12">
        <v>24.74</v>
      </c>
      <c r="R411" s="12">
        <v>26.430000000000003</v>
      </c>
      <c r="S411" s="12">
        <v>57.529999999999987</v>
      </c>
      <c r="T411" s="12">
        <v>24.7</v>
      </c>
      <c r="U411" s="12">
        <v>61.309999999999988</v>
      </c>
      <c r="V411" s="12">
        <v>25.56</v>
      </c>
      <c r="W411" s="12">
        <v>50.88</v>
      </c>
      <c r="X411" s="12">
        <v>7.07</v>
      </c>
      <c r="Y411" s="12">
        <v>1.36</v>
      </c>
      <c r="Z411" s="12">
        <f t="shared" si="344"/>
        <v>653.15999999999985</v>
      </c>
      <c r="AA411" s="22">
        <f t="shared" si="346"/>
        <v>4.6000487358951125E-2</v>
      </c>
      <c r="AB411" s="136"/>
      <c r="AC411" s="175">
        <v>568.28999999999985</v>
      </c>
      <c r="AD411" s="175">
        <v>83.509999999999991</v>
      </c>
      <c r="AE411" s="12">
        <v>1.36</v>
      </c>
      <c r="AF411" s="12">
        <v>653.15999999999985</v>
      </c>
      <c r="AG411" s="22">
        <f t="shared" si="345"/>
        <v>0.12785534937840654</v>
      </c>
      <c r="AH411" s="136"/>
      <c r="AI411" s="136"/>
      <c r="AJ411" s="136"/>
      <c r="AK411" s="136"/>
      <c r="AL411" s="136"/>
      <c r="AM411" s="136"/>
      <c r="AN411" s="342"/>
      <c r="AO411" s="342" t="s">
        <v>256</v>
      </c>
      <c r="AP411" s="342" t="s">
        <v>96</v>
      </c>
      <c r="AQ411" s="342" t="s">
        <v>257</v>
      </c>
      <c r="AR411" s="136"/>
      <c r="AS411" s="136"/>
      <c r="AT411" s="136"/>
      <c r="AU411" s="136"/>
      <c r="AV411" s="136"/>
      <c r="AW411" s="136"/>
      <c r="AX411" s="136"/>
      <c r="AY411" s="136"/>
      <c r="AZ411" s="136"/>
      <c r="BA411" s="136"/>
      <c r="BB411" s="136"/>
      <c r="BC411" s="136"/>
      <c r="BD411" s="136"/>
      <c r="BE411" s="136"/>
      <c r="BF411" s="136"/>
      <c r="BG411" s="136"/>
      <c r="BH411" s="136"/>
      <c r="BI411" s="136"/>
      <c r="BJ411" s="136"/>
      <c r="BK411" s="136"/>
      <c r="BL411" s="136"/>
      <c r="BM411" s="136"/>
      <c r="BN411" s="136"/>
      <c r="BO411" s="136"/>
      <c r="BP411" s="136"/>
      <c r="BQ411" s="136"/>
      <c r="BR411" s="136"/>
      <c r="BS411" s="136"/>
      <c r="BT411" s="136"/>
      <c r="BU411" s="136"/>
      <c r="BV411" s="136"/>
      <c r="BW411" s="136"/>
      <c r="BX411" s="136"/>
      <c r="BY411" s="136"/>
      <c r="BZ411" s="136"/>
      <c r="CA411" s="136"/>
      <c r="CB411" s="136"/>
      <c r="CC411" s="136"/>
      <c r="CD411" s="136"/>
      <c r="CE411" s="136"/>
      <c r="CF411" s="136"/>
      <c r="CG411" s="136"/>
      <c r="CH411" s="136"/>
      <c r="CI411" s="136"/>
      <c r="CJ411" s="136"/>
      <c r="CK411" s="136"/>
      <c r="CL411" s="136"/>
      <c r="CM411" s="136"/>
      <c r="CN411" s="136"/>
      <c r="CO411" s="136"/>
      <c r="CP411" s="136"/>
      <c r="CQ411" s="136"/>
      <c r="CR411" s="136"/>
      <c r="CS411" s="136"/>
      <c r="CT411" s="136"/>
      <c r="CU411" s="136"/>
      <c r="CV411" s="136"/>
      <c r="CW411" s="136"/>
      <c r="CX411" s="136"/>
      <c r="CY411" s="136"/>
      <c r="CZ411" s="136"/>
      <c r="DA411" s="136"/>
      <c r="DB411" s="136"/>
      <c r="DC411" s="136"/>
      <c r="DD411" s="136"/>
      <c r="DE411" s="136"/>
      <c r="DF411" s="136"/>
      <c r="DG411" s="136"/>
      <c r="DH411" s="136"/>
      <c r="DI411" s="136"/>
      <c r="DJ411" s="136"/>
      <c r="DK411" s="136"/>
      <c r="DL411" s="136"/>
      <c r="DM411" s="136"/>
      <c r="DN411" s="136"/>
      <c r="DO411" s="136"/>
      <c r="DP411" s="136"/>
      <c r="DQ411" s="136"/>
      <c r="DR411" s="136"/>
      <c r="DS411" s="136"/>
      <c r="DT411" s="136"/>
      <c r="DU411" s="136"/>
      <c r="DV411" s="136"/>
      <c r="DW411" s="136"/>
      <c r="DX411" s="136"/>
      <c r="DY411" s="136"/>
      <c r="DZ411" s="136"/>
      <c r="EA411" s="136"/>
      <c r="EB411" s="136"/>
      <c r="EC411" s="136"/>
      <c r="ED411" s="136"/>
      <c r="EE411" s="136"/>
      <c r="EF411" s="136"/>
      <c r="EG411" s="136"/>
      <c r="EH411" s="136"/>
      <c r="EI411" s="136"/>
      <c r="EJ411" s="136"/>
      <c r="EK411" s="136"/>
      <c r="EL411" s="136"/>
      <c r="EM411" s="136"/>
      <c r="EN411" s="136"/>
      <c r="EO411" s="136"/>
      <c r="EP411" s="136"/>
      <c r="EQ411" s="136"/>
      <c r="ER411" s="136"/>
      <c r="ES411" s="136"/>
      <c r="ET411" s="136"/>
      <c r="EU411" s="136"/>
      <c r="EV411" s="136"/>
      <c r="EW411" s="136"/>
      <c r="EX411" s="136"/>
      <c r="EY411" s="136"/>
      <c r="EZ411" s="136"/>
      <c r="FA411" s="136"/>
      <c r="FB411" s="136"/>
      <c r="FC411" s="136"/>
      <c r="FD411" s="136"/>
      <c r="FE411" s="136"/>
      <c r="FF411" s="136"/>
      <c r="FG411" s="136"/>
      <c r="FH411" s="136"/>
      <c r="FI411" s="136"/>
      <c r="FJ411" s="136"/>
      <c r="FK411" s="136"/>
      <c r="FL411" s="136"/>
      <c r="FM411" s="136"/>
      <c r="FN411" s="136"/>
      <c r="FO411" s="136"/>
      <c r="FP411" s="136"/>
      <c r="FQ411" s="136"/>
      <c r="FR411" s="136"/>
      <c r="FS411" s="136"/>
      <c r="FT411" s="136"/>
      <c r="FU411" s="136"/>
      <c r="FV411" s="136"/>
      <c r="FW411" s="136"/>
      <c r="FX411" s="136"/>
      <c r="FY411" s="136"/>
      <c r="FZ411" s="136"/>
      <c r="GA411" s="136"/>
      <c r="GB411" s="136"/>
      <c r="GC411" s="136"/>
      <c r="GD411" s="136"/>
      <c r="GE411" s="136"/>
      <c r="GF411" s="136"/>
      <c r="GG411" s="136"/>
      <c r="GH411" s="136"/>
      <c r="GI411" s="136"/>
      <c r="GJ411" s="136"/>
      <c r="GK411" s="136"/>
      <c r="GL411" s="136"/>
    </row>
    <row r="412" spans="1:194" x14ac:dyDescent="0.35">
      <c r="A412" s="118" t="s">
        <v>14</v>
      </c>
      <c r="B412" s="119">
        <f t="shared" ref="B412:Y412" si="349">SUM(B413:B416)</f>
        <v>170.35999999999996</v>
      </c>
      <c r="C412" s="119">
        <f t="shared" si="349"/>
        <v>4.46</v>
      </c>
      <c r="D412" s="119">
        <f t="shared" si="349"/>
        <v>3.51</v>
      </c>
      <c r="E412" s="119">
        <f t="shared" si="349"/>
        <v>0</v>
      </c>
      <c r="F412" s="119">
        <f t="shared" si="349"/>
        <v>0.6</v>
      </c>
      <c r="G412" s="119">
        <f t="shared" si="349"/>
        <v>6.9</v>
      </c>
      <c r="H412" s="119">
        <f t="shared" si="349"/>
        <v>6.67</v>
      </c>
      <c r="I412" s="119">
        <f t="shared" si="349"/>
        <v>1.75</v>
      </c>
      <c r="J412" s="119">
        <f t="shared" si="349"/>
        <v>3.32</v>
      </c>
      <c r="K412" s="119">
        <f t="shared" si="349"/>
        <v>3.06</v>
      </c>
      <c r="L412" s="119">
        <f t="shared" si="349"/>
        <v>0.15</v>
      </c>
      <c r="M412" s="119">
        <f t="shared" si="349"/>
        <v>3.19</v>
      </c>
      <c r="N412" s="119">
        <f t="shared" si="349"/>
        <v>1.04</v>
      </c>
      <c r="O412" s="119">
        <f t="shared" si="349"/>
        <v>4.3100000000000005</v>
      </c>
      <c r="P412" s="119">
        <f t="shared" si="349"/>
        <v>8.86</v>
      </c>
      <c r="Q412" s="119">
        <f t="shared" si="349"/>
        <v>26.380000000000003</v>
      </c>
      <c r="R412" s="119">
        <f t="shared" si="349"/>
        <v>57.22</v>
      </c>
      <c r="S412" s="119">
        <f t="shared" si="349"/>
        <v>34.980000000000004</v>
      </c>
      <c r="T412" s="119">
        <f t="shared" si="349"/>
        <v>81.36</v>
      </c>
      <c r="U412" s="119">
        <f t="shared" si="349"/>
        <v>17.259999999999998</v>
      </c>
      <c r="V412" s="119">
        <f t="shared" si="349"/>
        <v>29.72</v>
      </c>
      <c r="W412" s="119">
        <f t="shared" si="349"/>
        <v>12.129999999999999</v>
      </c>
      <c r="X412" s="119">
        <f t="shared" si="349"/>
        <v>6.73</v>
      </c>
      <c r="Y412" s="119">
        <f t="shared" si="349"/>
        <v>0</v>
      </c>
      <c r="Z412" s="119">
        <f t="shared" si="344"/>
        <v>483.96000000000004</v>
      </c>
      <c r="AA412" s="143">
        <f t="shared" si="346"/>
        <v>3.4084138438113164E-2</v>
      </c>
      <c r="AB412" s="136"/>
      <c r="AC412" s="119">
        <v>435.38</v>
      </c>
      <c r="AD412" s="119">
        <v>48.58</v>
      </c>
      <c r="AE412" s="119">
        <v>0</v>
      </c>
      <c r="AF412" s="119">
        <v>483.96</v>
      </c>
      <c r="AG412" s="143">
        <f t="shared" si="345"/>
        <v>0.10038019671047194</v>
      </c>
      <c r="AH412" s="136"/>
      <c r="AI412" s="210" t="s">
        <v>255</v>
      </c>
      <c r="AM412" s="136"/>
      <c r="AN412" s="118" t="s">
        <v>15</v>
      </c>
      <c r="AO412" s="343">
        <v>693.13000000000011</v>
      </c>
      <c r="AP412" s="343">
        <v>4137.41</v>
      </c>
      <c r="AQ412" s="190">
        <f t="shared" ref="AQ412" si="350">AO412/AP412</f>
        <v>0.16752751117244849</v>
      </c>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136"/>
      <c r="BU412" s="136"/>
      <c r="BV412" s="136"/>
      <c r="BW412" s="136"/>
      <c r="BX412" s="136"/>
      <c r="BY412" s="136"/>
      <c r="BZ412" s="136"/>
      <c r="CA412" s="136"/>
      <c r="CB412" s="136"/>
      <c r="CC412" s="136"/>
      <c r="CD412" s="136"/>
      <c r="CE412" s="136"/>
      <c r="CF412" s="136"/>
      <c r="CG412" s="136"/>
      <c r="CH412" s="136"/>
      <c r="CI412" s="136"/>
      <c r="CJ412" s="136"/>
      <c r="CK412" s="136"/>
      <c r="CL412" s="136"/>
      <c r="CM412" s="136"/>
      <c r="CN412" s="136"/>
      <c r="CO412" s="136"/>
      <c r="CP412" s="136"/>
      <c r="CQ412" s="136"/>
      <c r="CR412" s="136"/>
      <c r="CS412" s="136"/>
      <c r="CT412" s="136"/>
      <c r="CU412" s="136"/>
      <c r="CV412" s="136"/>
      <c r="CW412" s="136"/>
      <c r="CX412" s="136"/>
      <c r="CY412" s="136"/>
      <c r="CZ412" s="136"/>
      <c r="DA412" s="136"/>
      <c r="DB412" s="136"/>
      <c r="DC412" s="136"/>
      <c r="DD412" s="136"/>
      <c r="DE412" s="136"/>
      <c r="DF412" s="136"/>
      <c r="DG412" s="136"/>
      <c r="DH412" s="136"/>
      <c r="DI412" s="136"/>
      <c r="DJ412" s="136"/>
      <c r="DK412" s="136"/>
      <c r="DL412" s="136"/>
      <c r="DM412" s="136"/>
      <c r="DN412" s="136"/>
      <c r="DO412" s="136"/>
      <c r="DP412" s="136"/>
      <c r="DQ412" s="136"/>
      <c r="DR412" s="136"/>
      <c r="DS412" s="136"/>
      <c r="DT412" s="136"/>
      <c r="DU412" s="136"/>
      <c r="DV412" s="136"/>
      <c r="DW412" s="136"/>
      <c r="DX412" s="136"/>
      <c r="DY412" s="136"/>
      <c r="DZ412" s="136"/>
      <c r="EA412" s="136"/>
      <c r="EB412" s="136"/>
      <c r="EC412" s="136"/>
      <c r="ED412" s="136"/>
      <c r="EE412" s="136"/>
      <c r="EF412" s="136"/>
      <c r="EG412" s="136"/>
      <c r="EH412" s="136"/>
      <c r="EI412" s="136"/>
      <c r="EJ412" s="136"/>
      <c r="EK412" s="136"/>
      <c r="EL412" s="136"/>
      <c r="EM412" s="136"/>
      <c r="EN412" s="136"/>
      <c r="EO412" s="136"/>
      <c r="EP412" s="136"/>
      <c r="EQ412" s="136"/>
      <c r="ER412" s="136"/>
      <c r="ES412" s="136"/>
      <c r="ET412" s="136"/>
      <c r="EU412" s="136"/>
      <c r="EV412" s="136"/>
      <c r="EW412" s="136"/>
      <c r="EX412" s="136"/>
      <c r="EY412" s="136"/>
      <c r="EZ412" s="136"/>
      <c r="FA412" s="136"/>
      <c r="FB412" s="136"/>
      <c r="FC412" s="136"/>
      <c r="FD412" s="136"/>
      <c r="FE412" s="136"/>
      <c r="FF412" s="136"/>
      <c r="FG412" s="136"/>
      <c r="FH412" s="136"/>
      <c r="FI412" s="136"/>
      <c r="FJ412" s="136"/>
      <c r="FK412" s="136"/>
      <c r="FL412" s="136"/>
      <c r="FM412" s="136"/>
      <c r="FN412" s="136"/>
      <c r="FO412" s="136"/>
      <c r="FP412" s="136"/>
      <c r="FQ412" s="136"/>
      <c r="FR412" s="136"/>
      <c r="FS412" s="136"/>
      <c r="FT412" s="136"/>
      <c r="FU412" s="136"/>
      <c r="FV412" s="136"/>
      <c r="FW412" s="136"/>
      <c r="FX412" s="136"/>
      <c r="FY412" s="136"/>
      <c r="FZ412" s="136"/>
      <c r="GA412" s="136"/>
      <c r="GB412" s="136"/>
      <c r="GC412" s="136"/>
      <c r="GD412" s="136"/>
      <c r="GE412" s="136"/>
      <c r="GF412" s="136"/>
      <c r="GG412" s="136"/>
      <c r="GH412" s="136"/>
      <c r="GI412" s="136"/>
      <c r="GJ412" s="136"/>
      <c r="GK412" s="136"/>
      <c r="GL412" s="136"/>
    </row>
    <row r="413" spans="1:194" x14ac:dyDescent="0.35">
      <c r="A413" s="6" t="s">
        <v>37</v>
      </c>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f t="shared" si="344"/>
        <v>0</v>
      </c>
      <c r="AA413" s="22">
        <f t="shared" si="346"/>
        <v>0</v>
      </c>
      <c r="AB413" s="136"/>
      <c r="AC413" s="175">
        <v>0</v>
      </c>
      <c r="AD413" s="175">
        <v>0</v>
      </c>
      <c r="AE413" s="12">
        <v>0</v>
      </c>
      <c r="AF413" s="12">
        <v>0</v>
      </c>
      <c r="AG413" s="22"/>
      <c r="AH413" s="136"/>
      <c r="AJ413" t="s">
        <v>256</v>
      </c>
      <c r="AK413" t="s">
        <v>96</v>
      </c>
      <c r="AL413" t="s">
        <v>257</v>
      </c>
      <c r="AM413" s="136"/>
      <c r="AN413" s="118" t="s">
        <v>5</v>
      </c>
      <c r="AO413" s="343">
        <v>552.71999999999991</v>
      </c>
      <c r="AP413" s="343">
        <v>3361.14</v>
      </c>
      <c r="AQ413" s="190">
        <f>AO413/AP413</f>
        <v>0.16444420642996124</v>
      </c>
      <c r="AR413" s="136"/>
      <c r="AS413" s="136"/>
      <c r="AT413" s="136"/>
      <c r="AU413" s="136"/>
      <c r="AV413" s="136"/>
      <c r="AW413" s="136"/>
      <c r="AX413" s="136"/>
      <c r="AY413" s="136"/>
      <c r="AZ413" s="136"/>
      <c r="BA413" s="136"/>
      <c r="BB413" s="136"/>
      <c r="BC413" s="136"/>
      <c r="BD413" s="136"/>
      <c r="BE413" s="136"/>
      <c r="BF413" s="136"/>
      <c r="BG413" s="136"/>
      <c r="BH413" s="136"/>
      <c r="BI413" s="136"/>
      <c r="BJ413" s="136"/>
      <c r="BK413" s="136"/>
      <c r="BL413" s="136"/>
      <c r="BM413" s="136"/>
      <c r="BN413" s="136"/>
      <c r="BO413" s="136"/>
      <c r="BP413" s="136"/>
      <c r="BQ413" s="136"/>
      <c r="BR413" s="136"/>
      <c r="BS413" s="136"/>
      <c r="BT413" s="136"/>
      <c r="BU413" s="136"/>
      <c r="BV413" s="136"/>
      <c r="BW413" s="136"/>
      <c r="BX413" s="136"/>
      <c r="BY413" s="136"/>
      <c r="BZ413" s="136"/>
      <c r="CA413" s="136"/>
      <c r="CB413" s="136"/>
      <c r="CC413" s="136"/>
      <c r="CD413" s="136"/>
      <c r="CE413" s="136"/>
      <c r="CF413" s="136"/>
      <c r="CG413" s="136"/>
      <c r="CH413" s="136"/>
      <c r="CI413" s="136"/>
      <c r="CJ413" s="136"/>
      <c r="CK413" s="136"/>
      <c r="CL413" s="136"/>
      <c r="CM413" s="136"/>
      <c r="CN413" s="136"/>
      <c r="CO413" s="136"/>
      <c r="CP413" s="136"/>
      <c r="CQ413" s="136"/>
      <c r="CR413" s="136"/>
      <c r="CS413" s="136"/>
      <c r="CT413" s="136"/>
      <c r="CU413" s="136"/>
      <c r="CV413" s="136"/>
      <c r="CW413" s="136"/>
      <c r="CX413" s="136"/>
      <c r="CY413" s="136"/>
      <c r="CZ413" s="136"/>
      <c r="DA413" s="136"/>
      <c r="DB413" s="136"/>
      <c r="DC413" s="136"/>
      <c r="DD413" s="136"/>
      <c r="DE413" s="136"/>
      <c r="DF413" s="136"/>
      <c r="DG413" s="136"/>
      <c r="DH413" s="136"/>
      <c r="DI413" s="136"/>
      <c r="DJ413" s="136"/>
      <c r="DK413" s="136"/>
      <c r="DL413" s="136"/>
      <c r="DM413" s="136"/>
      <c r="DN413" s="136"/>
      <c r="DO413" s="136"/>
      <c r="DP413" s="136"/>
      <c r="DQ413" s="136"/>
      <c r="DR413" s="136"/>
      <c r="DS413" s="136"/>
      <c r="DT413" s="136"/>
      <c r="DU413" s="136"/>
      <c r="DV413" s="136"/>
      <c r="DW413" s="136"/>
      <c r="DX413" s="136"/>
      <c r="DY413" s="136"/>
      <c r="DZ413" s="136"/>
      <c r="EA413" s="136"/>
      <c r="EB413" s="136"/>
      <c r="EC413" s="136"/>
      <c r="ED413" s="136"/>
      <c r="EE413" s="136"/>
      <c r="EF413" s="136"/>
      <c r="EG413" s="136"/>
      <c r="EH413" s="136"/>
      <c r="EI413" s="136"/>
      <c r="EJ413" s="136"/>
      <c r="EK413" s="136"/>
      <c r="EL413" s="136"/>
      <c r="EM413" s="136"/>
      <c r="EN413" s="136"/>
      <c r="EO413" s="136"/>
      <c r="EP413" s="136"/>
      <c r="EQ413" s="136"/>
      <c r="ER413" s="136"/>
      <c r="ES413" s="136"/>
      <c r="ET413" s="136"/>
      <c r="EU413" s="136"/>
      <c r="EV413" s="136"/>
      <c r="EW413" s="136"/>
      <c r="EX413" s="136"/>
      <c r="EY413" s="136"/>
      <c r="EZ413" s="136"/>
      <c r="FA413" s="136"/>
      <c r="FB413" s="136"/>
      <c r="FC413" s="136"/>
      <c r="FD413" s="136"/>
      <c r="FE413" s="136"/>
      <c r="FF413" s="136"/>
      <c r="FG413" s="136"/>
      <c r="FH413" s="136"/>
      <c r="FI413" s="136"/>
      <c r="FJ413" s="136"/>
      <c r="FK413" s="136"/>
      <c r="FL413" s="136"/>
      <c r="FM413" s="136"/>
      <c r="FN413" s="136"/>
      <c r="FO413" s="136"/>
      <c r="FP413" s="136"/>
      <c r="FQ413" s="136"/>
      <c r="FR413" s="136"/>
      <c r="FS413" s="136"/>
      <c r="FT413" s="136"/>
      <c r="FU413" s="136"/>
      <c r="FV413" s="136"/>
      <c r="FW413" s="136"/>
      <c r="FX413" s="136"/>
      <c r="FY413" s="136"/>
      <c r="FZ413" s="136"/>
      <c r="GA413" s="136"/>
      <c r="GB413" s="136"/>
      <c r="GC413" s="136"/>
      <c r="GD413" s="136"/>
      <c r="GE413" s="136"/>
      <c r="GF413" s="136"/>
      <c r="GG413" s="136"/>
      <c r="GH413" s="136"/>
    </row>
    <row r="414" spans="1:194" s="129" customFormat="1" x14ac:dyDescent="0.35">
      <c r="A414" s="6" t="s">
        <v>38</v>
      </c>
      <c r="B414" s="12"/>
      <c r="C414" s="54">
        <v>0.22</v>
      </c>
      <c r="D414" s="12"/>
      <c r="E414" s="12"/>
      <c r="F414" s="12"/>
      <c r="G414" s="12"/>
      <c r="H414" s="12">
        <v>0.38</v>
      </c>
      <c r="I414" s="12"/>
      <c r="J414" s="12"/>
      <c r="K414" s="12"/>
      <c r="L414" s="12"/>
      <c r="M414" s="12"/>
      <c r="N414" s="12"/>
      <c r="O414" s="12"/>
      <c r="P414" s="12"/>
      <c r="Q414" s="12">
        <v>1.1200000000000001</v>
      </c>
      <c r="R414" s="12"/>
      <c r="S414" s="12"/>
      <c r="T414" s="12"/>
      <c r="U414" s="12"/>
      <c r="V414" s="12">
        <v>2.0499999999999998</v>
      </c>
      <c r="W414" s="12"/>
      <c r="X414" s="12">
        <v>1.6400000000000001</v>
      </c>
      <c r="Y414" s="12"/>
      <c r="Z414" s="12">
        <f t="shared" si="344"/>
        <v>5.41</v>
      </c>
      <c r="AA414" s="22">
        <f t="shared" si="346"/>
        <v>3.8101328405279819E-4</v>
      </c>
      <c r="AB414" s="133"/>
      <c r="AC414" s="175">
        <v>1.7200000000000002</v>
      </c>
      <c r="AD414" s="175">
        <v>3.69</v>
      </c>
      <c r="AE414" s="12">
        <v>0</v>
      </c>
      <c r="AF414" s="12">
        <v>5.41</v>
      </c>
      <c r="AG414" s="22">
        <f t="shared" si="345"/>
        <v>0.68207024029574859</v>
      </c>
      <c r="AH414" s="133"/>
      <c r="AI414" s="6" t="s">
        <v>41</v>
      </c>
      <c r="AJ414" s="175">
        <v>292.53000000000003</v>
      </c>
      <c r="AK414" s="12">
        <v>2077.1200000000003</v>
      </c>
      <c r="AL414" s="382">
        <f>AJ414/AK414</f>
        <v>0.14083442458789092</v>
      </c>
      <c r="AM414" s="133"/>
      <c r="AN414" s="118" t="s">
        <v>12</v>
      </c>
      <c r="AO414" s="343">
        <v>311.83</v>
      </c>
      <c r="AP414" s="343">
        <v>848.81999999999994</v>
      </c>
      <c r="AQ414" s="190">
        <f t="shared" ref="AQ414:AQ419" si="351">AO414/AP414</f>
        <v>0.36736881788836268</v>
      </c>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c r="CQ414" s="133"/>
      <c r="CR414" s="133"/>
      <c r="CS414" s="133"/>
      <c r="CT414" s="133"/>
      <c r="CU414" s="133"/>
      <c r="CV414" s="133"/>
      <c r="CW414" s="133"/>
      <c r="CX414" s="133"/>
      <c r="CY414" s="133"/>
      <c r="CZ414" s="133"/>
      <c r="DA414" s="133"/>
      <c r="DB414" s="133"/>
      <c r="DC414" s="133"/>
      <c r="DD414" s="133"/>
      <c r="DE414" s="133"/>
      <c r="DF414" s="133"/>
      <c r="DG414" s="133"/>
      <c r="DH414" s="133"/>
      <c r="DI414" s="133"/>
      <c r="DJ414" s="133"/>
      <c r="DK414" s="133"/>
      <c r="DL414" s="133"/>
      <c r="DM414" s="133"/>
      <c r="DN414" s="133"/>
      <c r="DO414" s="133"/>
      <c r="DP414" s="133"/>
      <c r="DQ414" s="133"/>
      <c r="DR414" s="133"/>
      <c r="DS414" s="133"/>
      <c r="DT414" s="133"/>
      <c r="DU414" s="133"/>
      <c r="DV414" s="133"/>
      <c r="DW414" s="133"/>
      <c r="DX414" s="133"/>
      <c r="DY414" s="133"/>
      <c r="DZ414" s="133"/>
      <c r="EA414" s="133"/>
      <c r="EB414" s="133"/>
      <c r="EC414" s="133"/>
      <c r="ED414" s="133"/>
      <c r="EE414" s="133"/>
      <c r="EF414" s="133"/>
      <c r="EG414" s="133"/>
      <c r="EH414" s="133"/>
      <c r="EI414" s="133"/>
      <c r="EJ414" s="133"/>
      <c r="EK414" s="133"/>
      <c r="EL414" s="133"/>
      <c r="EM414" s="133"/>
      <c r="EN414" s="133"/>
      <c r="EO414" s="133"/>
      <c r="EP414" s="133"/>
      <c r="EQ414" s="133"/>
      <c r="ER414" s="133"/>
      <c r="ES414" s="133"/>
      <c r="ET414" s="133"/>
      <c r="EU414" s="133"/>
      <c r="EV414" s="133"/>
      <c r="EW414" s="133"/>
      <c r="EX414" s="133"/>
      <c r="EY414" s="133"/>
      <c r="EZ414" s="133"/>
      <c r="FA414" s="133"/>
      <c r="FB414" s="133"/>
      <c r="FC414" s="133"/>
      <c r="FD414" s="133"/>
      <c r="FE414" s="133"/>
      <c r="FF414" s="133"/>
      <c r="FG414" s="133"/>
      <c r="FH414" s="133"/>
      <c r="FI414" s="133"/>
      <c r="FJ414" s="133"/>
      <c r="FK414" s="133"/>
      <c r="FL414" s="133"/>
      <c r="FM414" s="133"/>
      <c r="FN414" s="133"/>
      <c r="FO414" s="133"/>
      <c r="FP414" s="133"/>
      <c r="FQ414" s="133"/>
      <c r="FR414" s="133"/>
      <c r="FS414" s="133"/>
      <c r="FT414" s="133"/>
      <c r="FU414" s="133"/>
      <c r="FV414" s="133"/>
      <c r="FW414" s="133"/>
      <c r="FX414" s="133"/>
      <c r="FY414" s="133"/>
      <c r="FZ414" s="133"/>
      <c r="GA414" s="133"/>
      <c r="GB414" s="133"/>
      <c r="GC414" s="133"/>
      <c r="GD414" s="133"/>
      <c r="GE414" s="133"/>
      <c r="GF414" s="133"/>
      <c r="GG414" s="133"/>
      <c r="GH414" s="133"/>
      <c r="GI414" s="133"/>
      <c r="GJ414" s="133"/>
      <c r="GK414" s="133"/>
      <c r="GL414" s="133"/>
    </row>
    <row r="415" spans="1:194" x14ac:dyDescent="0.35">
      <c r="A415" s="6" t="s">
        <v>39</v>
      </c>
      <c r="B415" s="12">
        <v>38</v>
      </c>
      <c r="C415" s="12">
        <v>1.04</v>
      </c>
      <c r="D415" s="12">
        <v>3.51</v>
      </c>
      <c r="E415" s="12"/>
      <c r="F415" s="12">
        <v>0.6</v>
      </c>
      <c r="G415" s="12"/>
      <c r="H415" s="12"/>
      <c r="I415" s="12">
        <v>0.96</v>
      </c>
      <c r="J415" s="12"/>
      <c r="K415" s="12">
        <v>0.79</v>
      </c>
      <c r="L415" s="12">
        <v>0.15</v>
      </c>
      <c r="M415" s="12">
        <v>2.2999999999999998</v>
      </c>
      <c r="N415" s="12"/>
      <c r="O415" s="12">
        <v>0.81</v>
      </c>
      <c r="P415" s="12">
        <v>7.99</v>
      </c>
      <c r="Q415" s="12">
        <v>24.53</v>
      </c>
      <c r="R415" s="12">
        <v>39.44</v>
      </c>
      <c r="S415" s="12">
        <v>12.37</v>
      </c>
      <c r="T415" s="12">
        <v>64.69</v>
      </c>
      <c r="U415" s="12">
        <v>9.31</v>
      </c>
      <c r="V415" s="12">
        <v>11.37</v>
      </c>
      <c r="W415" s="12">
        <v>4.25</v>
      </c>
      <c r="X415" s="12">
        <v>4.5999999999999996</v>
      </c>
      <c r="Y415" s="12"/>
      <c r="Z415" s="12">
        <f t="shared" si="344"/>
        <v>226.71</v>
      </c>
      <c r="AA415" s="22">
        <f t="shared" si="346"/>
        <v>1.5966639857229181E-2</v>
      </c>
      <c r="AB415" s="136"/>
      <c r="AC415" s="175">
        <v>206.49</v>
      </c>
      <c r="AD415" s="175">
        <v>20.22</v>
      </c>
      <c r="AE415" s="12">
        <v>0</v>
      </c>
      <c r="AF415" s="12">
        <v>226.71</v>
      </c>
      <c r="AG415" s="22">
        <f t="shared" si="345"/>
        <v>8.9188831546910138E-2</v>
      </c>
      <c r="AH415" s="136"/>
      <c r="AI415" s="6" t="s">
        <v>42</v>
      </c>
      <c r="AJ415" s="175">
        <v>285.39000000000004</v>
      </c>
      <c r="AK415" s="12">
        <v>1030.17</v>
      </c>
      <c r="AL415" s="382">
        <f t="shared" ref="AL415:AL427" si="352">AJ415/AK415</f>
        <v>0.27703194618363963</v>
      </c>
      <c r="AM415" s="136"/>
      <c r="AN415" s="118" t="s">
        <v>13</v>
      </c>
      <c r="AO415" s="343">
        <v>279.2</v>
      </c>
      <c r="AP415" s="343">
        <v>3207.9800000000005</v>
      </c>
      <c r="AQ415" s="190">
        <f t="shared" si="351"/>
        <v>8.7032961552129362E-2</v>
      </c>
      <c r="AR415" s="136"/>
      <c r="AS415" s="136"/>
      <c r="AT415" s="136"/>
      <c r="AU415" s="136"/>
      <c r="AV415" s="136"/>
      <c r="AW415" s="136"/>
      <c r="AX415" s="136"/>
      <c r="AY415" s="136"/>
      <c r="AZ415" s="136"/>
      <c r="BA415" s="136"/>
      <c r="BB415" s="136"/>
      <c r="BC415" s="136"/>
      <c r="BD415" s="136"/>
      <c r="BE415" s="136"/>
      <c r="BF415" s="136"/>
      <c r="BG415" s="136"/>
      <c r="BH415" s="136"/>
      <c r="BI415" s="136"/>
      <c r="BJ415" s="136"/>
      <c r="BK415" s="136"/>
      <c r="BL415" s="136"/>
      <c r="BM415" s="136"/>
      <c r="BN415" s="136"/>
      <c r="BO415" s="136"/>
      <c r="BP415" s="136"/>
      <c r="BQ415" s="136"/>
      <c r="BR415" s="136"/>
      <c r="BS415" s="136"/>
      <c r="BT415" s="136"/>
      <c r="BU415" s="136"/>
      <c r="BV415" s="136"/>
      <c r="BW415" s="136"/>
      <c r="BX415" s="136"/>
      <c r="BY415" s="136"/>
      <c r="BZ415" s="136"/>
      <c r="CA415" s="136"/>
      <c r="CB415" s="136"/>
      <c r="CC415" s="136"/>
      <c r="CD415" s="136"/>
      <c r="CE415" s="136"/>
      <c r="CF415" s="136"/>
      <c r="CG415" s="136"/>
      <c r="CH415" s="136"/>
      <c r="CI415" s="136"/>
      <c r="CJ415" s="136"/>
      <c r="CK415" s="136"/>
      <c r="CL415" s="136"/>
      <c r="CM415" s="136"/>
      <c r="CN415" s="136"/>
      <c r="CO415" s="136"/>
      <c r="CP415" s="136"/>
      <c r="CQ415" s="136"/>
      <c r="CR415" s="136"/>
      <c r="CS415" s="136"/>
      <c r="CT415" s="136"/>
      <c r="CU415" s="136"/>
      <c r="CV415" s="136"/>
      <c r="CW415" s="136"/>
      <c r="CX415" s="136"/>
      <c r="CY415" s="136"/>
      <c r="CZ415" s="136"/>
      <c r="DA415" s="136"/>
      <c r="DB415" s="136"/>
      <c r="DC415" s="136"/>
      <c r="DD415" s="136"/>
      <c r="DE415" s="136"/>
      <c r="DF415" s="136"/>
      <c r="DG415" s="136"/>
      <c r="DH415" s="136"/>
      <c r="DI415" s="136"/>
      <c r="DJ415" s="136"/>
      <c r="DK415" s="136"/>
      <c r="DL415" s="136"/>
      <c r="DM415" s="136"/>
      <c r="DN415" s="136"/>
      <c r="DO415" s="136"/>
      <c r="DP415" s="136"/>
      <c r="DQ415" s="136"/>
      <c r="DR415" s="136"/>
      <c r="DS415" s="136"/>
      <c r="DT415" s="136"/>
      <c r="DU415" s="136"/>
      <c r="DV415" s="136"/>
      <c r="DW415" s="136"/>
      <c r="DX415" s="136"/>
      <c r="DY415" s="136"/>
      <c r="DZ415" s="136"/>
      <c r="EA415" s="136"/>
      <c r="EB415" s="136"/>
      <c r="EC415" s="136"/>
      <c r="ED415" s="136"/>
      <c r="EE415" s="136"/>
      <c r="EF415" s="136"/>
      <c r="EG415" s="136"/>
      <c r="EH415" s="136"/>
      <c r="EI415" s="136"/>
      <c r="EJ415" s="136"/>
      <c r="EK415" s="136"/>
      <c r="EL415" s="136"/>
      <c r="EM415" s="136"/>
      <c r="EN415" s="136"/>
      <c r="EO415" s="136"/>
      <c r="EP415" s="136"/>
      <c r="EQ415" s="136"/>
      <c r="ER415" s="136"/>
      <c r="ES415" s="136"/>
      <c r="ET415" s="136"/>
      <c r="EU415" s="136"/>
      <c r="EV415" s="136"/>
      <c r="EW415" s="136"/>
      <c r="EX415" s="136"/>
      <c r="EY415" s="136"/>
      <c r="EZ415" s="136"/>
      <c r="FA415" s="136"/>
      <c r="FB415" s="136"/>
      <c r="FC415" s="136"/>
      <c r="FD415" s="136"/>
      <c r="FE415" s="136"/>
      <c r="FF415" s="136"/>
      <c r="FG415" s="136"/>
      <c r="FH415" s="136"/>
      <c r="FI415" s="136"/>
      <c r="FJ415" s="136"/>
      <c r="FK415" s="136"/>
      <c r="FL415" s="136"/>
      <c r="FM415" s="136"/>
      <c r="FN415" s="136"/>
      <c r="FO415" s="136"/>
      <c r="FP415" s="136"/>
      <c r="FQ415" s="136"/>
      <c r="FR415" s="136"/>
      <c r="FS415" s="136"/>
      <c r="FT415" s="136"/>
      <c r="FU415" s="136"/>
      <c r="FV415" s="136"/>
      <c r="FW415" s="136"/>
      <c r="FX415" s="136"/>
      <c r="FY415" s="136"/>
      <c r="FZ415" s="136"/>
      <c r="GA415" s="136"/>
      <c r="GB415" s="136"/>
      <c r="GC415" s="136"/>
      <c r="GD415" s="136"/>
      <c r="GE415" s="136"/>
      <c r="GF415" s="136"/>
      <c r="GG415" s="136"/>
      <c r="GH415" s="136"/>
      <c r="GI415" s="136"/>
      <c r="GJ415" s="136"/>
      <c r="GK415" s="136"/>
      <c r="GL415" s="136"/>
    </row>
    <row r="416" spans="1:194" x14ac:dyDescent="0.35">
      <c r="A416" s="6" t="s">
        <v>40</v>
      </c>
      <c r="B416" s="12">
        <v>132.35999999999996</v>
      </c>
      <c r="C416" s="12">
        <v>3.2</v>
      </c>
      <c r="D416" s="12"/>
      <c r="E416" s="12"/>
      <c r="F416" s="12"/>
      <c r="G416" s="12">
        <v>6.9</v>
      </c>
      <c r="H416" s="12">
        <v>6.29</v>
      </c>
      <c r="I416" s="12">
        <v>0.79</v>
      </c>
      <c r="J416" s="12">
        <v>3.32</v>
      </c>
      <c r="K416" s="12">
        <v>2.27</v>
      </c>
      <c r="L416" s="12"/>
      <c r="M416" s="12">
        <v>0.89</v>
      </c>
      <c r="N416" s="12">
        <v>1.04</v>
      </c>
      <c r="O416" s="12">
        <v>3.5</v>
      </c>
      <c r="P416" s="12">
        <v>0.87</v>
      </c>
      <c r="Q416" s="12">
        <v>0.73</v>
      </c>
      <c r="R416" s="12">
        <v>17.78</v>
      </c>
      <c r="S416" s="12">
        <v>22.610000000000003</v>
      </c>
      <c r="T416" s="12">
        <v>16.670000000000002</v>
      </c>
      <c r="U416" s="12">
        <v>7.9499999999999993</v>
      </c>
      <c r="V416" s="12">
        <v>16.3</v>
      </c>
      <c r="W416" s="12">
        <v>7.88</v>
      </c>
      <c r="X416" s="12">
        <v>0.49</v>
      </c>
      <c r="Y416" s="12"/>
      <c r="Z416" s="12">
        <f t="shared" si="344"/>
        <v>251.83999999999992</v>
      </c>
      <c r="AA416" s="22">
        <f t="shared" si="346"/>
        <v>1.7736485296831174E-2</v>
      </c>
      <c r="AB416" s="136"/>
      <c r="AC416" s="175">
        <v>227.1699999999999</v>
      </c>
      <c r="AD416" s="175">
        <v>24.669999999999998</v>
      </c>
      <c r="AE416" s="12">
        <v>0</v>
      </c>
      <c r="AF416" s="12">
        <v>251.83999999999989</v>
      </c>
      <c r="AG416" s="22">
        <f t="shared" si="345"/>
        <v>9.7959021601016549E-2</v>
      </c>
      <c r="AH416" s="136"/>
      <c r="AI416" s="6" t="s">
        <v>26</v>
      </c>
      <c r="AJ416" s="175">
        <v>237.98</v>
      </c>
      <c r="AK416" s="12">
        <v>2266.63</v>
      </c>
      <c r="AL416" s="382">
        <f t="shared" si="352"/>
        <v>0.10499287488474077</v>
      </c>
      <c r="AM416" s="136"/>
      <c r="AN416" s="118" t="s">
        <v>22</v>
      </c>
      <c r="AO416" s="343">
        <v>141.15999999999997</v>
      </c>
      <c r="AP416" s="343">
        <v>1570.8700000000001</v>
      </c>
      <c r="AQ416" s="190">
        <f t="shared" si="351"/>
        <v>8.9861032421524351E-2</v>
      </c>
      <c r="AR416" s="136"/>
      <c r="AS416" s="136"/>
      <c r="AT416" s="136"/>
      <c r="AU416" s="136"/>
      <c r="AV416" s="136"/>
      <c r="AW416" s="136"/>
      <c r="AX416" s="136"/>
      <c r="AY416" s="136"/>
      <c r="AZ416" s="136"/>
      <c r="BA416" s="136"/>
      <c r="BB416" s="136"/>
      <c r="BC416" s="136"/>
      <c r="BD416" s="136"/>
      <c r="BE416" s="136"/>
      <c r="BF416" s="136"/>
      <c r="BG416" s="136"/>
      <c r="BH416" s="136"/>
      <c r="BI416" s="136"/>
      <c r="BJ416" s="136"/>
      <c r="BK416" s="136"/>
      <c r="BL416" s="136"/>
      <c r="BM416" s="136"/>
      <c r="BN416" s="136"/>
      <c r="BO416" s="136"/>
      <c r="BP416" s="136"/>
      <c r="BQ416" s="136"/>
      <c r="BR416" s="136"/>
      <c r="BS416" s="136"/>
      <c r="BT416" s="136"/>
      <c r="BU416" s="136"/>
      <c r="BV416" s="136"/>
      <c r="BW416" s="136"/>
      <c r="BX416" s="136"/>
      <c r="BY416" s="136"/>
      <c r="BZ416" s="136"/>
      <c r="CA416" s="136"/>
      <c r="CB416" s="136"/>
      <c r="CC416" s="136"/>
      <c r="CD416" s="136"/>
      <c r="CE416" s="136"/>
      <c r="CF416" s="136"/>
      <c r="CG416" s="136"/>
      <c r="CH416" s="136"/>
      <c r="CI416" s="136"/>
      <c r="CJ416" s="136"/>
      <c r="CK416" s="136"/>
      <c r="CL416" s="136"/>
      <c r="CM416" s="136"/>
      <c r="CN416" s="136"/>
      <c r="CO416" s="136"/>
      <c r="CP416" s="136"/>
      <c r="CQ416" s="136"/>
      <c r="CR416" s="136"/>
      <c r="CS416" s="136"/>
      <c r="CT416" s="136"/>
      <c r="CU416" s="136"/>
      <c r="CV416" s="136"/>
      <c r="CW416" s="136"/>
      <c r="CX416" s="136"/>
      <c r="CY416" s="136"/>
      <c r="CZ416" s="136"/>
      <c r="DA416" s="136"/>
      <c r="DB416" s="136"/>
      <c r="DC416" s="136"/>
      <c r="DD416" s="136"/>
      <c r="DE416" s="136"/>
      <c r="DF416" s="136"/>
      <c r="DG416" s="136"/>
      <c r="DH416" s="136"/>
      <c r="DI416" s="136"/>
      <c r="DJ416" s="136"/>
      <c r="DK416" s="136"/>
      <c r="DL416" s="136"/>
      <c r="DM416" s="136"/>
      <c r="DN416" s="136"/>
      <c r="DO416" s="136"/>
      <c r="DP416" s="136"/>
      <c r="DQ416" s="136"/>
      <c r="DR416" s="136"/>
      <c r="DS416" s="136"/>
      <c r="DT416" s="136"/>
      <c r="DU416" s="136"/>
      <c r="DV416" s="136"/>
      <c r="DW416" s="136"/>
      <c r="DX416" s="136"/>
      <c r="DY416" s="136"/>
      <c r="DZ416" s="136"/>
      <c r="EA416" s="136"/>
      <c r="EB416" s="136"/>
      <c r="EC416" s="136"/>
      <c r="ED416" s="136"/>
      <c r="EE416" s="136"/>
      <c r="EF416" s="136"/>
      <c r="EG416" s="136"/>
      <c r="EH416" s="136"/>
      <c r="EI416" s="136"/>
      <c r="EJ416" s="136"/>
      <c r="EK416" s="136"/>
      <c r="EL416" s="136"/>
      <c r="EM416" s="136"/>
      <c r="EN416" s="136"/>
      <c r="EO416" s="136"/>
      <c r="EP416" s="136"/>
      <c r="EQ416" s="136"/>
      <c r="ER416" s="136"/>
      <c r="ES416" s="136"/>
      <c r="ET416" s="136"/>
      <c r="EU416" s="136"/>
      <c r="EV416" s="136"/>
      <c r="EW416" s="136"/>
      <c r="EX416" s="136"/>
      <c r="EY416" s="136"/>
      <c r="EZ416" s="136"/>
      <c r="FA416" s="136"/>
      <c r="FB416" s="136"/>
      <c r="FC416" s="136"/>
      <c r="FD416" s="136"/>
      <c r="FE416" s="136"/>
      <c r="FF416" s="136"/>
      <c r="FG416" s="136"/>
      <c r="FH416" s="136"/>
      <c r="FI416" s="136"/>
      <c r="FJ416" s="136"/>
      <c r="FK416" s="136"/>
      <c r="FL416" s="136"/>
      <c r="FM416" s="136"/>
      <c r="FN416" s="136"/>
      <c r="FO416" s="136"/>
      <c r="FP416" s="136"/>
      <c r="FQ416" s="136"/>
      <c r="FR416" s="136"/>
      <c r="FS416" s="136"/>
      <c r="FT416" s="136"/>
      <c r="FU416" s="136"/>
      <c r="FV416" s="136"/>
      <c r="FW416" s="136"/>
      <c r="FX416" s="136"/>
      <c r="FY416" s="136"/>
      <c r="FZ416" s="136"/>
      <c r="GA416" s="136"/>
      <c r="GB416" s="136"/>
      <c r="GC416" s="136"/>
      <c r="GD416" s="136"/>
      <c r="GE416" s="136"/>
      <c r="GF416" s="136"/>
      <c r="GG416" s="136"/>
      <c r="GH416" s="136"/>
      <c r="GI416" s="136"/>
      <c r="GJ416" s="136"/>
      <c r="GK416" s="136"/>
      <c r="GL416" s="136"/>
    </row>
    <row r="417" spans="1:43" x14ac:dyDescent="0.35">
      <c r="A417" s="118" t="s">
        <v>15</v>
      </c>
      <c r="B417" s="119">
        <f t="shared" ref="B417:Y417" si="353">SUM(B418:B422)</f>
        <v>256.18</v>
      </c>
      <c r="C417" s="119">
        <f t="shared" si="353"/>
        <v>162.69000000000003</v>
      </c>
      <c r="D417" s="119">
        <f t="shared" si="353"/>
        <v>3.7</v>
      </c>
      <c r="E417" s="119">
        <f t="shared" si="353"/>
        <v>2.31</v>
      </c>
      <c r="F417" s="119">
        <f t="shared" si="353"/>
        <v>0</v>
      </c>
      <c r="G417" s="119">
        <f t="shared" si="353"/>
        <v>35.99</v>
      </c>
      <c r="H417" s="119">
        <f t="shared" si="353"/>
        <v>73.23</v>
      </c>
      <c r="I417" s="119">
        <f t="shared" si="353"/>
        <v>138.75</v>
      </c>
      <c r="J417" s="119">
        <f t="shared" si="353"/>
        <v>29.740000000000002</v>
      </c>
      <c r="K417" s="119">
        <f t="shared" si="353"/>
        <v>63.02</v>
      </c>
      <c r="L417" s="119">
        <f t="shared" si="353"/>
        <v>33.590000000000003</v>
      </c>
      <c r="M417" s="119">
        <f t="shared" si="353"/>
        <v>77.95</v>
      </c>
      <c r="N417" s="119">
        <f t="shared" si="353"/>
        <v>7.78</v>
      </c>
      <c r="O417" s="119">
        <f t="shared" si="353"/>
        <v>9.8999999999999986</v>
      </c>
      <c r="P417" s="119">
        <f t="shared" si="353"/>
        <v>77.300000000000011</v>
      </c>
      <c r="Q417" s="119">
        <f t="shared" si="353"/>
        <v>163.31</v>
      </c>
      <c r="R417" s="119">
        <f t="shared" si="353"/>
        <v>757.29</v>
      </c>
      <c r="S417" s="119">
        <f t="shared" si="353"/>
        <v>819.18000000000006</v>
      </c>
      <c r="T417" s="119">
        <f t="shared" si="353"/>
        <v>461.98999999999995</v>
      </c>
      <c r="U417" s="119">
        <f t="shared" si="353"/>
        <v>265.72000000000003</v>
      </c>
      <c r="V417" s="119">
        <f t="shared" si="353"/>
        <v>200.92000000000002</v>
      </c>
      <c r="W417" s="119">
        <f t="shared" si="353"/>
        <v>170.44000000000003</v>
      </c>
      <c r="X417" s="119">
        <f t="shared" si="353"/>
        <v>321.7700000000001</v>
      </c>
      <c r="Y417" s="119">
        <f t="shared" si="353"/>
        <v>4.66</v>
      </c>
      <c r="Z417" s="119">
        <f t="shared" si="344"/>
        <v>4137.41</v>
      </c>
      <c r="AA417" s="143">
        <f t="shared" si="346"/>
        <v>0.29138783208371305</v>
      </c>
      <c r="AC417" s="119">
        <v>3439.62</v>
      </c>
      <c r="AD417" s="119">
        <v>693.13000000000011</v>
      </c>
      <c r="AE417" s="119">
        <v>4.66</v>
      </c>
      <c r="AF417" s="119">
        <v>4137.41</v>
      </c>
      <c r="AG417" s="143">
        <f t="shared" si="345"/>
        <v>0.16752751117244849</v>
      </c>
      <c r="AI417" s="6" t="s">
        <v>8</v>
      </c>
      <c r="AJ417" s="175">
        <v>234.62</v>
      </c>
      <c r="AK417" s="12">
        <v>286.73</v>
      </c>
      <c r="AL417" s="382">
        <f t="shared" si="352"/>
        <v>0.81826108185400892</v>
      </c>
      <c r="AN417" s="118" t="s">
        <v>23</v>
      </c>
      <c r="AO417" s="343">
        <v>92.83</v>
      </c>
      <c r="AP417" s="343">
        <v>179.85</v>
      </c>
      <c r="AQ417" s="190">
        <f t="shared" si="351"/>
        <v>0.51615234917987207</v>
      </c>
    </row>
    <row r="418" spans="1:43" x14ac:dyDescent="0.35">
      <c r="A418" s="6" t="s">
        <v>41</v>
      </c>
      <c r="B418" s="12">
        <v>215.25</v>
      </c>
      <c r="C418" s="12">
        <v>144.60000000000002</v>
      </c>
      <c r="D418" s="12"/>
      <c r="E418" s="12">
        <v>1.19</v>
      </c>
      <c r="F418" s="12"/>
      <c r="G418" s="12">
        <v>31.61</v>
      </c>
      <c r="H418" s="12">
        <v>72.52</v>
      </c>
      <c r="I418" s="12">
        <v>123.38</v>
      </c>
      <c r="J418" s="12">
        <v>8.82</v>
      </c>
      <c r="K418" s="12">
        <v>57.6</v>
      </c>
      <c r="L418" s="12">
        <v>23.930000000000003</v>
      </c>
      <c r="M418" s="12">
        <v>42.18</v>
      </c>
      <c r="N418" s="12">
        <v>4.99</v>
      </c>
      <c r="O418" s="12">
        <v>4.8599999999999994</v>
      </c>
      <c r="P418" s="12">
        <v>41.31</v>
      </c>
      <c r="Q418" s="12">
        <v>65.69</v>
      </c>
      <c r="R418" s="12">
        <v>195.56</v>
      </c>
      <c r="S418" s="12">
        <v>478.84000000000003</v>
      </c>
      <c r="T418" s="12">
        <v>226.97999999999996</v>
      </c>
      <c r="U418" s="12">
        <v>44.96</v>
      </c>
      <c r="V418" s="12">
        <v>57.58</v>
      </c>
      <c r="W418" s="12">
        <v>18.98</v>
      </c>
      <c r="X418" s="12">
        <v>215.97000000000003</v>
      </c>
      <c r="Y418" s="54">
        <v>0.32</v>
      </c>
      <c r="Z418" s="12">
        <f t="shared" si="344"/>
        <v>2077.1200000000003</v>
      </c>
      <c r="AA418" s="22">
        <f t="shared" si="346"/>
        <v>0.14628656424616418</v>
      </c>
      <c r="AC418" s="175">
        <v>1784.27</v>
      </c>
      <c r="AD418" s="175">
        <v>292.53000000000003</v>
      </c>
      <c r="AE418" s="12">
        <v>0.32</v>
      </c>
      <c r="AF418" s="12">
        <v>2077.1200000000003</v>
      </c>
      <c r="AG418" s="22">
        <f t="shared" si="345"/>
        <v>0.14083442458789092</v>
      </c>
      <c r="AI418" s="6" t="s">
        <v>33</v>
      </c>
      <c r="AJ418" s="89">
        <v>217.24</v>
      </c>
      <c r="AK418" s="12">
        <v>504.8</v>
      </c>
      <c r="AL418" s="382">
        <f t="shared" si="352"/>
        <v>0.4303486529318542</v>
      </c>
      <c r="AN418" s="118" t="s">
        <v>17</v>
      </c>
      <c r="AO418" s="343">
        <v>80.260000000000005</v>
      </c>
      <c r="AP418" s="343">
        <v>232.11000000000004</v>
      </c>
      <c r="AQ418" s="190">
        <f t="shared" si="351"/>
        <v>0.34578432639696693</v>
      </c>
    </row>
    <row r="419" spans="1:43" x14ac:dyDescent="0.35">
      <c r="A419" s="6" t="s">
        <v>42</v>
      </c>
      <c r="B419" s="12">
        <v>10.209999999999999</v>
      </c>
      <c r="C419" s="12"/>
      <c r="D419" s="12">
        <v>3.7</v>
      </c>
      <c r="E419" s="12"/>
      <c r="F419" s="12"/>
      <c r="G419" s="12"/>
      <c r="H419" s="54">
        <v>0.01</v>
      </c>
      <c r="I419" s="54">
        <v>0.33</v>
      </c>
      <c r="J419" s="12">
        <v>4.66</v>
      </c>
      <c r="K419" s="12">
        <v>3.99</v>
      </c>
      <c r="L419" s="12">
        <v>1.31</v>
      </c>
      <c r="M419" s="12"/>
      <c r="N419" s="12"/>
      <c r="O419" s="12"/>
      <c r="P419" s="12"/>
      <c r="Q419" s="12">
        <v>17.91</v>
      </c>
      <c r="R419" s="12">
        <v>129.60999999999999</v>
      </c>
      <c r="S419" s="12">
        <v>205.38000000000002</v>
      </c>
      <c r="T419" s="12">
        <v>170.17000000000002</v>
      </c>
      <c r="U419" s="12">
        <v>193.43</v>
      </c>
      <c r="V419" s="12">
        <v>118.83000000000001</v>
      </c>
      <c r="W419" s="12">
        <v>118.57000000000001</v>
      </c>
      <c r="X419" s="12">
        <v>47.989999999999995</v>
      </c>
      <c r="Y419" s="12">
        <v>4.0699999999999994</v>
      </c>
      <c r="Z419" s="12">
        <f t="shared" si="344"/>
        <v>1030.17</v>
      </c>
      <c r="AA419" s="22">
        <f t="shared" si="346"/>
        <v>7.2552394608626822E-2</v>
      </c>
      <c r="AC419" s="175">
        <v>740.71</v>
      </c>
      <c r="AD419" s="175">
        <v>285.39000000000004</v>
      </c>
      <c r="AE419" s="12">
        <v>4.0699999999999994</v>
      </c>
      <c r="AF419" s="12">
        <v>1030.17</v>
      </c>
      <c r="AG419" s="22">
        <f t="shared" si="345"/>
        <v>0.27703194618363963</v>
      </c>
      <c r="AI419" s="6" t="s">
        <v>34</v>
      </c>
      <c r="AJ419" s="175">
        <v>188.07999999999998</v>
      </c>
      <c r="AK419" s="12">
        <v>2510.7600000000002</v>
      </c>
      <c r="AL419" s="382">
        <f t="shared" si="352"/>
        <v>7.4909589128391393E-2</v>
      </c>
      <c r="AN419" s="118" t="s">
        <v>16</v>
      </c>
      <c r="AO419" s="343">
        <v>77.61</v>
      </c>
      <c r="AP419" s="343">
        <v>140.07999999999998</v>
      </c>
      <c r="AQ419" s="190">
        <f t="shared" si="351"/>
        <v>0.55404054825813831</v>
      </c>
    </row>
    <row r="420" spans="1:43" x14ac:dyDescent="0.35">
      <c r="A420" s="6" t="s">
        <v>43</v>
      </c>
      <c r="B420" s="12">
        <v>6.5299999999999994</v>
      </c>
      <c r="C420" s="12"/>
      <c r="D420" s="12"/>
      <c r="E420" s="12"/>
      <c r="F420" s="12"/>
      <c r="G420" s="12"/>
      <c r="H420" s="12">
        <v>0.7</v>
      </c>
      <c r="I420" s="12"/>
      <c r="J420" s="12"/>
      <c r="K420" s="12"/>
      <c r="L420" s="12"/>
      <c r="M420" s="12"/>
      <c r="N420" s="54">
        <v>0.45</v>
      </c>
      <c r="O420" s="12"/>
      <c r="P420" s="12"/>
      <c r="Q420" s="12"/>
      <c r="R420" s="12">
        <v>70.349999999999994</v>
      </c>
      <c r="S420" s="12">
        <v>41.739999999999995</v>
      </c>
      <c r="T420" s="12">
        <v>41.7</v>
      </c>
      <c r="U420" s="12">
        <v>23.7</v>
      </c>
      <c r="V420" s="12">
        <v>22.26</v>
      </c>
      <c r="W420" s="12">
        <v>12.49</v>
      </c>
      <c r="X420" s="12">
        <v>48.09</v>
      </c>
      <c r="Y420" s="12"/>
      <c r="Z420" s="12">
        <f t="shared" si="344"/>
        <v>268.01</v>
      </c>
      <c r="AA420" s="22">
        <f t="shared" si="346"/>
        <v>1.8875299493343888E-2</v>
      </c>
      <c r="AC420" s="175">
        <v>185.17</v>
      </c>
      <c r="AD420" s="175">
        <v>82.84</v>
      </c>
      <c r="AE420" s="12">
        <v>0</v>
      </c>
      <c r="AF420" s="12">
        <v>268.01</v>
      </c>
      <c r="AG420" s="22">
        <f t="shared" si="345"/>
        <v>0.3090929442931234</v>
      </c>
      <c r="AI420" s="6" t="s">
        <v>22</v>
      </c>
      <c r="AJ420" s="175">
        <v>141.15999999999997</v>
      </c>
      <c r="AK420" s="12">
        <v>1570.8700000000001</v>
      </c>
      <c r="AL420" s="382">
        <f t="shared" si="352"/>
        <v>8.9861032421524351E-2</v>
      </c>
    </row>
    <row r="421" spans="1:43" x14ac:dyDescent="0.35">
      <c r="A421" s="6" t="s">
        <v>44</v>
      </c>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v>0</v>
      </c>
      <c r="AA421" s="22">
        <f t="shared" si="346"/>
        <v>0</v>
      </c>
      <c r="AC421" s="175">
        <v>0</v>
      </c>
      <c r="AD421" s="175">
        <v>0</v>
      </c>
      <c r="AE421" s="12">
        <v>0</v>
      </c>
      <c r="AF421" s="12">
        <v>0</v>
      </c>
      <c r="AG421" s="22"/>
      <c r="AI421" s="6" t="s">
        <v>23</v>
      </c>
      <c r="AJ421" s="175">
        <v>92.83</v>
      </c>
      <c r="AK421" s="12">
        <v>179.85</v>
      </c>
      <c r="AL421" s="382">
        <f t="shared" si="352"/>
        <v>0.51615234917987207</v>
      </c>
    </row>
    <row r="422" spans="1:43" x14ac:dyDescent="0.35">
      <c r="A422" s="6" t="s">
        <v>45</v>
      </c>
      <c r="B422" s="12">
        <v>24.19</v>
      </c>
      <c r="C422" s="12">
        <v>18.09</v>
      </c>
      <c r="D422" s="12"/>
      <c r="E422" s="12">
        <v>1.1200000000000001</v>
      </c>
      <c r="F422" s="12"/>
      <c r="G422" s="12">
        <v>4.38</v>
      </c>
      <c r="H422" s="12"/>
      <c r="I422" s="12">
        <v>15.04</v>
      </c>
      <c r="J422" s="12">
        <v>16.260000000000002</v>
      </c>
      <c r="K422" s="12">
        <v>1.4300000000000002</v>
      </c>
      <c r="L422" s="12">
        <v>8.3500000000000014</v>
      </c>
      <c r="M422" s="12">
        <v>35.770000000000003</v>
      </c>
      <c r="N422" s="12">
        <v>2.34</v>
      </c>
      <c r="O422" s="12">
        <v>5.04</v>
      </c>
      <c r="P422" s="12">
        <v>35.99</v>
      </c>
      <c r="Q422" s="12">
        <v>79.710000000000008</v>
      </c>
      <c r="R422" s="12">
        <v>361.76999999999992</v>
      </c>
      <c r="S422" s="12">
        <v>93.22</v>
      </c>
      <c r="T422" s="12">
        <v>23.14</v>
      </c>
      <c r="U422" s="12">
        <v>3.63</v>
      </c>
      <c r="V422" s="12">
        <v>2.25</v>
      </c>
      <c r="W422" s="12">
        <v>20.399999999999999</v>
      </c>
      <c r="X422" s="12">
        <v>9.7200000000000006</v>
      </c>
      <c r="Y422" s="54">
        <v>0.27</v>
      </c>
      <c r="Z422" s="12">
        <f>SUM(B422:Y422)</f>
        <v>762.11</v>
      </c>
      <c r="AA422" s="22">
        <f t="shared" si="346"/>
        <v>5.3673573735578191E-2</v>
      </c>
      <c r="AC422" s="175">
        <v>729.47</v>
      </c>
      <c r="AD422" s="175">
        <v>32.369999999999997</v>
      </c>
      <c r="AE422" s="12">
        <v>0.27</v>
      </c>
      <c r="AF422" s="12">
        <v>762.11</v>
      </c>
      <c r="AG422" s="22">
        <f t="shared" si="345"/>
        <v>4.2474183516815152E-2</v>
      </c>
      <c r="AI422" s="6" t="s">
        <v>36</v>
      </c>
      <c r="AJ422" s="175">
        <v>83.509999999999991</v>
      </c>
      <c r="AK422" s="12">
        <v>653.15999999999985</v>
      </c>
      <c r="AL422" s="382">
        <f t="shared" si="352"/>
        <v>0.12785534937840654</v>
      </c>
    </row>
    <row r="423" spans="1:43" x14ac:dyDescent="0.35">
      <c r="A423" s="118" t="s">
        <v>16</v>
      </c>
      <c r="B423" s="130">
        <f t="shared" ref="B423:Y423" si="354">SUM(B424:B431)</f>
        <v>0.48</v>
      </c>
      <c r="C423" s="119">
        <f t="shared" si="354"/>
        <v>0</v>
      </c>
      <c r="D423" s="119">
        <f t="shared" si="354"/>
        <v>0</v>
      </c>
      <c r="E423" s="119">
        <f t="shared" si="354"/>
        <v>0</v>
      </c>
      <c r="F423" s="119">
        <f t="shared" si="354"/>
        <v>0</v>
      </c>
      <c r="G423" s="119">
        <f t="shared" si="354"/>
        <v>0</v>
      </c>
      <c r="H423" s="119">
        <f t="shared" si="354"/>
        <v>2.1800000000000002</v>
      </c>
      <c r="I423" s="119">
        <f t="shared" si="354"/>
        <v>0</v>
      </c>
      <c r="J423" s="119">
        <f t="shared" si="354"/>
        <v>0</v>
      </c>
      <c r="K423" s="119">
        <f t="shared" si="354"/>
        <v>0</v>
      </c>
      <c r="L423" s="119">
        <f t="shared" si="354"/>
        <v>0</v>
      </c>
      <c r="M423" s="119">
        <f t="shared" si="354"/>
        <v>1.05</v>
      </c>
      <c r="N423" s="119">
        <f t="shared" si="354"/>
        <v>0</v>
      </c>
      <c r="O423" s="119">
        <f t="shared" si="354"/>
        <v>0</v>
      </c>
      <c r="P423" s="131">
        <f t="shared" si="354"/>
        <v>7.0000000000000007E-2</v>
      </c>
      <c r="Q423" s="119">
        <f t="shared" si="354"/>
        <v>0</v>
      </c>
      <c r="R423" s="119">
        <f t="shared" si="354"/>
        <v>8.3000000000000007</v>
      </c>
      <c r="S423" s="119">
        <f t="shared" si="354"/>
        <v>17.79</v>
      </c>
      <c r="T423" s="119">
        <f t="shared" si="354"/>
        <v>13.54</v>
      </c>
      <c r="U423" s="119">
        <f t="shared" si="354"/>
        <v>19.059999999999999</v>
      </c>
      <c r="V423" s="119">
        <f t="shared" si="354"/>
        <v>32.33</v>
      </c>
      <c r="W423" s="119">
        <f t="shared" si="354"/>
        <v>33.299999999999997</v>
      </c>
      <c r="X423" s="119">
        <f t="shared" si="354"/>
        <v>11.98</v>
      </c>
      <c r="Y423" s="119">
        <f t="shared" si="354"/>
        <v>0</v>
      </c>
      <c r="Z423" s="119">
        <f>SUM(B423:Y423)</f>
        <v>140.07999999999998</v>
      </c>
      <c r="AA423" s="143">
        <f t="shared" si="346"/>
        <v>9.8654973807977744E-3</v>
      </c>
      <c r="AC423" s="119">
        <v>62.47</v>
      </c>
      <c r="AD423" s="119">
        <v>77.61</v>
      </c>
      <c r="AE423" s="119">
        <v>0</v>
      </c>
      <c r="AF423" s="119">
        <v>140.07999999999998</v>
      </c>
      <c r="AG423" s="143">
        <f t="shared" si="345"/>
        <v>0.55404054825813831</v>
      </c>
      <c r="AI423" s="6" t="s">
        <v>43</v>
      </c>
      <c r="AJ423" s="175">
        <v>82.84</v>
      </c>
      <c r="AK423" s="12">
        <v>268.01</v>
      </c>
      <c r="AL423" s="382">
        <f t="shared" si="352"/>
        <v>0.3090929442931234</v>
      </c>
    </row>
    <row r="424" spans="1:43" x14ac:dyDescent="0.35">
      <c r="A424" s="6" t="s">
        <v>46</v>
      </c>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v>0</v>
      </c>
      <c r="AA424" s="22">
        <f t="shared" si="346"/>
        <v>0</v>
      </c>
      <c r="AC424" s="175">
        <v>0</v>
      </c>
      <c r="AD424" s="175">
        <v>0</v>
      </c>
      <c r="AE424" s="12">
        <v>0</v>
      </c>
      <c r="AF424" s="12">
        <v>0</v>
      </c>
      <c r="AG424" s="22"/>
      <c r="AI424" s="5" t="s">
        <v>53</v>
      </c>
      <c r="AJ424" s="175">
        <v>75.36</v>
      </c>
      <c r="AK424" s="207">
        <v>129.61000000000001</v>
      </c>
      <c r="AL424" s="527">
        <f t="shared" si="352"/>
        <v>0.58143661754494247</v>
      </c>
    </row>
    <row r="425" spans="1:43" x14ac:dyDescent="0.35">
      <c r="A425" s="6" t="s">
        <v>47</v>
      </c>
      <c r="B425" s="12"/>
      <c r="C425" s="12"/>
      <c r="D425" s="12"/>
      <c r="E425" s="12"/>
      <c r="F425" s="12"/>
      <c r="G425" s="12"/>
      <c r="H425" s="12"/>
      <c r="I425" s="12"/>
      <c r="J425" s="12"/>
      <c r="K425" s="12"/>
      <c r="L425" s="12"/>
      <c r="M425" s="12"/>
      <c r="N425" s="12"/>
      <c r="O425" s="12"/>
      <c r="P425" s="12"/>
      <c r="Q425" s="12"/>
      <c r="R425" s="12"/>
      <c r="S425" s="12">
        <v>1.22</v>
      </c>
      <c r="T425" s="12"/>
      <c r="U425" s="12"/>
      <c r="V425" s="12"/>
      <c r="W425" s="12"/>
      <c r="X425" s="12"/>
      <c r="Y425" s="12"/>
      <c r="Z425" s="12">
        <f>SUM(B425:Y425)</f>
        <v>1.22</v>
      </c>
      <c r="AA425" s="22">
        <f t="shared" si="346"/>
        <v>8.5921664795640256E-5</v>
      </c>
      <c r="AC425" s="175">
        <v>1.22</v>
      </c>
      <c r="AD425" s="175">
        <v>0</v>
      </c>
      <c r="AE425" s="12">
        <v>0</v>
      </c>
      <c r="AF425" s="12">
        <v>1.22</v>
      </c>
      <c r="AG425" s="22">
        <f t="shared" si="345"/>
        <v>0</v>
      </c>
      <c r="AI425" s="5" t="s">
        <v>31</v>
      </c>
      <c r="AJ425" s="175">
        <v>57.58</v>
      </c>
      <c r="AK425" s="207">
        <v>225.92000000000004</v>
      </c>
      <c r="AL425" s="527">
        <f t="shared" si="352"/>
        <v>0.25486898016997162</v>
      </c>
    </row>
    <row r="426" spans="1:43" x14ac:dyDescent="0.35">
      <c r="A426" s="6" t="s">
        <v>48</v>
      </c>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v>0</v>
      </c>
      <c r="AA426" s="22">
        <f t="shared" si="346"/>
        <v>0</v>
      </c>
      <c r="AC426" s="175">
        <v>0</v>
      </c>
      <c r="AD426" s="175">
        <v>0</v>
      </c>
      <c r="AE426" s="12">
        <v>0</v>
      </c>
      <c r="AF426" s="12">
        <v>0</v>
      </c>
      <c r="AG426" s="22"/>
      <c r="AI426" s="5" t="s">
        <v>30</v>
      </c>
      <c r="AJ426" s="175">
        <v>49.019999999999996</v>
      </c>
      <c r="AK426" s="207">
        <v>290.19</v>
      </c>
      <c r="AL426" s="527">
        <f t="shared" si="352"/>
        <v>0.16892380853923292</v>
      </c>
    </row>
    <row r="427" spans="1:43" x14ac:dyDescent="0.35">
      <c r="A427" s="6" t="s">
        <v>49</v>
      </c>
      <c r="B427" s="12"/>
      <c r="C427" s="12"/>
      <c r="D427" s="12"/>
      <c r="E427" s="12"/>
      <c r="F427" s="12"/>
      <c r="G427" s="12"/>
      <c r="H427" s="12"/>
      <c r="I427" s="12"/>
      <c r="J427" s="12"/>
      <c r="K427" s="12"/>
      <c r="L427" s="12"/>
      <c r="M427" s="12"/>
      <c r="N427" s="12"/>
      <c r="O427" s="12"/>
      <c r="P427" s="12"/>
      <c r="Q427" s="12"/>
      <c r="R427" s="12"/>
      <c r="S427" s="12"/>
      <c r="T427" s="12"/>
      <c r="U427" s="12"/>
      <c r="V427" s="12"/>
      <c r="W427" s="12"/>
      <c r="X427" s="12">
        <v>1.8</v>
      </c>
      <c r="Y427" s="12"/>
      <c r="Z427" s="12">
        <v>1.8</v>
      </c>
      <c r="AA427" s="22">
        <f t="shared" si="346"/>
        <v>1.2676966937061676E-4</v>
      </c>
      <c r="AC427" s="175">
        <v>0</v>
      </c>
      <c r="AD427" s="175">
        <v>1.8</v>
      </c>
      <c r="AE427" s="12">
        <v>0</v>
      </c>
      <c r="AF427" s="12">
        <v>1.8</v>
      </c>
      <c r="AG427" s="22">
        <f t="shared" si="345"/>
        <v>1</v>
      </c>
      <c r="AI427" s="5" t="s">
        <v>56</v>
      </c>
      <c r="AJ427" s="175">
        <v>46.17</v>
      </c>
      <c r="AK427" s="207">
        <v>114.06</v>
      </c>
      <c r="AL427" s="527">
        <f t="shared" si="352"/>
        <v>0.40478695423461336</v>
      </c>
    </row>
    <row r="428" spans="1:43" x14ac:dyDescent="0.35">
      <c r="A428" s="6" t="s">
        <v>50</v>
      </c>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v>0</v>
      </c>
      <c r="AA428" s="22">
        <f t="shared" si="346"/>
        <v>0</v>
      </c>
      <c r="AC428" s="175">
        <v>0</v>
      </c>
      <c r="AD428" s="175">
        <v>0</v>
      </c>
      <c r="AE428" s="12">
        <v>0</v>
      </c>
      <c r="AF428" s="12">
        <v>0</v>
      </c>
      <c r="AG428" s="22"/>
      <c r="AI428" s="382"/>
    </row>
    <row r="429" spans="1:43" x14ac:dyDescent="0.35">
      <c r="A429" s="6" t="s">
        <v>52</v>
      </c>
      <c r="B429" s="12"/>
      <c r="C429" s="12"/>
      <c r="D429" s="12"/>
      <c r="E429" s="12"/>
      <c r="F429" s="12"/>
      <c r="G429" s="12"/>
      <c r="H429" s="12"/>
      <c r="I429" s="12"/>
      <c r="J429" s="12"/>
      <c r="K429" s="12"/>
      <c r="L429" s="12"/>
      <c r="M429" s="12"/>
      <c r="N429" s="12"/>
      <c r="O429" s="12"/>
      <c r="P429" s="12"/>
      <c r="Q429" s="12"/>
      <c r="R429" s="12"/>
      <c r="S429" s="12"/>
      <c r="T429" s="12">
        <v>2.0499999999999998</v>
      </c>
      <c r="U429" s="12"/>
      <c r="V429" s="12"/>
      <c r="W429" s="12"/>
      <c r="X429" s="12"/>
      <c r="Y429" s="12"/>
      <c r="Z429" s="12">
        <v>2.0499999999999998</v>
      </c>
      <c r="AA429" s="22">
        <f t="shared" si="346"/>
        <v>1.4437656789431354E-4</v>
      </c>
      <c r="AC429" s="175">
        <v>2.0499999999999998</v>
      </c>
      <c r="AD429" s="175">
        <v>0</v>
      </c>
      <c r="AE429" s="12">
        <v>0</v>
      </c>
      <c r="AF429" s="12">
        <v>2.0499999999999998</v>
      </c>
      <c r="AG429" s="22">
        <f t="shared" si="345"/>
        <v>0</v>
      </c>
      <c r="AI429" s="382"/>
    </row>
    <row r="430" spans="1:43" x14ac:dyDescent="0.35">
      <c r="A430" s="6" t="s">
        <v>53</v>
      </c>
      <c r="B430" s="54">
        <v>0.48</v>
      </c>
      <c r="C430" s="12"/>
      <c r="D430" s="12"/>
      <c r="E430" s="12"/>
      <c r="F430" s="12"/>
      <c r="G430" s="12"/>
      <c r="H430" s="12"/>
      <c r="I430" s="12"/>
      <c r="J430" s="12"/>
      <c r="K430" s="12"/>
      <c r="L430" s="12"/>
      <c r="M430" s="12">
        <v>1.05</v>
      </c>
      <c r="N430" s="12"/>
      <c r="O430" s="12"/>
      <c r="P430" s="54">
        <v>7.0000000000000007E-2</v>
      </c>
      <c r="Q430" s="12"/>
      <c r="R430" s="12">
        <v>8.3000000000000007</v>
      </c>
      <c r="S430" s="12">
        <v>16.57</v>
      </c>
      <c r="T430" s="12">
        <v>11.49</v>
      </c>
      <c r="U430" s="12">
        <v>16.29</v>
      </c>
      <c r="V430" s="12">
        <v>32.33</v>
      </c>
      <c r="W430" s="12">
        <v>33.299999999999997</v>
      </c>
      <c r="X430" s="12">
        <v>9.73</v>
      </c>
      <c r="Y430" s="12"/>
      <c r="Z430" s="12">
        <f t="shared" ref="Z430:Z437" si="355">SUM(B430:Y430)</f>
        <v>129.60999999999999</v>
      </c>
      <c r="AA430" s="22">
        <f t="shared" si="346"/>
        <v>9.1281204706253546E-3</v>
      </c>
      <c r="AC430" s="175">
        <v>54.25</v>
      </c>
      <c r="AD430" s="175">
        <v>75.36</v>
      </c>
      <c r="AE430" s="12">
        <v>0</v>
      </c>
      <c r="AF430" s="12">
        <v>129.61000000000001</v>
      </c>
      <c r="AG430" s="22">
        <f t="shared" si="345"/>
        <v>0.58143661754494247</v>
      </c>
      <c r="AI430" s="382"/>
    </row>
    <row r="431" spans="1:43" x14ac:dyDescent="0.35">
      <c r="A431" s="6" t="s">
        <v>54</v>
      </c>
      <c r="B431" s="12"/>
      <c r="C431" s="12"/>
      <c r="D431" s="12"/>
      <c r="E431" s="12"/>
      <c r="F431" s="12"/>
      <c r="G431" s="12"/>
      <c r="H431" s="12">
        <v>2.1800000000000002</v>
      </c>
      <c r="I431" s="12"/>
      <c r="J431" s="12"/>
      <c r="K431" s="12"/>
      <c r="L431" s="12"/>
      <c r="M431" s="12"/>
      <c r="N431" s="12"/>
      <c r="O431" s="12"/>
      <c r="P431" s="12"/>
      <c r="Q431" s="12"/>
      <c r="R431" s="12"/>
      <c r="S431" s="12"/>
      <c r="T431" s="12"/>
      <c r="U431" s="12">
        <v>2.77</v>
      </c>
      <c r="V431" s="12"/>
      <c r="W431" s="12"/>
      <c r="X431" s="54">
        <v>0.45</v>
      </c>
      <c r="Y431" s="54"/>
      <c r="Z431" s="12">
        <f t="shared" si="355"/>
        <v>5.4</v>
      </c>
      <c r="AA431" s="22">
        <f t="shared" si="346"/>
        <v>3.8030900811185034E-4</v>
      </c>
      <c r="AC431" s="175">
        <v>4.95</v>
      </c>
      <c r="AD431" s="175">
        <v>0.45</v>
      </c>
      <c r="AE431" s="12">
        <v>0</v>
      </c>
      <c r="AF431" s="12">
        <v>5.4</v>
      </c>
      <c r="AG431" s="22">
        <f t="shared" si="345"/>
        <v>8.3333333333333329E-2</v>
      </c>
      <c r="AI431" s="382"/>
    </row>
    <row r="432" spans="1:43" x14ac:dyDescent="0.35">
      <c r="A432" s="118" t="s">
        <v>18</v>
      </c>
      <c r="B432" s="130">
        <v>0.22</v>
      </c>
      <c r="C432" s="119"/>
      <c r="D432" s="119"/>
      <c r="E432" s="119"/>
      <c r="F432" s="119"/>
      <c r="G432" s="119"/>
      <c r="H432" s="119"/>
      <c r="I432" s="119"/>
      <c r="J432" s="119"/>
      <c r="K432" s="119"/>
      <c r="L432" s="119"/>
      <c r="M432" s="131">
        <v>0.06</v>
      </c>
      <c r="N432" s="119"/>
      <c r="O432" s="119"/>
      <c r="P432" s="119"/>
      <c r="Q432" s="119"/>
      <c r="R432" s="119"/>
      <c r="S432" s="119">
        <v>20.14</v>
      </c>
      <c r="T432" s="119">
        <v>2.35</v>
      </c>
      <c r="U432" s="130">
        <v>7.0000000000000007E-2</v>
      </c>
      <c r="V432" s="119"/>
      <c r="W432" s="119">
        <v>1.94</v>
      </c>
      <c r="X432" s="119"/>
      <c r="Y432" s="130">
        <v>0.05</v>
      </c>
      <c r="Z432" s="119">
        <f t="shared" si="355"/>
        <v>24.830000000000005</v>
      </c>
      <c r="AA432" s="143">
        <f t="shared" si="346"/>
        <v>1.7487171613735639E-3</v>
      </c>
      <c r="AC432" s="119">
        <v>22.840000000000003</v>
      </c>
      <c r="AD432" s="119">
        <v>1.94</v>
      </c>
      <c r="AE432" s="119">
        <v>0.05</v>
      </c>
      <c r="AF432" s="119">
        <v>24.830000000000005</v>
      </c>
      <c r="AG432" s="143">
        <f t="shared" si="345"/>
        <v>7.8131292790978635E-2</v>
      </c>
    </row>
    <row r="433" spans="1:33" x14ac:dyDescent="0.35">
      <c r="A433" s="6" t="s">
        <v>18</v>
      </c>
      <c r="B433" s="54">
        <v>0.22</v>
      </c>
      <c r="C433" s="54"/>
      <c r="D433" s="54"/>
      <c r="E433" s="54"/>
      <c r="F433" s="54"/>
      <c r="G433" s="54"/>
      <c r="H433" s="54"/>
      <c r="I433" s="54"/>
      <c r="J433" s="54"/>
      <c r="K433" s="54"/>
      <c r="L433" s="54"/>
      <c r="M433" s="54">
        <v>0.06</v>
      </c>
      <c r="N433" s="54"/>
      <c r="O433" s="54"/>
      <c r="P433" s="54"/>
      <c r="Q433" s="54"/>
      <c r="R433" s="54"/>
      <c r="S433" s="12">
        <v>20.14</v>
      </c>
      <c r="T433" s="12">
        <v>2.35</v>
      </c>
      <c r="U433" s="54">
        <v>7.0000000000000007E-2</v>
      </c>
      <c r="V433" s="54"/>
      <c r="W433" s="12">
        <v>1.94</v>
      </c>
      <c r="X433" s="54"/>
      <c r="Y433" s="54">
        <v>0.05</v>
      </c>
      <c r="Z433" s="12">
        <f t="shared" si="355"/>
        <v>24.830000000000005</v>
      </c>
      <c r="AA433" s="22">
        <f t="shared" si="346"/>
        <v>1.7487171613735639E-3</v>
      </c>
      <c r="AC433" s="175">
        <v>22.840000000000003</v>
      </c>
      <c r="AD433" s="175">
        <v>1.94</v>
      </c>
      <c r="AE433" s="12">
        <v>0.05</v>
      </c>
      <c r="AF433" s="12">
        <v>24.830000000000005</v>
      </c>
      <c r="AG433" s="22">
        <f t="shared" si="345"/>
        <v>7.8131292790978635E-2</v>
      </c>
    </row>
    <row r="434" spans="1:33" x14ac:dyDescent="0.35">
      <c r="A434" s="118" t="s">
        <v>17</v>
      </c>
      <c r="B434" s="119">
        <f t="shared" ref="B434:W434" si="356">SUM(B435:B436)</f>
        <v>0</v>
      </c>
      <c r="C434" s="119">
        <f t="shared" si="356"/>
        <v>0</v>
      </c>
      <c r="D434" s="119">
        <f t="shared" si="356"/>
        <v>0</v>
      </c>
      <c r="E434" s="119">
        <f t="shared" si="356"/>
        <v>0.26</v>
      </c>
      <c r="F434" s="119">
        <f t="shared" si="356"/>
        <v>0</v>
      </c>
      <c r="G434" s="119">
        <f t="shared" si="356"/>
        <v>0</v>
      </c>
      <c r="H434" s="119">
        <f t="shared" si="356"/>
        <v>1.61</v>
      </c>
      <c r="I434" s="119">
        <f t="shared" si="356"/>
        <v>0</v>
      </c>
      <c r="J434" s="119">
        <f t="shared" si="356"/>
        <v>0</v>
      </c>
      <c r="K434" s="119">
        <f t="shared" si="356"/>
        <v>0</v>
      </c>
      <c r="L434" s="119">
        <f t="shared" si="356"/>
        <v>0</v>
      </c>
      <c r="M434" s="119">
        <f t="shared" si="356"/>
        <v>9.32</v>
      </c>
      <c r="N434" s="119">
        <f t="shared" si="356"/>
        <v>0</v>
      </c>
      <c r="O434" s="119">
        <f t="shared" si="356"/>
        <v>10</v>
      </c>
      <c r="P434" s="119">
        <f t="shared" si="356"/>
        <v>2.87</v>
      </c>
      <c r="Q434" s="119">
        <f t="shared" si="356"/>
        <v>31.779999999999998</v>
      </c>
      <c r="R434" s="119">
        <f t="shared" si="356"/>
        <v>23.4</v>
      </c>
      <c r="S434" s="119">
        <f t="shared" si="356"/>
        <v>15.190000000000001</v>
      </c>
      <c r="T434" s="119">
        <f t="shared" si="356"/>
        <v>31.240000000000002</v>
      </c>
      <c r="U434" s="119">
        <f t="shared" si="356"/>
        <v>26.1</v>
      </c>
      <c r="V434" s="119">
        <f t="shared" si="356"/>
        <v>58.03</v>
      </c>
      <c r="W434" s="119">
        <f t="shared" si="356"/>
        <v>17.25</v>
      </c>
      <c r="X434" s="119">
        <v>4.9800000000000004</v>
      </c>
      <c r="Y434" s="119">
        <f>SUM(Y435:Y436)</f>
        <v>0.08</v>
      </c>
      <c r="Z434" s="119">
        <f t="shared" si="355"/>
        <v>232.11</v>
      </c>
      <c r="AA434" s="143">
        <f t="shared" si="346"/>
        <v>1.6346948865341032E-2</v>
      </c>
      <c r="AC434" s="119">
        <v>151.77000000000001</v>
      </c>
      <c r="AD434" s="119">
        <v>80.260000000000005</v>
      </c>
      <c r="AE434" s="119">
        <v>0.08</v>
      </c>
      <c r="AF434" s="119">
        <v>232.11000000000004</v>
      </c>
      <c r="AG434" s="143">
        <f t="shared" si="345"/>
        <v>0.34578432639696693</v>
      </c>
    </row>
    <row r="435" spans="1:33" x14ac:dyDescent="0.35">
      <c r="A435" s="6" t="s">
        <v>55</v>
      </c>
      <c r="B435" s="12"/>
      <c r="C435" s="12"/>
      <c r="D435" s="12"/>
      <c r="E435" s="12"/>
      <c r="F435" s="12"/>
      <c r="G435" s="12"/>
      <c r="H435" s="12">
        <v>1.61</v>
      </c>
      <c r="I435" s="12"/>
      <c r="J435" s="12"/>
      <c r="K435" s="12"/>
      <c r="L435" s="12"/>
      <c r="M435" s="12">
        <v>9.32</v>
      </c>
      <c r="N435" s="12"/>
      <c r="O435" s="12">
        <v>5.8</v>
      </c>
      <c r="P435" s="12">
        <v>2.87</v>
      </c>
      <c r="Q435" s="12">
        <v>12.899999999999999</v>
      </c>
      <c r="R435" s="12">
        <v>23.4</v>
      </c>
      <c r="S435" s="12">
        <v>15.170000000000002</v>
      </c>
      <c r="T435" s="12"/>
      <c r="U435" s="12">
        <v>12.89</v>
      </c>
      <c r="V435" s="12">
        <v>16.61</v>
      </c>
      <c r="W435" s="12">
        <v>12.5</v>
      </c>
      <c r="X435" s="12">
        <v>4.9799999999999995</v>
      </c>
      <c r="Y435" s="12"/>
      <c r="Z435" s="12">
        <f t="shared" si="355"/>
        <v>118.05</v>
      </c>
      <c r="AA435" s="22">
        <f t="shared" si="346"/>
        <v>8.3139774828896156E-3</v>
      </c>
      <c r="AC435" s="175">
        <v>83.96</v>
      </c>
      <c r="AD435" s="175">
        <v>34.089999999999996</v>
      </c>
      <c r="AE435" s="12">
        <v>0</v>
      </c>
      <c r="AF435" s="12">
        <v>118.04999999999998</v>
      </c>
      <c r="AG435" s="22">
        <f t="shared" si="345"/>
        <v>0.28877594239728932</v>
      </c>
    </row>
    <row r="436" spans="1:33" x14ac:dyDescent="0.35">
      <c r="A436" s="6" t="s">
        <v>56</v>
      </c>
      <c r="B436" s="12"/>
      <c r="C436" s="12"/>
      <c r="D436" s="12"/>
      <c r="E436" s="12">
        <v>0.26</v>
      </c>
      <c r="F436" s="12"/>
      <c r="G436" s="12"/>
      <c r="H436" s="12"/>
      <c r="I436" s="12"/>
      <c r="J436" s="12"/>
      <c r="K436" s="12"/>
      <c r="L436" s="12"/>
      <c r="M436" s="12"/>
      <c r="N436" s="12"/>
      <c r="O436" s="12">
        <v>4.2</v>
      </c>
      <c r="P436" s="12"/>
      <c r="Q436" s="12">
        <v>18.88</v>
      </c>
      <c r="R436" s="12"/>
      <c r="S436" s="12">
        <v>0.02</v>
      </c>
      <c r="T436" s="12">
        <v>31.240000000000002</v>
      </c>
      <c r="U436" s="12">
        <v>13.209999999999999</v>
      </c>
      <c r="V436" s="12">
        <v>41.42</v>
      </c>
      <c r="W436" s="12">
        <v>4.75</v>
      </c>
      <c r="X436" s="12"/>
      <c r="Y436" s="12">
        <v>0.08</v>
      </c>
      <c r="Z436" s="12">
        <f t="shared" si="355"/>
        <v>114.06</v>
      </c>
      <c r="AA436" s="22">
        <f t="shared" si="346"/>
        <v>8.0329713824514159E-3</v>
      </c>
      <c r="AC436" s="175">
        <v>67.81</v>
      </c>
      <c r="AD436" s="175">
        <v>46.17</v>
      </c>
      <c r="AE436" s="12">
        <v>0.08</v>
      </c>
      <c r="AF436" s="12">
        <v>114.06</v>
      </c>
      <c r="AG436" s="22">
        <f t="shared" si="345"/>
        <v>0.40478695423461336</v>
      </c>
    </row>
    <row r="437" spans="1:33" x14ac:dyDescent="0.35">
      <c r="A437" s="118" t="s">
        <v>20</v>
      </c>
      <c r="B437" s="119">
        <v>0.94</v>
      </c>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v>0.6</v>
      </c>
      <c r="Y437" s="119"/>
      <c r="Z437" s="119">
        <f t="shared" si="355"/>
        <v>1.54</v>
      </c>
      <c r="AA437" s="143">
        <f t="shared" si="346"/>
        <v>1.0845849490597213E-4</v>
      </c>
      <c r="AC437" s="119">
        <v>0.94</v>
      </c>
      <c r="AD437" s="119">
        <v>0.6</v>
      </c>
      <c r="AE437" s="119">
        <v>0</v>
      </c>
      <c r="AF437" s="119">
        <v>1.54</v>
      </c>
      <c r="AG437" s="143">
        <f t="shared" si="345"/>
        <v>0.38961038961038957</v>
      </c>
    </row>
    <row r="438" spans="1:33" x14ac:dyDescent="0.35">
      <c r="A438" s="6" t="s">
        <v>20</v>
      </c>
      <c r="B438" s="12">
        <v>0.94</v>
      </c>
      <c r="C438" s="12"/>
      <c r="D438" s="12"/>
      <c r="E438" s="12"/>
      <c r="F438" s="12"/>
      <c r="G438" s="12"/>
      <c r="H438" s="12"/>
      <c r="I438" s="12"/>
      <c r="J438" s="12"/>
      <c r="K438" s="12"/>
      <c r="L438" s="12"/>
      <c r="M438" s="12"/>
      <c r="N438" s="12"/>
      <c r="O438" s="12"/>
      <c r="P438" s="12"/>
      <c r="Q438" s="12"/>
      <c r="R438" s="12"/>
      <c r="S438" s="12"/>
      <c r="T438" s="12"/>
      <c r="U438" s="12"/>
      <c r="V438" s="12"/>
      <c r="W438" s="12"/>
      <c r="X438" s="12">
        <v>0.6</v>
      </c>
      <c r="Y438" s="12"/>
      <c r="Z438" s="12">
        <v>1.54</v>
      </c>
      <c r="AA438" s="22">
        <f t="shared" si="346"/>
        <v>1.0845849490597213E-4</v>
      </c>
      <c r="AC438" s="175">
        <v>0.94</v>
      </c>
      <c r="AD438" s="175">
        <v>0.6</v>
      </c>
      <c r="AE438" s="12">
        <v>0</v>
      </c>
      <c r="AF438" s="12">
        <v>1.54</v>
      </c>
      <c r="AG438" s="22">
        <f t="shared" si="345"/>
        <v>0.38961038961038957</v>
      </c>
    </row>
    <row r="439" spans="1:33" x14ac:dyDescent="0.35">
      <c r="A439" s="118" t="s">
        <v>21</v>
      </c>
      <c r="B439" s="119"/>
      <c r="C439" s="119"/>
      <c r="D439" s="119"/>
      <c r="E439" s="119"/>
      <c r="F439" s="119"/>
      <c r="G439" s="119"/>
      <c r="H439" s="119"/>
      <c r="I439" s="119"/>
      <c r="J439" s="119"/>
      <c r="K439" s="119"/>
      <c r="L439" s="119"/>
      <c r="M439" s="119"/>
      <c r="N439" s="119"/>
      <c r="O439" s="119"/>
      <c r="P439" s="119"/>
      <c r="Q439" s="119"/>
      <c r="R439" s="119"/>
      <c r="S439" s="119"/>
      <c r="T439" s="119"/>
      <c r="U439" s="119">
        <v>1.08</v>
      </c>
      <c r="V439" s="119"/>
      <c r="W439" s="119">
        <v>9.31</v>
      </c>
      <c r="X439" s="119"/>
      <c r="Y439" s="119"/>
      <c r="Z439" s="119">
        <f>SUM(B439:Y439)</f>
        <v>10.39</v>
      </c>
      <c r="AA439" s="143">
        <f t="shared" si="346"/>
        <v>7.3174270264483789E-4</v>
      </c>
      <c r="AC439" s="119">
        <v>1.08</v>
      </c>
      <c r="AD439" s="119">
        <v>9.31</v>
      </c>
      <c r="AE439" s="119">
        <v>0</v>
      </c>
      <c r="AF439" s="119">
        <v>10.39</v>
      </c>
      <c r="AG439" s="143">
        <f t="shared" si="345"/>
        <v>0.89605389797882584</v>
      </c>
    </row>
    <row r="440" spans="1:33" x14ac:dyDescent="0.35">
      <c r="A440" s="6" t="s">
        <v>21</v>
      </c>
      <c r="B440" s="12"/>
      <c r="C440" s="12"/>
      <c r="D440" s="12"/>
      <c r="E440" s="12"/>
      <c r="F440" s="12"/>
      <c r="G440" s="12"/>
      <c r="H440" s="12"/>
      <c r="I440" s="12"/>
      <c r="J440" s="12"/>
      <c r="K440" s="12"/>
      <c r="L440" s="12"/>
      <c r="M440" s="12"/>
      <c r="N440" s="12"/>
      <c r="O440" s="12"/>
      <c r="P440" s="12"/>
      <c r="Q440" s="12"/>
      <c r="R440" s="12"/>
      <c r="S440" s="12"/>
      <c r="T440" s="12"/>
      <c r="U440" s="12">
        <v>1.08</v>
      </c>
      <c r="V440" s="12"/>
      <c r="W440" s="12">
        <v>9.31</v>
      </c>
      <c r="X440" s="12"/>
      <c r="Y440" s="12"/>
      <c r="Z440" s="12">
        <f>SUM(B440:Y440)</f>
        <v>10.39</v>
      </c>
      <c r="AA440" s="22">
        <f t="shared" si="346"/>
        <v>7.3174270264483789E-4</v>
      </c>
      <c r="AC440" s="175">
        <v>1.08</v>
      </c>
      <c r="AD440" s="175">
        <v>9.31</v>
      </c>
      <c r="AE440" s="12">
        <v>0</v>
      </c>
      <c r="AF440" s="12">
        <v>10.39</v>
      </c>
      <c r="AG440" s="22">
        <f t="shared" si="345"/>
        <v>0.89605389797882584</v>
      </c>
    </row>
    <row r="441" spans="1:33" x14ac:dyDescent="0.35">
      <c r="A441" s="118" t="s">
        <v>22</v>
      </c>
      <c r="B441" s="119">
        <v>647.65999999999985</v>
      </c>
      <c r="C441" s="119">
        <v>91.08</v>
      </c>
      <c r="D441" s="119">
        <v>9.0100000000000016</v>
      </c>
      <c r="E441" s="119">
        <v>2.68</v>
      </c>
      <c r="F441" s="119">
        <v>0.83</v>
      </c>
      <c r="G441" s="119">
        <v>28.290000000000003</v>
      </c>
      <c r="H441" s="119">
        <v>27.309999999999995</v>
      </c>
      <c r="I441" s="119">
        <v>53.46</v>
      </c>
      <c r="J441" s="119">
        <v>23.950000000000003</v>
      </c>
      <c r="K441" s="119">
        <v>6.589999999999999</v>
      </c>
      <c r="L441" s="119">
        <v>1.78</v>
      </c>
      <c r="M441" s="119">
        <v>44.239999999999995</v>
      </c>
      <c r="N441" s="119">
        <v>17.34</v>
      </c>
      <c r="O441" s="119">
        <v>31.52</v>
      </c>
      <c r="P441" s="119">
        <v>31.22</v>
      </c>
      <c r="Q441" s="119">
        <v>28.21</v>
      </c>
      <c r="R441" s="119">
        <v>147.51</v>
      </c>
      <c r="S441" s="119">
        <v>100.66000000000001</v>
      </c>
      <c r="T441" s="119">
        <v>81.16</v>
      </c>
      <c r="U441" s="119">
        <v>53.949999999999996</v>
      </c>
      <c r="V441" s="119">
        <v>39.019999999999996</v>
      </c>
      <c r="W441" s="119">
        <v>76.11999999999999</v>
      </c>
      <c r="X441" s="119">
        <v>26.019999999999996</v>
      </c>
      <c r="Y441" s="119">
        <v>1.2600000000000002</v>
      </c>
      <c r="Z441" s="119">
        <v>1570.87</v>
      </c>
      <c r="AA441" s="143">
        <f t="shared" si="346"/>
        <v>0.11063259473567819</v>
      </c>
      <c r="AC441" s="119">
        <v>1428.45</v>
      </c>
      <c r="AD441" s="119">
        <v>141.15999999999997</v>
      </c>
      <c r="AE441" s="119">
        <v>1.2600000000000002</v>
      </c>
      <c r="AF441" s="119">
        <v>1570.8700000000001</v>
      </c>
      <c r="AG441" s="143">
        <f t="shared" si="345"/>
        <v>8.9861032421524351E-2</v>
      </c>
    </row>
    <row r="442" spans="1:33" x14ac:dyDescent="0.35">
      <c r="A442" s="6" t="s">
        <v>22</v>
      </c>
      <c r="B442" s="12">
        <v>647.65999999999985</v>
      </c>
      <c r="C442" s="12">
        <v>91.08</v>
      </c>
      <c r="D442" s="12">
        <v>9.0100000000000016</v>
      </c>
      <c r="E442" s="12">
        <v>2.68</v>
      </c>
      <c r="F442" s="12">
        <v>0.83</v>
      </c>
      <c r="G442" s="12">
        <v>28.290000000000003</v>
      </c>
      <c r="H442" s="12">
        <v>27.309999999999995</v>
      </c>
      <c r="I442" s="12">
        <v>53.46</v>
      </c>
      <c r="J442" s="12">
        <v>23.950000000000003</v>
      </c>
      <c r="K442" s="12">
        <v>6.589999999999999</v>
      </c>
      <c r="L442" s="12">
        <v>1.78</v>
      </c>
      <c r="M442" s="12">
        <v>44.239999999999995</v>
      </c>
      <c r="N442" s="12">
        <v>17.34</v>
      </c>
      <c r="O442" s="12">
        <v>31.52</v>
      </c>
      <c r="P442" s="12">
        <v>31.22</v>
      </c>
      <c r="Q442" s="12">
        <v>28.21</v>
      </c>
      <c r="R442" s="12">
        <v>147.51</v>
      </c>
      <c r="S442" s="12">
        <v>100.66000000000001</v>
      </c>
      <c r="T442" s="12">
        <v>81.16</v>
      </c>
      <c r="U442" s="12">
        <v>53.949999999999996</v>
      </c>
      <c r="V442" s="12">
        <v>39.019999999999996</v>
      </c>
      <c r="W442" s="12">
        <v>76.11999999999999</v>
      </c>
      <c r="X442" s="12">
        <v>26.019999999999996</v>
      </c>
      <c r="Y442" s="12">
        <v>1.2600000000000002</v>
      </c>
      <c r="Z442" s="12">
        <v>1570.87</v>
      </c>
      <c r="AA442" s="22">
        <f t="shared" si="346"/>
        <v>0.11063259473567819</v>
      </c>
      <c r="AC442" s="175">
        <v>1428.45</v>
      </c>
      <c r="AD442" s="175">
        <v>141.15999999999997</v>
      </c>
      <c r="AE442" s="12">
        <v>1.2600000000000002</v>
      </c>
      <c r="AF442" s="12">
        <v>1570.8700000000001</v>
      </c>
      <c r="AG442" s="22">
        <f t="shared" si="345"/>
        <v>8.9861032421524351E-2</v>
      </c>
    </row>
    <row r="443" spans="1:33" x14ac:dyDescent="0.35">
      <c r="A443" s="118" t="s">
        <v>23</v>
      </c>
      <c r="B443" s="119">
        <v>35.06</v>
      </c>
      <c r="C443" s="119">
        <v>2.4900000000000002</v>
      </c>
      <c r="D443" s="119"/>
      <c r="E443" s="119"/>
      <c r="F443" s="119"/>
      <c r="G443" s="119">
        <v>2.34</v>
      </c>
      <c r="H443" s="119">
        <v>0.34</v>
      </c>
      <c r="I443" s="119">
        <v>4.88</v>
      </c>
      <c r="J443" s="119"/>
      <c r="K443" s="119"/>
      <c r="L443" s="119">
        <v>0.35</v>
      </c>
      <c r="M443" s="119"/>
      <c r="N443" s="119">
        <v>0.23</v>
      </c>
      <c r="O443" s="119"/>
      <c r="P443" s="119">
        <v>0.41</v>
      </c>
      <c r="Q443" s="119">
        <v>2.3199999999999998</v>
      </c>
      <c r="R443" s="119">
        <v>4.29</v>
      </c>
      <c r="S443" s="119">
        <v>12.190000000000001</v>
      </c>
      <c r="T443" s="119">
        <v>19.55</v>
      </c>
      <c r="U443" s="119">
        <v>2.48</v>
      </c>
      <c r="V443" s="119">
        <v>17.049999999999997</v>
      </c>
      <c r="W443" s="119">
        <v>26.59</v>
      </c>
      <c r="X443" s="119">
        <v>49.19</v>
      </c>
      <c r="Y443" s="119">
        <v>0.09</v>
      </c>
      <c r="Z443" s="119">
        <f>SUM(B443:Y443)</f>
        <v>179.85</v>
      </c>
      <c r="AA443" s="143">
        <f t="shared" si="346"/>
        <v>1.2666402797947458E-2</v>
      </c>
      <c r="AC443" s="119">
        <v>86.93</v>
      </c>
      <c r="AD443" s="119">
        <v>92.83</v>
      </c>
      <c r="AE443" s="119">
        <v>0.09</v>
      </c>
      <c r="AF443" s="119">
        <v>179.85</v>
      </c>
      <c r="AG443" s="143">
        <f t="shared" si="345"/>
        <v>0.51615234917987207</v>
      </c>
    </row>
    <row r="444" spans="1:33" x14ac:dyDescent="0.35">
      <c r="A444" s="6" t="s">
        <v>23</v>
      </c>
      <c r="B444" s="12">
        <v>35.06</v>
      </c>
      <c r="C444" s="12">
        <v>2.4900000000000002</v>
      </c>
      <c r="D444" s="12"/>
      <c r="E444" s="12"/>
      <c r="F444" s="12"/>
      <c r="G444" s="12">
        <v>2.34</v>
      </c>
      <c r="H444" s="12">
        <v>0.34</v>
      </c>
      <c r="I444" s="12">
        <v>4.88</v>
      </c>
      <c r="J444" s="12"/>
      <c r="K444" s="12"/>
      <c r="L444" s="12">
        <v>0.35</v>
      </c>
      <c r="M444" s="12"/>
      <c r="N444" s="12">
        <v>0.23</v>
      </c>
      <c r="O444" s="12"/>
      <c r="P444" s="12">
        <v>0.41</v>
      </c>
      <c r="Q444" s="12">
        <v>2.3199999999999998</v>
      </c>
      <c r="R444" s="12">
        <v>4.29</v>
      </c>
      <c r="S444" s="12">
        <v>12.190000000000001</v>
      </c>
      <c r="T444" s="12">
        <v>19.55</v>
      </c>
      <c r="U444" s="12">
        <v>2.48</v>
      </c>
      <c r="V444" s="12">
        <v>17.049999999999997</v>
      </c>
      <c r="W444" s="12">
        <v>26.59</v>
      </c>
      <c r="X444" s="12">
        <v>49.19</v>
      </c>
      <c r="Y444" s="12">
        <v>0.09</v>
      </c>
      <c r="Z444" s="12">
        <f>SUM(B444:Y444)</f>
        <v>179.85</v>
      </c>
      <c r="AA444" s="22">
        <f t="shared" si="346"/>
        <v>1.2666402797947458E-2</v>
      </c>
      <c r="AC444" s="175">
        <v>86.93</v>
      </c>
      <c r="AD444" s="175">
        <v>92.83</v>
      </c>
      <c r="AE444" s="12">
        <v>0.09</v>
      </c>
      <c r="AF444" s="12">
        <v>179.85</v>
      </c>
      <c r="AG444" s="22">
        <f t="shared" si="345"/>
        <v>0.51615234917987207</v>
      </c>
    </row>
    <row r="445" spans="1:33" ht="15.5" x14ac:dyDescent="0.35">
      <c r="A445" s="180" t="s">
        <v>25</v>
      </c>
      <c r="B445" s="142">
        <f>SUM(B395,B404,B408,B412,B417,B423,B432,B434,B437,B439,B441,B443)</f>
        <v>3058.12</v>
      </c>
      <c r="C445" s="142">
        <f t="shared" ref="C445:AA445" si="357">SUM(C395,C404,C408,C412,C417,C423,C432,C434,C437,C439,C441,C443)</f>
        <v>453.93000000000006</v>
      </c>
      <c r="D445" s="142">
        <f t="shared" si="357"/>
        <v>49.45</v>
      </c>
      <c r="E445" s="142">
        <f t="shared" si="357"/>
        <v>26.5</v>
      </c>
      <c r="F445" s="142">
        <f t="shared" si="357"/>
        <v>32.96</v>
      </c>
      <c r="G445" s="142">
        <f t="shared" si="357"/>
        <v>138.14000000000001</v>
      </c>
      <c r="H445" s="142">
        <f t="shared" si="357"/>
        <v>199.87000000000003</v>
      </c>
      <c r="I445" s="142">
        <f t="shared" si="357"/>
        <v>321.59999999999997</v>
      </c>
      <c r="J445" s="142">
        <f t="shared" si="357"/>
        <v>110.51</v>
      </c>
      <c r="K445" s="142">
        <f t="shared" si="357"/>
        <v>171.48000000000002</v>
      </c>
      <c r="L445" s="142">
        <f t="shared" si="357"/>
        <v>137.15</v>
      </c>
      <c r="M445" s="142">
        <f t="shared" si="357"/>
        <v>226.83000000000004</v>
      </c>
      <c r="N445" s="142">
        <f t="shared" si="357"/>
        <v>176.14999999999998</v>
      </c>
      <c r="O445" s="142">
        <f t="shared" si="357"/>
        <v>152.29</v>
      </c>
      <c r="P445" s="142">
        <f t="shared" si="357"/>
        <v>394.60999999999996</v>
      </c>
      <c r="Q445" s="142">
        <f t="shared" si="357"/>
        <v>479.80999999999995</v>
      </c>
      <c r="R445" s="142">
        <f>SUM(R395,R404,R408,R412,R417,R423,R432,R434,R437,R439,R441,R443)</f>
        <v>1568.59</v>
      </c>
      <c r="S445" s="142">
        <f t="shared" si="357"/>
        <v>1849.2600000000002</v>
      </c>
      <c r="T445" s="142">
        <f t="shared" si="357"/>
        <v>1263.5599999999997</v>
      </c>
      <c r="U445" s="142">
        <f t="shared" si="357"/>
        <v>1088.69</v>
      </c>
      <c r="V445" s="142">
        <f>SUM(V395,V404,V408,V412,V417,V423,V432,V434,V437,V439,V441,V443)</f>
        <v>707.81999999999982</v>
      </c>
      <c r="W445" s="142">
        <f t="shared" si="357"/>
        <v>855.61</v>
      </c>
      <c r="X445" s="142">
        <f t="shared" si="357"/>
        <v>725.74</v>
      </c>
      <c r="Y445" s="142">
        <f t="shared" si="357"/>
        <v>10.31</v>
      </c>
      <c r="Z445" s="142">
        <f>SUM(Z443,Z441,Z439,Z437,Z434,Z432,Z423,Z417,Z412,Z408,Z404,Z395)</f>
        <v>14198.98</v>
      </c>
      <c r="AA445" s="142">
        <f t="shared" si="357"/>
        <v>1.0000000000000002</v>
      </c>
      <c r="AC445" s="142">
        <v>11899.500000000002</v>
      </c>
      <c r="AD445" s="142">
        <v>2289.17</v>
      </c>
      <c r="AE445" s="142">
        <v>10.230000000000002</v>
      </c>
      <c r="AF445" s="142">
        <v>14198.900000000001</v>
      </c>
      <c r="AG445" s="197">
        <f>AD445/AF445</f>
        <v>0.16122164393016358</v>
      </c>
    </row>
    <row r="446" spans="1:33" x14ac:dyDescent="0.35">
      <c r="A446" s="378" t="s">
        <v>253</v>
      </c>
      <c r="B446" s="379"/>
      <c r="C446" s="379">
        <f>C445+B445</f>
        <v>3512.05</v>
      </c>
      <c r="D446" s="379">
        <f>D445+C446</f>
        <v>3561.5</v>
      </c>
      <c r="E446" s="379">
        <f>E445+D446</f>
        <v>3588</v>
      </c>
      <c r="F446" s="379">
        <f t="shared" ref="F446" si="358">F445+E446</f>
        <v>3620.96</v>
      </c>
      <c r="G446" s="379">
        <f t="shared" ref="G446" si="359">G445+F446</f>
        <v>3759.1</v>
      </c>
      <c r="H446" s="379">
        <f t="shared" ref="H446" si="360">H445+G446</f>
        <v>3958.97</v>
      </c>
      <c r="I446" s="379">
        <f t="shared" ref="I446" si="361">I445+H446</f>
        <v>4280.57</v>
      </c>
      <c r="J446" s="379">
        <f t="shared" ref="J446" si="362">J445+I446</f>
        <v>4391.08</v>
      </c>
      <c r="K446" s="379">
        <f t="shared" ref="K446" si="363">K445+J446</f>
        <v>4562.5599999999995</v>
      </c>
      <c r="L446" s="379">
        <f t="shared" ref="L446" si="364">L445+K446</f>
        <v>4699.7099999999991</v>
      </c>
      <c r="M446" s="379">
        <f t="shared" ref="M446" si="365">M445+L446</f>
        <v>4926.5399999999991</v>
      </c>
      <c r="N446" s="379">
        <f t="shared" ref="N446" si="366">N445+M446</f>
        <v>5102.6899999999987</v>
      </c>
      <c r="O446" s="379">
        <f t="shared" ref="O446" si="367">O445+N446</f>
        <v>5254.9799999999987</v>
      </c>
      <c r="P446" s="379">
        <f t="shared" ref="P446" si="368">P445+O446</f>
        <v>5649.5899999999983</v>
      </c>
      <c r="Q446" s="379">
        <f t="shared" ref="Q446" si="369">Q445+P446</f>
        <v>6129.3999999999978</v>
      </c>
      <c r="R446" s="379">
        <f t="shared" ref="R446" si="370">R445+Q446</f>
        <v>7697.989999999998</v>
      </c>
      <c r="S446" s="379">
        <f t="shared" ref="S446" si="371">S445+R446</f>
        <v>9547.2499999999982</v>
      </c>
      <c r="T446" s="379">
        <f t="shared" ref="T446" si="372">T445+S446</f>
        <v>10810.809999999998</v>
      </c>
      <c r="U446" s="379">
        <f t="shared" ref="U446" si="373">U445+T446</f>
        <v>11899.499999999998</v>
      </c>
      <c r="V446" s="379">
        <f t="shared" ref="V446" si="374">V445+U446</f>
        <v>12607.319999999998</v>
      </c>
      <c r="W446" s="379">
        <f t="shared" ref="W446" si="375">W445+V446</f>
        <v>13462.929999999998</v>
      </c>
      <c r="X446" s="379">
        <f t="shared" ref="X446" si="376">X445+W446</f>
        <v>14188.669999999998</v>
      </c>
    </row>
    <row r="447" spans="1:33" x14ac:dyDescent="0.35">
      <c r="A447" s="380" t="s">
        <v>254</v>
      </c>
      <c r="B447" s="379"/>
      <c r="C447" s="381"/>
      <c r="D447" s="381">
        <f t="shared" ref="D447:X447" si="377">D446/C446-1</f>
        <v>1.4080095670619741E-2</v>
      </c>
      <c r="E447" s="381">
        <f t="shared" si="377"/>
        <v>7.4406851045907274E-3</v>
      </c>
      <c r="F447" s="381">
        <f t="shared" si="377"/>
        <v>9.1861761426978994E-3</v>
      </c>
      <c r="G447" s="381">
        <f t="shared" si="377"/>
        <v>3.8150103839865723E-2</v>
      </c>
      <c r="H447" s="381">
        <f t="shared" si="377"/>
        <v>5.3169641669548628E-2</v>
      </c>
      <c r="I447" s="381">
        <f t="shared" si="377"/>
        <v>8.1233250062516138E-2</v>
      </c>
      <c r="J447" s="381">
        <f t="shared" si="377"/>
        <v>2.5816655258528609E-2</v>
      </c>
      <c r="K447" s="381">
        <f t="shared" si="377"/>
        <v>3.9051896116672813E-2</v>
      </c>
      <c r="L447" s="381">
        <f t="shared" si="377"/>
        <v>3.0059878664609352E-2</v>
      </c>
      <c r="M447" s="381">
        <f t="shared" si="377"/>
        <v>4.8264680161116402E-2</v>
      </c>
      <c r="N447" s="381">
        <f t="shared" si="377"/>
        <v>3.5755317119114061E-2</v>
      </c>
      <c r="O447" s="381">
        <f t="shared" si="377"/>
        <v>2.984504251679021E-2</v>
      </c>
      <c r="P447" s="381">
        <f t="shared" si="377"/>
        <v>7.5092578849015545E-2</v>
      </c>
      <c r="Q447" s="381">
        <f t="shared" si="377"/>
        <v>8.492828683143383E-2</v>
      </c>
      <c r="R447" s="381">
        <f t="shared" si="377"/>
        <v>0.2559124873560219</v>
      </c>
      <c r="S447" s="381">
        <f t="shared" si="377"/>
        <v>0.2402263447990971</v>
      </c>
      <c r="T447" s="381">
        <f t="shared" si="377"/>
        <v>0.13234805834140717</v>
      </c>
      <c r="U447" s="381">
        <f t="shared" si="377"/>
        <v>0.10070383255278759</v>
      </c>
      <c r="V447" s="381">
        <f t="shared" si="377"/>
        <v>5.948317156183025E-2</v>
      </c>
      <c r="W447" s="381">
        <f t="shared" si="377"/>
        <v>6.786612856657892E-2</v>
      </c>
      <c r="X447" s="381">
        <f t="shared" si="377"/>
        <v>5.390654188946975E-2</v>
      </c>
      <c r="AC447" s="141"/>
      <c r="AD447" s="141"/>
    </row>
    <row r="448" spans="1:33" s="133" customFormat="1" x14ac:dyDescent="0.35">
      <c r="A448" s="522" t="s">
        <v>313</v>
      </c>
      <c r="B448" s="523">
        <f t="shared" ref="B448:Z448" si="378">B443+B441+B439+B437+B434+B432+B423+B417+B412+B408+B404+B395</f>
        <v>3058.12</v>
      </c>
      <c r="C448" s="523">
        <f t="shared" si="378"/>
        <v>453.92999999999995</v>
      </c>
      <c r="D448" s="523">
        <f t="shared" si="378"/>
        <v>49.45</v>
      </c>
      <c r="E448" s="523">
        <f t="shared" si="378"/>
        <v>26.500000000000004</v>
      </c>
      <c r="F448" s="523">
        <f t="shared" si="378"/>
        <v>32.96</v>
      </c>
      <c r="G448" s="523">
        <f t="shared" si="378"/>
        <v>138.14000000000001</v>
      </c>
      <c r="H448" s="523">
        <f t="shared" si="378"/>
        <v>199.87</v>
      </c>
      <c r="I448" s="523">
        <f t="shared" si="378"/>
        <v>321.60000000000002</v>
      </c>
      <c r="J448" s="523">
        <f t="shared" si="378"/>
        <v>110.50999999999999</v>
      </c>
      <c r="K448" s="523">
        <f t="shared" si="378"/>
        <v>171.48000000000002</v>
      </c>
      <c r="L448" s="523">
        <f t="shared" si="378"/>
        <v>137.15</v>
      </c>
      <c r="M448" s="523">
        <f t="shared" si="378"/>
        <v>226.83</v>
      </c>
      <c r="N448" s="523">
        <f t="shared" si="378"/>
        <v>176.14999999999998</v>
      </c>
      <c r="O448" s="523">
        <f t="shared" si="378"/>
        <v>152.29</v>
      </c>
      <c r="P448" s="523">
        <f t="shared" si="378"/>
        <v>394.60999999999996</v>
      </c>
      <c r="Q448" s="523">
        <f t="shared" si="378"/>
        <v>479.80999999999995</v>
      </c>
      <c r="R448" s="523">
        <f t="shared" si="378"/>
        <v>1568.59</v>
      </c>
      <c r="S448" s="523">
        <f t="shared" si="378"/>
        <v>1849.2600000000002</v>
      </c>
      <c r="T448" s="523">
        <f t="shared" si="378"/>
        <v>1263.56</v>
      </c>
      <c r="U448" s="523">
        <f t="shared" si="378"/>
        <v>1088.69</v>
      </c>
      <c r="V448" s="523">
        <f t="shared" si="378"/>
        <v>707.82</v>
      </c>
      <c r="W448" s="523">
        <f t="shared" si="378"/>
        <v>855.61</v>
      </c>
      <c r="X448" s="523">
        <f t="shared" si="378"/>
        <v>725.74</v>
      </c>
      <c r="Y448" s="523">
        <f t="shared" ref="Y448:AA448" si="379">Y443+Y441+Y439+Y437+Y434+Y432+Y430+Y423+Y417+Y412+Y408+Y404+Y395</f>
        <v>10.31</v>
      </c>
      <c r="Z448" s="523">
        <f t="shared" si="378"/>
        <v>14198.98</v>
      </c>
      <c r="AA448" s="523">
        <f t="shared" si="379"/>
        <v>1.0091281204706255</v>
      </c>
      <c r="AC448" s="523">
        <f t="shared" ref="AC448:AE448" si="380">AC443+AC441+AC439+AC437+AC434+AC432+AC423+AC417+AC412+AC408+AC404+AC395</f>
        <v>11899.500000000002</v>
      </c>
      <c r="AD448" s="523">
        <f t="shared" si="380"/>
        <v>2289.17</v>
      </c>
      <c r="AE448" s="523">
        <f t="shared" si="380"/>
        <v>10.31</v>
      </c>
      <c r="AF448" s="523">
        <f>AF443+AF441+AF439+AF437+AF434+AF432+AF423+AF417+AF412+AF408+AF404+AF395</f>
        <v>14198.98</v>
      </c>
    </row>
    <row r="449" spans="1:32" s="133" customFormat="1" x14ac:dyDescent="0.35">
      <c r="A449" s="522"/>
      <c r="B449" s="523"/>
      <c r="C449" s="523"/>
      <c r="D449" s="523"/>
      <c r="E449" s="523"/>
      <c r="F449" s="523"/>
      <c r="G449" s="523"/>
      <c r="H449" s="523"/>
      <c r="I449" s="523"/>
      <c r="J449" s="523"/>
      <c r="K449" s="523"/>
      <c r="L449" s="523"/>
      <c r="M449" s="523"/>
      <c r="N449" s="523"/>
      <c r="O449" s="523"/>
      <c r="P449" s="523"/>
      <c r="Q449" s="523"/>
      <c r="R449" s="523"/>
      <c r="S449" s="523"/>
      <c r="T449" s="523"/>
      <c r="U449" s="523"/>
      <c r="V449" s="523"/>
      <c r="W449" s="523"/>
      <c r="X449" s="523"/>
      <c r="Y449" s="523"/>
      <c r="Z449" s="523"/>
      <c r="AA449" s="523"/>
      <c r="AC449" s="523"/>
      <c r="AD449" s="523"/>
      <c r="AE449" s="523"/>
      <c r="AF449" s="523"/>
    </row>
    <row r="450" spans="1:32" s="133" customFormat="1" x14ac:dyDescent="0.35">
      <c r="A450" s="522"/>
      <c r="B450" s="523"/>
      <c r="C450" s="523"/>
      <c r="D450" s="523"/>
      <c r="E450" s="523"/>
      <c r="F450" s="523"/>
      <c r="G450" s="523"/>
      <c r="H450" s="523"/>
      <c r="I450" s="523"/>
      <c r="J450" s="523"/>
      <c r="K450" s="523"/>
      <c r="L450" s="523"/>
      <c r="M450" s="523"/>
      <c r="N450" s="523"/>
      <c r="O450" s="523"/>
      <c r="P450" s="523"/>
      <c r="Q450" s="523"/>
      <c r="R450" s="523"/>
      <c r="S450" s="523"/>
      <c r="T450" s="523"/>
      <c r="U450" s="523"/>
      <c r="V450" s="523"/>
      <c r="W450" s="523"/>
      <c r="X450" s="523"/>
      <c r="Y450" s="523"/>
      <c r="Z450" s="523"/>
      <c r="AA450" s="523"/>
      <c r="AC450" s="523"/>
      <c r="AD450" s="523"/>
      <c r="AE450" s="523"/>
      <c r="AF450" s="523"/>
    </row>
    <row r="451" spans="1:32" x14ac:dyDescent="0.35">
      <c r="B451" s="379"/>
      <c r="C451" s="381"/>
      <c r="D451" s="381"/>
      <c r="E451" s="381"/>
      <c r="F451" s="381"/>
      <c r="G451" s="381"/>
      <c r="H451" s="381"/>
      <c r="I451" s="381"/>
      <c r="J451" s="381"/>
      <c r="K451" s="381"/>
      <c r="L451" s="381"/>
      <c r="M451" s="381"/>
      <c r="N451" s="381"/>
      <c r="O451" s="381"/>
      <c r="P451" s="381"/>
      <c r="Q451" s="381"/>
      <c r="R451" s="524">
        <f>R448-R445</f>
        <v>0</v>
      </c>
      <c r="S451" s="381"/>
      <c r="T451" s="381"/>
      <c r="U451" s="381"/>
      <c r="V451" s="381"/>
      <c r="W451" s="381"/>
      <c r="X451" s="381"/>
      <c r="AC451" s="141"/>
      <c r="AD451" s="141"/>
    </row>
    <row r="452" spans="1:32" ht="15.5" x14ac:dyDescent="0.35">
      <c r="A452" s="146" t="s">
        <v>99</v>
      </c>
      <c r="B452" s="147" t="s">
        <v>134</v>
      </c>
      <c r="C452" s="147">
        <v>2000</v>
      </c>
      <c r="D452" s="147">
        <v>2001</v>
      </c>
      <c r="E452" s="147">
        <v>2002</v>
      </c>
      <c r="F452" s="147">
        <v>2003</v>
      </c>
      <c r="G452" s="147">
        <v>2004</v>
      </c>
      <c r="H452" s="147">
        <v>2005</v>
      </c>
      <c r="I452" s="147">
        <v>2006</v>
      </c>
      <c r="J452" s="147">
        <v>2007</v>
      </c>
      <c r="K452" s="147">
        <v>2008</v>
      </c>
      <c r="L452" s="147">
        <v>2009</v>
      </c>
      <c r="M452" s="147">
        <v>2010</v>
      </c>
      <c r="N452" s="147">
        <v>2011</v>
      </c>
      <c r="O452" s="147">
        <v>2012</v>
      </c>
      <c r="P452" s="147">
        <v>2013</v>
      </c>
      <c r="Q452" s="147">
        <v>2014</v>
      </c>
      <c r="R452" s="147">
        <v>2015</v>
      </c>
      <c r="S452" s="147">
        <v>2016</v>
      </c>
      <c r="T452" s="147">
        <v>2017</v>
      </c>
      <c r="U452" s="147">
        <v>2018</v>
      </c>
      <c r="V452" s="147">
        <v>2019</v>
      </c>
      <c r="W452" s="147">
        <v>2020</v>
      </c>
      <c r="X452" s="147">
        <v>2021</v>
      </c>
      <c r="Y452" s="148" t="s">
        <v>90</v>
      </c>
    </row>
    <row r="453" spans="1:32" x14ac:dyDescent="0.35">
      <c r="A453" s="145" t="s">
        <v>5</v>
      </c>
      <c r="B453" s="22">
        <f t="shared" ref="B453:Y453" si="381">B395/$Z$395</f>
        <v>0.12860517562493679</v>
      </c>
      <c r="C453" s="22">
        <f t="shared" si="381"/>
        <v>2.1278494796408365E-2</v>
      </c>
      <c r="D453" s="22">
        <f t="shared" si="381"/>
        <v>5.6558191565956786E-3</v>
      </c>
      <c r="E453" s="22">
        <f t="shared" si="381"/>
        <v>5.5635885443629258E-3</v>
      </c>
      <c r="F453" s="22">
        <f t="shared" si="381"/>
        <v>8.4911666874929338E-3</v>
      </c>
      <c r="G453" s="22">
        <f t="shared" si="381"/>
        <v>1.7000184461224466E-2</v>
      </c>
      <c r="H453" s="22">
        <f t="shared" si="381"/>
        <v>1.7276876297922732E-2</v>
      </c>
      <c r="I453" s="22">
        <f t="shared" si="381"/>
        <v>2.8436780378086012E-2</v>
      </c>
      <c r="J453" s="22">
        <f t="shared" si="381"/>
        <v>1.3748311584759934E-2</v>
      </c>
      <c r="K453" s="22">
        <f t="shared" si="381"/>
        <v>1.2522536996376231E-2</v>
      </c>
      <c r="L453" s="22">
        <f t="shared" si="381"/>
        <v>1.6958531926667738E-2</v>
      </c>
      <c r="M453" s="22">
        <f t="shared" si="381"/>
        <v>1.0907013691783147E-2</v>
      </c>
      <c r="N453" s="22">
        <f t="shared" si="381"/>
        <v>3.8251902628274929E-2</v>
      </c>
      <c r="O453" s="22">
        <f t="shared" si="381"/>
        <v>1.689307794379288E-2</v>
      </c>
      <c r="P453" s="22">
        <f t="shared" si="381"/>
        <v>3.5508785709610427E-2</v>
      </c>
      <c r="Q453" s="22">
        <f t="shared" si="381"/>
        <v>4.8269337189167955E-2</v>
      </c>
      <c r="R453" s="22">
        <f t="shared" si="381"/>
        <v>0.13159523256990185</v>
      </c>
      <c r="S453" s="22">
        <f t="shared" si="381"/>
        <v>0.13296381584819439</v>
      </c>
      <c r="T453" s="22">
        <f t="shared" si="381"/>
        <v>9.188251605110169E-2</v>
      </c>
      <c r="U453" s="22">
        <f t="shared" si="381"/>
        <v>5.3353921586128533E-2</v>
      </c>
      <c r="V453" s="22">
        <f t="shared" si="381"/>
        <v>4.1658484918807304E-2</v>
      </c>
      <c r="W453" s="22">
        <f t="shared" si="381"/>
        <v>6.6617278661406543E-2</v>
      </c>
      <c r="X453" s="22">
        <f t="shared" si="381"/>
        <v>5.616844284974741E-2</v>
      </c>
      <c r="Y453" s="384">
        <f t="shared" si="381"/>
        <v>3.9272389724914758E-4</v>
      </c>
      <c r="AD453" s="141"/>
    </row>
    <row r="454" spans="1:32" x14ac:dyDescent="0.35">
      <c r="A454" s="145" t="s">
        <v>12</v>
      </c>
      <c r="B454" s="22">
        <f t="shared" ref="B454:Y454" si="382">B404/$Z$404</f>
        <v>8.362196932211774E-2</v>
      </c>
      <c r="C454" s="22">
        <f t="shared" si="382"/>
        <v>3.1903112556254561E-2</v>
      </c>
      <c r="D454" s="22">
        <f t="shared" si="382"/>
        <v>1.5315378996724864E-3</v>
      </c>
      <c r="E454" s="22">
        <f t="shared" si="382"/>
        <v>7.6576894983624319E-4</v>
      </c>
      <c r="F454" s="22">
        <f t="shared" si="382"/>
        <v>1.5551000212059094E-3</v>
      </c>
      <c r="G454" s="22">
        <f t="shared" si="382"/>
        <v>3.2515727716123559E-3</v>
      </c>
      <c r="H454" s="22">
        <f t="shared" si="382"/>
        <v>3.7228152022808132E-3</v>
      </c>
      <c r="I454" s="22">
        <f t="shared" si="382"/>
        <v>3.53431823001343E-3</v>
      </c>
      <c r="J454" s="22">
        <f t="shared" si="382"/>
        <v>2.9688273132112814E-3</v>
      </c>
      <c r="K454" s="22">
        <f t="shared" si="382"/>
        <v>9.3070380057020327E-3</v>
      </c>
      <c r="L454" s="22">
        <f t="shared" si="382"/>
        <v>7.6930326806625669E-3</v>
      </c>
      <c r="M454" s="22">
        <f t="shared" si="382"/>
        <v>1.9132442685139372E-2</v>
      </c>
      <c r="N454" s="22">
        <f t="shared" si="382"/>
        <v>1.7306378266299095E-2</v>
      </c>
      <c r="O454" s="22">
        <f t="shared" si="382"/>
        <v>2.7991800381706369E-2</v>
      </c>
      <c r="P454" s="22">
        <f t="shared" si="382"/>
        <v>0.17584411300393485</v>
      </c>
      <c r="Q454" s="22">
        <f t="shared" si="382"/>
        <v>2.9004971607643548E-2</v>
      </c>
      <c r="R454" s="22">
        <f t="shared" si="382"/>
        <v>6.4784053156146174E-2</v>
      </c>
      <c r="S454" s="22">
        <f t="shared" si="382"/>
        <v>3.0289107231215095E-2</v>
      </c>
      <c r="T454" s="22">
        <f t="shared" si="382"/>
        <v>3.2786692113757926E-2</v>
      </c>
      <c r="U454" s="22">
        <f t="shared" si="382"/>
        <v>8.4764732216488767E-2</v>
      </c>
      <c r="V454" s="22">
        <f t="shared" si="382"/>
        <v>0.11275653259819512</v>
      </c>
      <c r="W454" s="22">
        <f t="shared" si="382"/>
        <v>0.18683584269927664</v>
      </c>
      <c r="X454" s="22">
        <f t="shared" si="382"/>
        <v>6.777644259089087E-2</v>
      </c>
      <c r="Y454" s="383">
        <f t="shared" si="382"/>
        <v>8.7179849673664608E-4</v>
      </c>
    </row>
    <row r="455" spans="1:32" x14ac:dyDescent="0.35">
      <c r="A455" s="145" t="s">
        <v>13</v>
      </c>
      <c r="B455" s="22">
        <f t="shared" ref="B455:Y455" si="383">B408/$Z$408</f>
        <v>0.45012126010760667</v>
      </c>
      <c r="C455" s="22">
        <f t="shared" si="383"/>
        <v>2.9492079127675354E-2</v>
      </c>
      <c r="D455" s="22">
        <f t="shared" si="383"/>
        <v>4.0274565302776191E-3</v>
      </c>
      <c r="E455" s="22">
        <f t="shared" si="383"/>
        <v>5.9227301915847346E-4</v>
      </c>
      <c r="F455" s="22">
        <f t="shared" si="383"/>
        <v>5.2057681157613184E-4</v>
      </c>
      <c r="G455" s="22">
        <f t="shared" si="383"/>
        <v>1.4713308686463127E-3</v>
      </c>
      <c r="H455" s="22">
        <f t="shared" si="383"/>
        <v>8.5100281173822751E-3</v>
      </c>
      <c r="I455" s="22">
        <f t="shared" si="383"/>
        <v>7.5374534753957292E-3</v>
      </c>
      <c r="J455" s="22">
        <f t="shared" si="383"/>
        <v>1.4869170007294303E-3</v>
      </c>
      <c r="K455" s="22">
        <f t="shared" si="383"/>
        <v>1.5218299365956145E-2</v>
      </c>
      <c r="L455" s="22">
        <f t="shared" si="383"/>
        <v>1.176752972275388E-2</v>
      </c>
      <c r="M455" s="22">
        <f t="shared" si="383"/>
        <v>1.1882867100168951E-2</v>
      </c>
      <c r="N455" s="22">
        <f t="shared" si="383"/>
        <v>2.0261971708053035E-3</v>
      </c>
      <c r="O455" s="22">
        <f t="shared" si="383"/>
        <v>4.9937967194309176E-3</v>
      </c>
      <c r="P455" s="22">
        <f t="shared" si="383"/>
        <v>1.6427783215606077E-3</v>
      </c>
      <c r="Q455" s="22">
        <f t="shared" si="383"/>
        <v>1.2765042176073412E-2</v>
      </c>
      <c r="R455" s="22">
        <f t="shared" si="383"/>
        <v>2.2843035181017338E-2</v>
      </c>
      <c r="S455" s="22">
        <f t="shared" si="383"/>
        <v>0.11113223897904596</v>
      </c>
      <c r="T455" s="22">
        <f t="shared" si="383"/>
        <v>7.3476143866233551E-2</v>
      </c>
      <c r="U455" s="22">
        <f t="shared" si="383"/>
        <v>0.14080200001246887</v>
      </c>
      <c r="V455" s="22">
        <f t="shared" si="383"/>
        <v>2.9619885410756917E-2</v>
      </c>
      <c r="W455" s="22">
        <f t="shared" si="383"/>
        <v>3.9286404528706527E-2</v>
      </c>
      <c r="X455" s="22">
        <f t="shared" si="383"/>
        <v>1.8126671612665908E-2</v>
      </c>
      <c r="Y455" s="383">
        <f t="shared" si="383"/>
        <v>6.577347739075679E-4</v>
      </c>
    </row>
    <row r="456" spans="1:32" x14ac:dyDescent="0.35">
      <c r="A456" s="145" t="s">
        <v>14</v>
      </c>
      <c r="B456" s="22">
        <f t="shared" ref="B456:Y456" si="384">B412/$Z$412</f>
        <v>0.35201256302173722</v>
      </c>
      <c r="C456" s="22">
        <f t="shared" si="384"/>
        <v>9.2156376560046278E-3</v>
      </c>
      <c r="D456" s="22">
        <f t="shared" si="384"/>
        <v>7.2526655095462422E-3</v>
      </c>
      <c r="E456" s="22">
        <f t="shared" si="384"/>
        <v>0</v>
      </c>
      <c r="F456" s="22">
        <f t="shared" si="384"/>
        <v>1.2397718819737167E-3</v>
      </c>
      <c r="G456" s="22">
        <f t="shared" si="384"/>
        <v>1.4257376642697743E-2</v>
      </c>
      <c r="H456" s="22">
        <f t="shared" si="384"/>
        <v>1.3782130754607817E-2</v>
      </c>
      <c r="I456" s="22">
        <f t="shared" si="384"/>
        <v>3.6160013224233404E-3</v>
      </c>
      <c r="J456" s="22">
        <f t="shared" si="384"/>
        <v>6.8600710802545657E-3</v>
      </c>
      <c r="K456" s="22">
        <f t="shared" si="384"/>
        <v>6.3228365980659553E-3</v>
      </c>
      <c r="L456" s="22">
        <f t="shared" si="384"/>
        <v>3.0994297049342917E-4</v>
      </c>
      <c r="M456" s="22">
        <f t="shared" si="384"/>
        <v>6.591453839160261E-3</v>
      </c>
      <c r="N456" s="22">
        <f t="shared" si="384"/>
        <v>2.1489379287544423E-3</v>
      </c>
      <c r="O456" s="22">
        <f t="shared" si="384"/>
        <v>8.9056946855112003E-3</v>
      </c>
      <c r="P456" s="22">
        <f t="shared" si="384"/>
        <v>1.8307298123811884E-2</v>
      </c>
      <c r="Q456" s="22">
        <f t="shared" si="384"/>
        <v>5.4508637077444418E-2</v>
      </c>
      <c r="R456" s="22">
        <f t="shared" si="384"/>
        <v>0.11823291181089345</v>
      </c>
      <c r="S456" s="22">
        <f t="shared" si="384"/>
        <v>7.2278700719067696E-2</v>
      </c>
      <c r="T456" s="22">
        <f t="shared" si="384"/>
        <v>0.16811306719563598</v>
      </c>
      <c r="U456" s="22">
        <f t="shared" si="384"/>
        <v>3.5664104471443914E-2</v>
      </c>
      <c r="V456" s="22">
        <f t="shared" si="384"/>
        <v>6.1410033887098099E-2</v>
      </c>
      <c r="W456" s="22">
        <f t="shared" si="384"/>
        <v>2.5064054880568638E-2</v>
      </c>
      <c r="X456" s="22">
        <f t="shared" si="384"/>
        <v>1.3906107942805191E-2</v>
      </c>
      <c r="Y456" s="385">
        <f t="shared" si="384"/>
        <v>0</v>
      </c>
    </row>
    <row r="457" spans="1:32" x14ac:dyDescent="0.35">
      <c r="A457" s="145" t="s">
        <v>15</v>
      </c>
      <c r="B457" s="22">
        <f t="shared" ref="B457:Y457" si="385">B417/$Z$417</f>
        <v>6.191796317019585E-2</v>
      </c>
      <c r="C457" s="22">
        <f t="shared" si="385"/>
        <v>3.9321701257550024E-2</v>
      </c>
      <c r="D457" s="22">
        <f t="shared" si="385"/>
        <v>8.9427927133158187E-4</v>
      </c>
      <c r="E457" s="22">
        <f t="shared" si="385"/>
        <v>5.5832030183133896E-4</v>
      </c>
      <c r="F457" s="22">
        <f t="shared" si="385"/>
        <v>0</v>
      </c>
      <c r="G457" s="22">
        <f t="shared" si="385"/>
        <v>8.6986786419523329E-3</v>
      </c>
      <c r="H457" s="22">
        <f t="shared" si="385"/>
        <v>1.7699478659354527E-2</v>
      </c>
      <c r="I457" s="22">
        <f t="shared" si="385"/>
        <v>3.353547267493432E-2</v>
      </c>
      <c r="J457" s="22">
        <f t="shared" si="385"/>
        <v>7.1880717647030395E-3</v>
      </c>
      <c r="K457" s="22">
        <f t="shared" si="385"/>
        <v>1.5231751264680078E-2</v>
      </c>
      <c r="L457" s="22">
        <f t="shared" si="385"/>
        <v>8.1186056010886052E-3</v>
      </c>
      <c r="M457" s="22">
        <f t="shared" si="385"/>
        <v>1.884028897305319E-2</v>
      </c>
      <c r="N457" s="22">
        <f t="shared" si="385"/>
        <v>1.8804034407999208E-3</v>
      </c>
      <c r="O457" s="22">
        <f t="shared" si="385"/>
        <v>2.392801293562881E-3</v>
      </c>
      <c r="P457" s="22">
        <f t="shared" si="385"/>
        <v>1.8683185857819268E-2</v>
      </c>
      <c r="Q457" s="22">
        <f t="shared" si="385"/>
        <v>3.9471553459773143E-2</v>
      </c>
      <c r="R457" s="22">
        <f t="shared" si="385"/>
        <v>0.18303479713153881</v>
      </c>
      <c r="S457" s="22">
        <f t="shared" si="385"/>
        <v>0.19799343067281225</v>
      </c>
      <c r="T457" s="22">
        <f t="shared" si="385"/>
        <v>0.11166164339526417</v>
      </c>
      <c r="U457" s="22">
        <f t="shared" si="385"/>
        <v>6.4223753507629183E-2</v>
      </c>
      <c r="V457" s="22">
        <f t="shared" si="385"/>
        <v>4.8561781404308495E-2</v>
      </c>
      <c r="W457" s="22">
        <f t="shared" si="385"/>
        <v>4.1194853785339144E-2</v>
      </c>
      <c r="X457" s="22">
        <f t="shared" si="385"/>
        <v>7.7770875982800858E-2</v>
      </c>
      <c r="Y457" s="383">
        <f t="shared" si="385"/>
        <v>1.1263084876770733E-3</v>
      </c>
    </row>
    <row r="458" spans="1:32" x14ac:dyDescent="0.35">
      <c r="A458" s="145" t="s">
        <v>16</v>
      </c>
      <c r="B458" s="22">
        <f t="shared" ref="B458:Y458" si="386">B423/$Z$423</f>
        <v>3.4266133637921191E-3</v>
      </c>
      <c r="C458" s="22">
        <f t="shared" si="386"/>
        <v>0</v>
      </c>
      <c r="D458" s="22">
        <f t="shared" si="386"/>
        <v>0</v>
      </c>
      <c r="E458" s="22">
        <f t="shared" si="386"/>
        <v>0</v>
      </c>
      <c r="F458" s="22">
        <f t="shared" si="386"/>
        <v>0</v>
      </c>
      <c r="G458" s="22">
        <f t="shared" si="386"/>
        <v>0</v>
      </c>
      <c r="H458" s="22">
        <f t="shared" si="386"/>
        <v>1.5562535693889209E-2</v>
      </c>
      <c r="I458" s="22">
        <f t="shared" si="386"/>
        <v>0</v>
      </c>
      <c r="J458" s="22">
        <f t="shared" si="386"/>
        <v>0</v>
      </c>
      <c r="K458" s="22">
        <f t="shared" si="386"/>
        <v>0</v>
      </c>
      <c r="L458" s="22">
        <f t="shared" si="386"/>
        <v>0</v>
      </c>
      <c r="M458" s="22">
        <f t="shared" si="386"/>
        <v>7.4957167332952608E-3</v>
      </c>
      <c r="N458" s="22">
        <f t="shared" si="386"/>
        <v>0</v>
      </c>
      <c r="O458" s="22">
        <f t="shared" si="386"/>
        <v>0</v>
      </c>
      <c r="P458" s="22">
        <f t="shared" si="386"/>
        <v>4.9971444888635079E-4</v>
      </c>
      <c r="Q458" s="22">
        <f t="shared" si="386"/>
        <v>0</v>
      </c>
      <c r="R458" s="22">
        <f t="shared" si="386"/>
        <v>5.9251856082238735E-2</v>
      </c>
      <c r="S458" s="22">
        <f t="shared" si="386"/>
        <v>0.1269988577955454</v>
      </c>
      <c r="T458" s="22">
        <f t="shared" si="386"/>
        <v>9.6659051970302695E-2</v>
      </c>
      <c r="U458" s="22">
        <f t="shared" si="386"/>
        <v>0.13606510565391206</v>
      </c>
      <c r="V458" s="22">
        <f t="shared" si="386"/>
        <v>0.23079668760708169</v>
      </c>
      <c r="W458" s="22">
        <f t="shared" si="386"/>
        <v>0.23772130211307824</v>
      </c>
      <c r="X458" s="22">
        <f t="shared" si="386"/>
        <v>8.5522558537978313E-2</v>
      </c>
      <c r="Y458" s="385">
        <f t="shared" si="386"/>
        <v>0</v>
      </c>
    </row>
    <row r="459" spans="1:32" x14ac:dyDescent="0.35">
      <c r="A459" s="145" t="s">
        <v>18</v>
      </c>
      <c r="B459" s="22">
        <f t="shared" ref="B459:Y459" si="387">B432/$Z$432</f>
        <v>8.8602496979460314E-3</v>
      </c>
      <c r="C459" s="22">
        <f t="shared" si="387"/>
        <v>0</v>
      </c>
      <c r="D459" s="22">
        <f t="shared" si="387"/>
        <v>0</v>
      </c>
      <c r="E459" s="22">
        <f t="shared" si="387"/>
        <v>0</v>
      </c>
      <c r="F459" s="22">
        <f t="shared" si="387"/>
        <v>0</v>
      </c>
      <c r="G459" s="22">
        <f t="shared" si="387"/>
        <v>0</v>
      </c>
      <c r="H459" s="22">
        <f t="shared" si="387"/>
        <v>0</v>
      </c>
      <c r="I459" s="22">
        <f t="shared" si="387"/>
        <v>0</v>
      </c>
      <c r="J459" s="22">
        <f t="shared" si="387"/>
        <v>0</v>
      </c>
      <c r="K459" s="22">
        <f t="shared" si="387"/>
        <v>0</v>
      </c>
      <c r="L459" s="22">
        <f t="shared" si="387"/>
        <v>0</v>
      </c>
      <c r="M459" s="22">
        <f t="shared" si="387"/>
        <v>2.416431735803463E-3</v>
      </c>
      <c r="N459" s="22">
        <f t="shared" si="387"/>
        <v>0</v>
      </c>
      <c r="O459" s="22">
        <f t="shared" si="387"/>
        <v>0</v>
      </c>
      <c r="P459" s="22">
        <f t="shared" si="387"/>
        <v>0</v>
      </c>
      <c r="Q459" s="22">
        <f t="shared" si="387"/>
        <v>0</v>
      </c>
      <c r="R459" s="22">
        <f t="shared" si="387"/>
        <v>0</v>
      </c>
      <c r="S459" s="22">
        <f t="shared" si="387"/>
        <v>0.8111155859846958</v>
      </c>
      <c r="T459" s="22">
        <f t="shared" si="387"/>
        <v>9.4643576318968969E-2</v>
      </c>
      <c r="U459" s="22">
        <f t="shared" si="387"/>
        <v>2.8191703584373737E-3</v>
      </c>
      <c r="V459" s="22">
        <f t="shared" si="387"/>
        <v>0</v>
      </c>
      <c r="W459" s="22">
        <f t="shared" si="387"/>
        <v>7.8131292790978635E-2</v>
      </c>
      <c r="X459" s="22">
        <f t="shared" si="387"/>
        <v>0</v>
      </c>
      <c r="Y459" s="383">
        <f t="shared" si="387"/>
        <v>2.0136931131695527E-3</v>
      </c>
    </row>
    <row r="460" spans="1:32" x14ac:dyDescent="0.35">
      <c r="A460" s="145" t="s">
        <v>17</v>
      </c>
      <c r="B460" s="22">
        <f t="shared" ref="B460:Y460" si="388">B434/$Z$434</f>
        <v>0</v>
      </c>
      <c r="C460" s="22">
        <f t="shared" si="388"/>
        <v>0</v>
      </c>
      <c r="D460" s="22">
        <f t="shared" si="388"/>
        <v>0</v>
      </c>
      <c r="E460" s="22">
        <f t="shared" si="388"/>
        <v>1.1201585455172117E-3</v>
      </c>
      <c r="F460" s="22">
        <f t="shared" si="388"/>
        <v>0</v>
      </c>
      <c r="G460" s="22">
        <f t="shared" si="388"/>
        <v>0</v>
      </c>
      <c r="H460" s="22">
        <f t="shared" si="388"/>
        <v>6.9363663780104261E-3</v>
      </c>
      <c r="I460" s="22">
        <f t="shared" si="388"/>
        <v>0</v>
      </c>
      <c r="J460" s="22">
        <f t="shared" si="388"/>
        <v>0</v>
      </c>
      <c r="K460" s="22">
        <f t="shared" si="388"/>
        <v>0</v>
      </c>
      <c r="L460" s="22">
        <f t="shared" si="388"/>
        <v>0</v>
      </c>
      <c r="M460" s="22">
        <f t="shared" si="388"/>
        <v>4.0153375554693893E-2</v>
      </c>
      <c r="N460" s="22">
        <f t="shared" si="388"/>
        <v>0</v>
      </c>
      <c r="O460" s="22">
        <f t="shared" si="388"/>
        <v>4.3083020981431214E-2</v>
      </c>
      <c r="P460" s="22">
        <f t="shared" si="388"/>
        <v>1.2364827021670759E-2</v>
      </c>
      <c r="Q460" s="22">
        <f t="shared" si="388"/>
        <v>0.13691784067898838</v>
      </c>
      <c r="R460" s="22">
        <f t="shared" si="388"/>
        <v>0.10081426909654904</v>
      </c>
      <c r="S460" s="22">
        <f t="shared" si="388"/>
        <v>6.544310887079402E-2</v>
      </c>
      <c r="T460" s="22">
        <f t="shared" si="388"/>
        <v>0.13459135754599114</v>
      </c>
      <c r="U460" s="22">
        <f t="shared" si="388"/>
        <v>0.11244668476153548</v>
      </c>
      <c r="V460" s="22">
        <f t="shared" si="388"/>
        <v>0.25001077075524536</v>
      </c>
      <c r="W460" s="22">
        <f t="shared" si="388"/>
        <v>7.4318211192968844E-2</v>
      </c>
      <c r="X460" s="22">
        <f t="shared" si="388"/>
        <v>2.1455344448752748E-2</v>
      </c>
      <c r="Y460" s="384">
        <f t="shared" si="388"/>
        <v>3.446641678514497E-4</v>
      </c>
    </row>
    <row r="461" spans="1:32" x14ac:dyDescent="0.35">
      <c r="A461" s="145" t="s">
        <v>20</v>
      </c>
      <c r="B461" s="22">
        <f t="shared" ref="B461:Y461" si="389">B437/$Z$437</f>
        <v>0.61038961038961037</v>
      </c>
      <c r="C461" s="22">
        <f t="shared" si="389"/>
        <v>0</v>
      </c>
      <c r="D461" s="22">
        <f t="shared" si="389"/>
        <v>0</v>
      </c>
      <c r="E461" s="22">
        <f t="shared" si="389"/>
        <v>0</v>
      </c>
      <c r="F461" s="22">
        <f t="shared" si="389"/>
        <v>0</v>
      </c>
      <c r="G461" s="22">
        <f t="shared" si="389"/>
        <v>0</v>
      </c>
      <c r="H461" s="22">
        <f t="shared" si="389"/>
        <v>0</v>
      </c>
      <c r="I461" s="22">
        <f t="shared" si="389"/>
        <v>0</v>
      </c>
      <c r="J461" s="22">
        <f t="shared" si="389"/>
        <v>0</v>
      </c>
      <c r="K461" s="22">
        <f t="shared" si="389"/>
        <v>0</v>
      </c>
      <c r="L461" s="22">
        <f t="shared" si="389"/>
        <v>0</v>
      </c>
      <c r="M461" s="22">
        <f t="shared" si="389"/>
        <v>0</v>
      </c>
      <c r="N461" s="22">
        <f t="shared" si="389"/>
        <v>0</v>
      </c>
      <c r="O461" s="22">
        <f t="shared" si="389"/>
        <v>0</v>
      </c>
      <c r="P461" s="22">
        <f t="shared" si="389"/>
        <v>0</v>
      </c>
      <c r="Q461" s="22">
        <f t="shared" si="389"/>
        <v>0</v>
      </c>
      <c r="R461" s="22">
        <f t="shared" si="389"/>
        <v>0</v>
      </c>
      <c r="S461" s="22">
        <f t="shared" si="389"/>
        <v>0</v>
      </c>
      <c r="T461" s="22">
        <f t="shared" si="389"/>
        <v>0</v>
      </c>
      <c r="U461" s="22">
        <f t="shared" si="389"/>
        <v>0</v>
      </c>
      <c r="V461" s="22">
        <f t="shared" si="389"/>
        <v>0</v>
      </c>
      <c r="W461" s="22">
        <f t="shared" si="389"/>
        <v>0</v>
      </c>
      <c r="X461" s="22">
        <f t="shared" si="389"/>
        <v>0.38961038961038957</v>
      </c>
      <c r="Y461" s="385">
        <f t="shared" si="389"/>
        <v>0</v>
      </c>
    </row>
    <row r="462" spans="1:32" x14ac:dyDescent="0.35">
      <c r="A462" s="145" t="s">
        <v>21</v>
      </c>
      <c r="B462" s="22">
        <f t="shared" ref="B462:Y462" si="390">B439/$Z$439</f>
        <v>0</v>
      </c>
      <c r="C462" s="22">
        <f t="shared" si="390"/>
        <v>0</v>
      </c>
      <c r="D462" s="22">
        <f t="shared" si="390"/>
        <v>0</v>
      </c>
      <c r="E462" s="22">
        <f t="shared" si="390"/>
        <v>0</v>
      </c>
      <c r="F462" s="22">
        <f t="shared" si="390"/>
        <v>0</v>
      </c>
      <c r="G462" s="22">
        <f t="shared" si="390"/>
        <v>0</v>
      </c>
      <c r="H462" s="22">
        <f t="shared" si="390"/>
        <v>0</v>
      </c>
      <c r="I462" s="22">
        <f t="shared" si="390"/>
        <v>0</v>
      </c>
      <c r="J462" s="22">
        <f t="shared" si="390"/>
        <v>0</v>
      </c>
      <c r="K462" s="22">
        <f t="shared" si="390"/>
        <v>0</v>
      </c>
      <c r="L462" s="22">
        <f t="shared" si="390"/>
        <v>0</v>
      </c>
      <c r="M462" s="22">
        <f t="shared" si="390"/>
        <v>0</v>
      </c>
      <c r="N462" s="22">
        <f t="shared" si="390"/>
        <v>0</v>
      </c>
      <c r="O462" s="22">
        <f t="shared" si="390"/>
        <v>0</v>
      </c>
      <c r="P462" s="22">
        <f t="shared" si="390"/>
        <v>0</v>
      </c>
      <c r="Q462" s="22">
        <f t="shared" si="390"/>
        <v>0</v>
      </c>
      <c r="R462" s="22">
        <f t="shared" si="390"/>
        <v>0</v>
      </c>
      <c r="S462" s="22">
        <f t="shared" si="390"/>
        <v>0</v>
      </c>
      <c r="T462" s="22">
        <f t="shared" si="390"/>
        <v>0</v>
      </c>
      <c r="U462" s="22">
        <f t="shared" si="390"/>
        <v>0.10394610202117421</v>
      </c>
      <c r="V462" s="22">
        <f t="shared" si="390"/>
        <v>0</v>
      </c>
      <c r="W462" s="22">
        <f t="shared" si="390"/>
        <v>0.89605389797882584</v>
      </c>
      <c r="X462" s="22">
        <f t="shared" si="390"/>
        <v>0</v>
      </c>
      <c r="Y462" s="385">
        <f t="shared" si="390"/>
        <v>0</v>
      </c>
    </row>
    <row r="463" spans="1:32" x14ac:dyDescent="0.35">
      <c r="A463" s="145" t="s">
        <v>22</v>
      </c>
      <c r="B463" s="22">
        <f t="shared" ref="B463:Y463" si="391">B441/$Z$441</f>
        <v>0.41229382444123314</v>
      </c>
      <c r="C463" s="22">
        <f t="shared" si="391"/>
        <v>5.798060947118476E-2</v>
      </c>
      <c r="D463" s="22">
        <f t="shared" si="391"/>
        <v>5.7356751354345056E-3</v>
      </c>
      <c r="E463" s="22">
        <f t="shared" si="391"/>
        <v>1.7060609725820725E-3</v>
      </c>
      <c r="F463" s="22">
        <f t="shared" si="391"/>
        <v>5.2836962956832835E-4</v>
      </c>
      <c r="G463" s="22">
        <f t="shared" si="391"/>
        <v>1.8009128699383148E-2</v>
      </c>
      <c r="H463" s="22">
        <f t="shared" si="391"/>
        <v>1.7385270582543428E-2</v>
      </c>
      <c r="I463" s="22">
        <f t="shared" si="391"/>
        <v>3.4032096863521488E-2</v>
      </c>
      <c r="J463" s="22">
        <f t="shared" si="391"/>
        <v>1.5246328467664418E-2</v>
      </c>
      <c r="K463" s="22">
        <f t="shared" si="391"/>
        <v>4.1951275407894981E-3</v>
      </c>
      <c r="L463" s="22">
        <f t="shared" si="391"/>
        <v>1.1331300489537646E-3</v>
      </c>
      <c r="M463" s="22">
        <f t="shared" si="391"/>
        <v>2.8162737845907043E-2</v>
      </c>
      <c r="N463" s="22">
        <f t="shared" si="391"/>
        <v>1.1038469128572067E-2</v>
      </c>
      <c r="O463" s="22">
        <f t="shared" si="391"/>
        <v>2.0065314125293627E-2</v>
      </c>
      <c r="P463" s="22">
        <f t="shared" si="391"/>
        <v>1.9874337150750859E-2</v>
      </c>
      <c r="Q463" s="22">
        <f t="shared" si="391"/>
        <v>1.795820150617174E-2</v>
      </c>
      <c r="R463" s="22">
        <f t="shared" si="391"/>
        <v>9.3903378382679661E-2</v>
      </c>
      <c r="S463" s="22">
        <f t="shared" si="391"/>
        <v>6.4079140858250533E-2</v>
      </c>
      <c r="T463" s="22">
        <f t="shared" si="391"/>
        <v>5.1665637512970521E-2</v>
      </c>
      <c r="U463" s="22">
        <f t="shared" si="391"/>
        <v>3.4344025921941343E-2</v>
      </c>
      <c r="V463" s="22">
        <f t="shared" si="391"/>
        <v>2.483973848886286E-2</v>
      </c>
      <c r="W463" s="22">
        <f t="shared" si="391"/>
        <v>4.8457224340651993E-2</v>
      </c>
      <c r="X463" s="22">
        <f t="shared" si="391"/>
        <v>1.6564069592009522E-2</v>
      </c>
      <c r="Y463" s="384">
        <f t="shared" si="391"/>
        <v>8.0210329307963128E-4</v>
      </c>
    </row>
    <row r="464" spans="1:32" x14ac:dyDescent="0.35">
      <c r="A464" s="145" t="s">
        <v>23</v>
      </c>
      <c r="B464" s="22">
        <f t="shared" ref="B464:Y464" si="392">B443/$Z$443</f>
        <v>0.19494022796775093</v>
      </c>
      <c r="C464" s="22">
        <f t="shared" si="392"/>
        <v>1.3844870725604672E-2</v>
      </c>
      <c r="D464" s="22">
        <f t="shared" si="392"/>
        <v>0</v>
      </c>
      <c r="E464" s="22">
        <f t="shared" si="392"/>
        <v>0</v>
      </c>
      <c r="F464" s="22">
        <f t="shared" si="392"/>
        <v>0</v>
      </c>
      <c r="G464" s="22">
        <f t="shared" si="392"/>
        <v>1.3010842368640533E-2</v>
      </c>
      <c r="H464" s="22">
        <f t="shared" si="392"/>
        <v>1.8904642757853769E-3</v>
      </c>
      <c r="I464" s="22">
        <f t="shared" si="392"/>
        <v>2.7133722546566583E-2</v>
      </c>
      <c r="J464" s="22">
        <f t="shared" si="392"/>
        <v>0</v>
      </c>
      <c r="K464" s="22">
        <f t="shared" si="392"/>
        <v>0</v>
      </c>
      <c r="L464" s="22">
        <f t="shared" si="392"/>
        <v>1.9460661662496525E-3</v>
      </c>
      <c r="M464" s="22">
        <f t="shared" si="392"/>
        <v>0</v>
      </c>
      <c r="N464" s="22">
        <f t="shared" si="392"/>
        <v>1.2788434806783433E-3</v>
      </c>
      <c r="O464" s="22">
        <f t="shared" si="392"/>
        <v>0</v>
      </c>
      <c r="P464" s="22">
        <f t="shared" si="392"/>
        <v>2.2796775090353073E-3</v>
      </c>
      <c r="Q464" s="22">
        <f t="shared" si="392"/>
        <v>1.2899638587711981E-2</v>
      </c>
      <c r="R464" s="22">
        <f t="shared" si="392"/>
        <v>2.3853211009174313E-2</v>
      </c>
      <c r="S464" s="22">
        <f t="shared" si="392"/>
        <v>6.777870447595219E-2</v>
      </c>
      <c r="T464" s="22">
        <f t="shared" si="392"/>
        <v>0.10870169585765917</v>
      </c>
      <c r="U464" s="22">
        <f t="shared" si="392"/>
        <v>1.3789268835140395E-2</v>
      </c>
      <c r="V464" s="22">
        <f t="shared" si="392"/>
        <v>9.4801223241590196E-2</v>
      </c>
      <c r="W464" s="22">
        <f t="shared" si="392"/>
        <v>0.14784542674450932</v>
      </c>
      <c r="X464" s="22">
        <f t="shared" si="392"/>
        <v>0.2735056991937726</v>
      </c>
      <c r="Y464" s="384">
        <f t="shared" si="392"/>
        <v>5.0041701417848203E-4</v>
      </c>
    </row>
    <row r="465" spans="1:25" x14ac:dyDescent="0.35">
      <c r="A465" s="145" t="s">
        <v>25</v>
      </c>
      <c r="B465" s="22">
        <f t="shared" ref="B465:Y465" si="393">B445/$Z$445</f>
        <v>0.21537603405315028</v>
      </c>
      <c r="C465" s="22">
        <f t="shared" si="393"/>
        <v>3.196919778744671E-2</v>
      </c>
      <c r="D465" s="22">
        <f t="shared" si="393"/>
        <v>3.4826445279872221E-3</v>
      </c>
      <c r="E465" s="22">
        <f t="shared" si="393"/>
        <v>1.866331243511858E-3</v>
      </c>
      <c r="F465" s="22">
        <f t="shared" si="393"/>
        <v>2.3212935013641827E-3</v>
      </c>
      <c r="G465" s="22">
        <f t="shared" si="393"/>
        <v>9.7288678482538894E-3</v>
      </c>
      <c r="H465" s="22">
        <f t="shared" si="393"/>
        <v>1.4076363231725099E-2</v>
      </c>
      <c r="I465" s="22">
        <f t="shared" si="393"/>
        <v>2.2649514260883526E-2</v>
      </c>
      <c r="J465" s="22">
        <f t="shared" si="393"/>
        <v>7.7829534234149216E-3</v>
      </c>
      <c r="K465" s="22">
        <f t="shared" si="393"/>
        <v>1.2076923835374093E-2</v>
      </c>
      <c r="L465" s="22">
        <f t="shared" si="393"/>
        <v>9.6591445301000504E-3</v>
      </c>
      <c r="M465" s="22">
        <f t="shared" si="393"/>
        <v>1.5975091168520559E-2</v>
      </c>
      <c r="N465" s="22">
        <f t="shared" si="393"/>
        <v>1.2405820699796745E-2</v>
      </c>
      <c r="O465" s="22">
        <f t="shared" si="393"/>
        <v>1.0725418304695125E-2</v>
      </c>
      <c r="P465" s="22">
        <f t="shared" si="393"/>
        <v>2.7791432905743933E-2</v>
      </c>
      <c r="Q465" s="22">
        <f t="shared" si="393"/>
        <v>3.3791863922619791E-2</v>
      </c>
      <c r="R465" s="22">
        <f t="shared" si="393"/>
        <v>0.11047201982114208</v>
      </c>
      <c r="S465" s="22">
        <f t="shared" si="393"/>
        <v>0.130238932655726</v>
      </c>
      <c r="T465" s="22">
        <f t="shared" si="393"/>
        <v>8.8989490794409154E-2</v>
      </c>
      <c r="U465" s="22">
        <f t="shared" si="393"/>
        <v>7.667381741505376E-2</v>
      </c>
      <c r="V465" s="22">
        <f t="shared" si="393"/>
        <v>4.9850059652172186E-2</v>
      </c>
      <c r="W465" s="22">
        <f t="shared" si="393"/>
        <v>6.0258553783440784E-2</v>
      </c>
      <c r="X465" s="22">
        <f t="shared" si="393"/>
        <v>5.1112122138350785E-2</v>
      </c>
      <c r="Y465" s="384">
        <f t="shared" si="393"/>
        <v>7.2610849511725497E-4</v>
      </c>
    </row>
    <row r="468" spans="1:25" ht="18.5" x14ac:dyDescent="0.45">
      <c r="A468" s="624" t="s">
        <v>343</v>
      </c>
      <c r="B468" t="s">
        <v>341</v>
      </c>
    </row>
    <row r="469" spans="1:25" x14ac:dyDescent="0.35">
      <c r="A469" s="136"/>
    </row>
    <row r="470" spans="1:25" x14ac:dyDescent="0.35">
      <c r="A470" s="136"/>
      <c r="B470" s="698" t="s">
        <v>242</v>
      </c>
      <c r="C470" s="698"/>
      <c r="D470" s="698" t="s">
        <v>213</v>
      </c>
      <c r="E470" s="698"/>
    </row>
    <row r="471" spans="1:25" x14ac:dyDescent="0.35">
      <c r="A471" s="136"/>
      <c r="B471" t="s">
        <v>223</v>
      </c>
      <c r="C471" t="s">
        <v>224</v>
      </c>
      <c r="D471" t="s">
        <v>344</v>
      </c>
      <c r="E471" t="s">
        <v>224</v>
      </c>
      <c r="H471" s="698" t="s">
        <v>242</v>
      </c>
      <c r="I471" t="s">
        <v>223</v>
      </c>
      <c r="J471" s="190">
        <v>0.13613474051804111</v>
      </c>
    </row>
    <row r="472" spans="1:25" x14ac:dyDescent="0.35">
      <c r="A472" s="623" t="s">
        <v>5</v>
      </c>
      <c r="B472" s="382">
        <f>AH166</f>
        <v>0.13356614171552425</v>
      </c>
      <c r="C472" s="382">
        <f>AH244</f>
        <v>0.38789517707197274</v>
      </c>
      <c r="D472" s="190">
        <f>AG319</f>
        <v>0.16413657154629285</v>
      </c>
      <c r="E472" s="382">
        <f>AG395</f>
        <v>0.16444420642996124</v>
      </c>
      <c r="H472" s="698"/>
      <c r="I472" t="s">
        <v>224</v>
      </c>
      <c r="J472" s="190">
        <v>0.29554098706980775</v>
      </c>
    </row>
    <row r="473" spans="1:25" x14ac:dyDescent="0.35">
      <c r="A473" s="623" t="s">
        <v>12</v>
      </c>
      <c r="B473" s="382">
        <f>AH175</f>
        <v>9.5372651606412825E-2</v>
      </c>
      <c r="C473" s="382">
        <f>AH253</f>
        <v>0.29916542266801177</v>
      </c>
      <c r="D473" s="190">
        <f>AG328</f>
        <v>0.11893275812649685</v>
      </c>
      <c r="E473" s="382">
        <f>AG404</f>
        <v>0.36736881788836268</v>
      </c>
      <c r="H473" s="698" t="s">
        <v>213</v>
      </c>
      <c r="I473" t="s">
        <v>344</v>
      </c>
      <c r="J473" s="190">
        <v>0.15848025999892487</v>
      </c>
    </row>
    <row r="474" spans="1:25" x14ac:dyDescent="0.35">
      <c r="A474" s="623" t="s">
        <v>13</v>
      </c>
      <c r="B474" s="382">
        <f>AH179</f>
        <v>4.7774875525666421E-2</v>
      </c>
      <c r="C474" s="382">
        <f>AH257</f>
        <v>9.5352060523088519E-2</v>
      </c>
      <c r="D474" s="190">
        <f>AG332</f>
        <v>9.9753263731609837E-2</v>
      </c>
      <c r="E474" s="382">
        <f>AG408</f>
        <v>8.7032961552129362E-2</v>
      </c>
      <c r="H474" s="698"/>
      <c r="I474" t="s">
        <v>224</v>
      </c>
      <c r="J474" s="190">
        <v>0.16122164393016358</v>
      </c>
    </row>
    <row r="475" spans="1:25" x14ac:dyDescent="0.35">
      <c r="A475" s="623" t="s">
        <v>14</v>
      </c>
      <c r="B475" s="382">
        <f>AH183</f>
        <v>3.8579073101285694E-2</v>
      </c>
      <c r="C475" s="382">
        <f>AH261</f>
        <v>0.23568941229916457</v>
      </c>
      <c r="D475" s="190">
        <f>AG336</f>
        <v>2.6219908558068904E-2</v>
      </c>
      <c r="E475" s="382">
        <f>AG412</f>
        <v>0.10038019671047194</v>
      </c>
    </row>
    <row r="476" spans="1:25" x14ac:dyDescent="0.35">
      <c r="A476" s="623" t="s">
        <v>15</v>
      </c>
      <c r="B476" s="382">
        <f>AH188</f>
        <v>0.22821478434092046</v>
      </c>
      <c r="C476" s="382">
        <f>AH266</f>
        <v>0.23581251863129513</v>
      </c>
      <c r="D476" s="190">
        <f>AG341</f>
        <v>0.21978988733355831</v>
      </c>
      <c r="E476" s="382">
        <f>AG417</f>
        <v>0.16752751117244849</v>
      </c>
    </row>
    <row r="477" spans="1:25" x14ac:dyDescent="0.35">
      <c r="A477" s="623" t="s">
        <v>16</v>
      </c>
      <c r="B477" s="382">
        <f>AH194</f>
        <v>0.347156147341106</v>
      </c>
      <c r="C477" s="382">
        <f>AH272</f>
        <v>0.43835591458633455</v>
      </c>
      <c r="D477" s="190">
        <f>AG347</f>
        <v>0.62522904386603972</v>
      </c>
      <c r="E477" s="382">
        <f>AG423</f>
        <v>0.55404054825813831</v>
      </c>
    </row>
    <row r="478" spans="1:25" x14ac:dyDescent="0.35">
      <c r="A478" s="623" t="s">
        <v>18</v>
      </c>
      <c r="B478" s="382">
        <f>AH204</f>
        <v>1.3227919803142293E-2</v>
      </c>
      <c r="C478" s="382">
        <f>AH281</f>
        <v>7.9006794226401805E-2</v>
      </c>
      <c r="D478" s="190">
        <f>AG357</f>
        <v>0.15136265603555324</v>
      </c>
      <c r="E478" s="382">
        <f>AG432</f>
        <v>7.8131292790978635E-2</v>
      </c>
    </row>
    <row r="479" spans="1:25" x14ac:dyDescent="0.35">
      <c r="A479" s="623" t="s">
        <v>17</v>
      </c>
      <c r="B479" s="382">
        <f>AH206</f>
        <v>0.37703069415768536</v>
      </c>
      <c r="C479" s="382">
        <f>AH283</f>
        <v>0.43697998267825333</v>
      </c>
      <c r="D479" s="190">
        <f>AG359</f>
        <v>0.25339531296859602</v>
      </c>
      <c r="E479" s="382">
        <f>AG434</f>
        <v>0.34578432639696693</v>
      </c>
    </row>
    <row r="480" spans="1:25" x14ac:dyDescent="0.35">
      <c r="A480" s="623" t="s">
        <v>20</v>
      </c>
      <c r="B480" s="382">
        <f>AH209</f>
        <v>0.12432803932980063</v>
      </c>
      <c r="C480" s="382">
        <f>AH286</f>
        <v>0.32224296950149944</v>
      </c>
      <c r="D480" s="190">
        <f>AG362</f>
        <v>2.5160335471139623E-2</v>
      </c>
      <c r="E480" s="382">
        <f>AG437</f>
        <v>0.38961038961038957</v>
      </c>
    </row>
    <row r="481" spans="1:14" x14ac:dyDescent="0.35">
      <c r="A481" s="623" t="s">
        <v>21</v>
      </c>
      <c r="B481" s="382">
        <f>AH211</f>
        <v>0.52549031550736991</v>
      </c>
      <c r="C481" s="382">
        <f>AH288</f>
        <v>0.82987755102040817</v>
      </c>
      <c r="D481" s="190">
        <f>AG364</f>
        <v>0.37370517928286856</v>
      </c>
      <c r="E481" s="382">
        <f>AG439</f>
        <v>0.89605389797882584</v>
      </c>
    </row>
    <row r="482" spans="1:14" x14ac:dyDescent="0.35">
      <c r="A482" s="623" t="s">
        <v>22</v>
      </c>
      <c r="B482" s="382">
        <f>AH213</f>
        <v>0.10014759937188025</v>
      </c>
      <c r="C482" s="382">
        <f>AH290</f>
        <v>0.13038634155369452</v>
      </c>
      <c r="D482" s="190">
        <f>AG366</f>
        <v>0.12103835445685451</v>
      </c>
      <c r="E482" s="382">
        <f>AG441</f>
        <v>8.9861032421524351E-2</v>
      </c>
    </row>
    <row r="483" spans="1:14" x14ac:dyDescent="0.35">
      <c r="A483" s="623" t="s">
        <v>23</v>
      </c>
      <c r="B483" s="382">
        <f>AH215</f>
        <v>0.16727749868710282</v>
      </c>
      <c r="C483" s="382">
        <f>AH292</f>
        <v>0.24499915805854106</v>
      </c>
      <c r="D483" s="190">
        <f>AG368</f>
        <v>0.14038219929908086</v>
      </c>
      <c r="E483" s="382">
        <f>AG443</f>
        <v>0.51615234917987207</v>
      </c>
    </row>
    <row r="484" spans="1:14" x14ac:dyDescent="0.35">
      <c r="A484" s="623" t="s">
        <v>25</v>
      </c>
      <c r="B484" s="382">
        <f>AH219</f>
        <v>0.13613474051804111</v>
      </c>
      <c r="C484" s="382">
        <f>AH294</f>
        <v>0.29554098706980775</v>
      </c>
      <c r="D484" s="190">
        <f>AG370</f>
        <v>0.15848025999892487</v>
      </c>
      <c r="E484" s="382">
        <f>AG445</f>
        <v>0.16122164393016358</v>
      </c>
    </row>
    <row r="487" spans="1:14" x14ac:dyDescent="0.35">
      <c r="B487">
        <v>0.13613474051804111</v>
      </c>
      <c r="C487">
        <v>0.29554098706980775</v>
      </c>
      <c r="D487">
        <v>0.15848025999892487</v>
      </c>
      <c r="E487">
        <v>0.16122164393016358</v>
      </c>
    </row>
    <row r="491" spans="1:14" x14ac:dyDescent="0.35">
      <c r="J491" t="s">
        <v>5</v>
      </c>
      <c r="K491" t="s">
        <v>345</v>
      </c>
      <c r="L491" t="s">
        <v>13</v>
      </c>
      <c r="M491" t="s">
        <v>15</v>
      </c>
      <c r="N491" t="s">
        <v>22</v>
      </c>
    </row>
    <row r="492" spans="1:14" x14ac:dyDescent="0.35">
      <c r="H492" s="698" t="s">
        <v>242</v>
      </c>
      <c r="I492" t="s">
        <v>223</v>
      </c>
      <c r="J492" s="450">
        <v>0.13356614171552425</v>
      </c>
      <c r="K492" s="318">
        <v>9.5372651606412825E-2</v>
      </c>
      <c r="L492" s="318">
        <v>4.7774875525666421E-2</v>
      </c>
      <c r="M492" s="318">
        <v>0.22821478434092046</v>
      </c>
      <c r="N492" s="318">
        <v>0.10014759937188025</v>
      </c>
    </row>
    <row r="493" spans="1:14" x14ac:dyDescent="0.35">
      <c r="H493" s="698"/>
      <c r="I493" t="s">
        <v>224</v>
      </c>
      <c r="J493" s="450">
        <v>0.38789517707197274</v>
      </c>
      <c r="K493" s="318">
        <v>0.29916542266801177</v>
      </c>
      <c r="L493" s="318">
        <v>9.5352060523088519E-2</v>
      </c>
      <c r="M493" s="318">
        <v>0.23581251863129513</v>
      </c>
      <c r="N493" s="318">
        <v>0.13038634155369452</v>
      </c>
    </row>
    <row r="494" spans="1:14" x14ac:dyDescent="0.35">
      <c r="H494" s="698" t="s">
        <v>213</v>
      </c>
      <c r="I494" t="s">
        <v>344</v>
      </c>
      <c r="J494" s="318">
        <v>0.16413657154629285</v>
      </c>
      <c r="K494" s="318">
        <v>0.11893275812649685</v>
      </c>
      <c r="L494" s="318">
        <v>9.9753263731609837E-2</v>
      </c>
      <c r="M494" s="318">
        <v>0.21978988733355831</v>
      </c>
      <c r="N494" s="318">
        <v>0.12103835445685451</v>
      </c>
    </row>
    <row r="495" spans="1:14" x14ac:dyDescent="0.35">
      <c r="H495" s="698"/>
      <c r="I495" t="s">
        <v>224</v>
      </c>
      <c r="J495" s="450">
        <v>0.16444420642996124</v>
      </c>
      <c r="K495" s="318">
        <v>0.36736881788836268</v>
      </c>
      <c r="L495" s="318">
        <v>8.7032961552129362E-2</v>
      </c>
      <c r="M495" s="318">
        <v>0.16752751117244849</v>
      </c>
      <c r="N495" s="318">
        <v>8.9861032421524351E-2</v>
      </c>
    </row>
  </sheetData>
  <mergeCells count="6">
    <mergeCell ref="H494:H495"/>
    <mergeCell ref="B470:C470"/>
    <mergeCell ref="D470:E470"/>
    <mergeCell ref="H471:H472"/>
    <mergeCell ref="H473:H474"/>
    <mergeCell ref="H492:H493"/>
  </mergeCells>
  <hyperlinks>
    <hyperlink ref="B1" r:id="rId1" xr:uid="{00000000-0004-0000-0C00-000000000000}"/>
    <hyperlink ref="Q1" location="ÍNDICE!A1" display="ÍNDICE!A1" xr:uid="{00000000-0004-0000-0C00-000001000000}"/>
    <hyperlink ref="B5" location="'ALM-EDAD'!A9" display="SECANO" xr:uid="{00000000-0004-0000-0C00-000002000000}"/>
    <hyperlink ref="C5" location="'ALM-EDAD'!A85" display="REGADÍO" xr:uid="{00000000-0004-0000-0C00-000003000000}"/>
    <hyperlink ref="B6" location="'ALM-EDAD'!A159" display="SECANO" xr:uid="{00000000-0004-0000-0C00-000004000000}"/>
    <hyperlink ref="C6" location="'ALM-EDAD'!A236" display="REGADÍO" xr:uid="{00000000-0004-0000-0C00-000005000000}"/>
    <hyperlink ref="B7" location="'ALM-EDAD'!A309" display="SECANO" xr:uid="{00000000-0004-0000-0C00-000006000000}"/>
    <hyperlink ref="C7" location="'ALM-EDAD'!A385" display="REGADÍO" xr:uid="{00000000-0004-0000-0C00-000007000000}"/>
  </hyperlinks>
  <pageMargins left="0.7" right="0.7" top="0.75" bottom="0.75" header="0.3" footer="0.3"/>
  <pageSetup paperSize="9" orientation="portrait"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AQ501"/>
  <sheetViews>
    <sheetView topLeftCell="A466" zoomScale="40" zoomScaleNormal="40" workbookViewId="0">
      <selection activeCell="AC347" sqref="AC347"/>
    </sheetView>
  </sheetViews>
  <sheetFormatPr baseColWidth="10" defaultRowHeight="14.5" x14ac:dyDescent="0.35"/>
  <cols>
    <col min="1" max="1" width="36.1796875" bestFit="1" customWidth="1"/>
    <col min="2" max="23" width="10.81640625" customWidth="1"/>
    <col min="24" max="24" width="17" bestFit="1" customWidth="1"/>
    <col min="25" max="25" width="23.81640625" customWidth="1"/>
    <col min="26" max="26" width="19.453125" bestFit="1" customWidth="1"/>
    <col min="27" max="27" width="31.1796875" bestFit="1" customWidth="1"/>
    <col min="29" max="29" width="27.54296875" bestFit="1" customWidth="1"/>
    <col min="30" max="30" width="24.81640625" bestFit="1" customWidth="1"/>
    <col min="31" max="31" width="20.453125" bestFit="1" customWidth="1"/>
    <col min="32" max="32" width="16.81640625" bestFit="1" customWidth="1"/>
    <col min="33" max="33" width="11.81640625" customWidth="1"/>
    <col min="34" max="34" width="17.54296875" bestFit="1" customWidth="1"/>
    <col min="35" max="35" width="22" bestFit="1" customWidth="1"/>
    <col min="36" max="36" width="15.81640625" bestFit="1" customWidth="1"/>
    <col min="40" max="40" width="11.453125" customWidth="1"/>
  </cols>
  <sheetData>
    <row r="1" spans="1:33" x14ac:dyDescent="0.35">
      <c r="A1" s="240" t="s">
        <v>10</v>
      </c>
      <c r="B1" s="2" t="s">
        <v>9</v>
      </c>
      <c r="C1" s="3"/>
      <c r="D1" s="3"/>
      <c r="P1" t="s">
        <v>143</v>
      </c>
      <c r="Q1" s="2" t="s">
        <v>144</v>
      </c>
    </row>
    <row r="4" spans="1:33" ht="17.5" x14ac:dyDescent="0.35">
      <c r="A4" s="291" t="s">
        <v>104</v>
      </c>
      <c r="B4" t="s">
        <v>243</v>
      </c>
    </row>
    <row r="5" spans="1:33" x14ac:dyDescent="0.35">
      <c r="A5" s="293" t="s">
        <v>216</v>
      </c>
      <c r="B5" s="308" t="s">
        <v>223</v>
      </c>
      <c r="C5" s="309" t="s">
        <v>224</v>
      </c>
    </row>
    <row r="6" spans="1:33" x14ac:dyDescent="0.35">
      <c r="A6" s="292" t="s">
        <v>215</v>
      </c>
      <c r="B6" s="308" t="s">
        <v>223</v>
      </c>
      <c r="C6" s="309" t="s">
        <v>224</v>
      </c>
    </row>
    <row r="7" spans="1:33" x14ac:dyDescent="0.35">
      <c r="A7" s="292" t="s">
        <v>214</v>
      </c>
      <c r="B7" s="337" t="s">
        <v>223</v>
      </c>
      <c r="C7" s="338" t="s">
        <v>224</v>
      </c>
    </row>
    <row r="9" spans="1:33" ht="23.5" x14ac:dyDescent="0.35">
      <c r="A9" s="289" t="s">
        <v>63</v>
      </c>
      <c r="B9" s="289"/>
      <c r="C9" s="120"/>
      <c r="D9" s="120"/>
    </row>
    <row r="10" spans="1:33" ht="15.5" x14ac:dyDescent="0.35">
      <c r="A10" s="237" t="s">
        <v>136</v>
      </c>
      <c r="B10" s="237"/>
    </row>
    <row r="11" spans="1:33" ht="18.5" x14ac:dyDescent="0.45">
      <c r="A11" s="108"/>
      <c r="D11" s="109"/>
      <c r="AA11" s="110"/>
    </row>
    <row r="12" spans="1:33" ht="39" x14ac:dyDescent="0.35">
      <c r="A12" s="213" t="s">
        <v>88</v>
      </c>
      <c r="B12" s="213" t="s">
        <v>89</v>
      </c>
      <c r="C12" s="213">
        <v>2000</v>
      </c>
      <c r="D12" s="213">
        <v>2001</v>
      </c>
      <c r="E12" s="213">
        <v>2002</v>
      </c>
      <c r="F12" s="213">
        <v>2003</v>
      </c>
      <c r="G12" s="213">
        <v>2004</v>
      </c>
      <c r="H12" s="213">
        <v>2005</v>
      </c>
      <c r="I12" s="213">
        <v>2006</v>
      </c>
      <c r="J12" s="213">
        <v>2007</v>
      </c>
      <c r="K12" s="213">
        <v>2008</v>
      </c>
      <c r="L12" s="213">
        <v>2009</v>
      </c>
      <c r="M12" s="213">
        <v>2010</v>
      </c>
      <c r="N12" s="213">
        <v>2011</v>
      </c>
      <c r="O12" s="213">
        <v>2012</v>
      </c>
      <c r="P12" s="213">
        <v>2013</v>
      </c>
      <c r="Q12" s="213">
        <v>2014</v>
      </c>
      <c r="R12" s="213">
        <v>2015</v>
      </c>
      <c r="S12" s="213">
        <v>2016</v>
      </c>
      <c r="T12" s="213">
        <v>2017</v>
      </c>
      <c r="U12" s="213">
        <v>2018</v>
      </c>
      <c r="V12" s="213">
        <v>2019</v>
      </c>
      <c r="W12" s="213">
        <v>2020</v>
      </c>
      <c r="X12" s="213">
        <v>2021</v>
      </c>
      <c r="Y12" s="213" t="s">
        <v>90</v>
      </c>
      <c r="Z12" s="213" t="s">
        <v>91</v>
      </c>
      <c r="AA12" s="115" t="s">
        <v>92</v>
      </c>
      <c r="AC12" s="187" t="s">
        <v>93</v>
      </c>
      <c r="AD12" s="187" t="s">
        <v>107</v>
      </c>
      <c r="AE12" s="187" t="s">
        <v>94</v>
      </c>
      <c r="AF12" s="187" t="s">
        <v>96</v>
      </c>
      <c r="AG12" s="187" t="s">
        <v>97</v>
      </c>
    </row>
    <row r="13" spans="1:33" x14ac:dyDescent="0.35">
      <c r="A13" s="116" t="s">
        <v>5</v>
      </c>
      <c r="B13" s="117">
        <f t="shared" ref="B13:Z13" si="0">B319+B166</f>
        <v>37.879999999999995</v>
      </c>
      <c r="C13" s="117">
        <f t="shared" si="0"/>
        <v>46.839999999999996</v>
      </c>
      <c r="D13" s="117">
        <f t="shared" si="0"/>
        <v>0</v>
      </c>
      <c r="E13" s="117">
        <f t="shared" si="0"/>
        <v>1.69</v>
      </c>
      <c r="F13" s="117">
        <f t="shared" si="0"/>
        <v>6.57</v>
      </c>
      <c r="G13" s="117">
        <f t="shared" si="0"/>
        <v>0.35</v>
      </c>
      <c r="H13" s="117">
        <f t="shared" si="0"/>
        <v>18.440000000000001</v>
      </c>
      <c r="I13" s="117">
        <f t="shared" si="0"/>
        <v>20.849999999999998</v>
      </c>
      <c r="J13" s="117">
        <f t="shared" si="0"/>
        <v>23.79</v>
      </c>
      <c r="K13" s="117">
        <f t="shared" si="0"/>
        <v>11.27</v>
      </c>
      <c r="L13" s="117">
        <f t="shared" si="0"/>
        <v>10.15</v>
      </c>
      <c r="M13" s="117">
        <f t="shared" si="0"/>
        <v>89.35</v>
      </c>
      <c r="N13" s="117">
        <f t="shared" si="0"/>
        <v>53.620000000000005</v>
      </c>
      <c r="O13" s="117">
        <f t="shared" si="0"/>
        <v>44.62</v>
      </c>
      <c r="P13" s="117">
        <f t="shared" si="0"/>
        <v>101.89</v>
      </c>
      <c r="Q13" s="117">
        <f t="shared" si="0"/>
        <v>132.37</v>
      </c>
      <c r="R13" s="117">
        <f t="shared" si="0"/>
        <v>254.4</v>
      </c>
      <c r="S13" s="117">
        <f t="shared" si="0"/>
        <v>374.90999999999997</v>
      </c>
      <c r="T13" s="117">
        <f t="shared" si="0"/>
        <v>396.43</v>
      </c>
      <c r="U13" s="117">
        <f t="shared" si="0"/>
        <v>640.57999999999993</v>
      </c>
      <c r="V13" s="117">
        <f t="shared" si="0"/>
        <v>377.15</v>
      </c>
      <c r="W13" s="117">
        <f t="shared" si="0"/>
        <v>947.37</v>
      </c>
      <c r="X13" s="117">
        <f t="shared" si="0"/>
        <v>549.57999999999993</v>
      </c>
      <c r="Y13" s="117">
        <f t="shared" si="0"/>
        <v>1.6300000000000003</v>
      </c>
      <c r="Z13" s="117">
        <f t="shared" si="0"/>
        <v>4141.7299999999996</v>
      </c>
      <c r="AA13" s="185">
        <f t="shared" ref="AA13:AA44" si="1">Z13/$Z$67</f>
        <v>9.4083484886826649E-2</v>
      </c>
      <c r="AC13" s="117">
        <f>SUM(B13:T13)</f>
        <v>1625.4199999999998</v>
      </c>
      <c r="AD13" s="117">
        <f>SUM(U13:X13)</f>
        <v>2514.6799999999998</v>
      </c>
      <c r="AE13" s="117">
        <f>Y13</f>
        <v>1.6300000000000003</v>
      </c>
      <c r="AF13" s="117">
        <f>SUM(AC13:AE13)</f>
        <v>4141.7299999999996</v>
      </c>
      <c r="AG13" s="185">
        <f>AD13/AF13</f>
        <v>0.60715691269107352</v>
      </c>
    </row>
    <row r="14" spans="1:33" x14ac:dyDescent="0.35">
      <c r="A14" s="6" t="s">
        <v>6</v>
      </c>
      <c r="B14" s="12">
        <f t="shared" ref="B14:Z14" si="2">B320+B167</f>
        <v>3.2300000000000004</v>
      </c>
      <c r="C14" s="12">
        <f t="shared" si="2"/>
        <v>0</v>
      </c>
      <c r="D14" s="12">
        <f t="shared" si="2"/>
        <v>0</v>
      </c>
      <c r="E14" s="12">
        <f t="shared" si="2"/>
        <v>0</v>
      </c>
      <c r="F14" s="12">
        <f t="shared" si="2"/>
        <v>0</v>
      </c>
      <c r="G14" s="12">
        <f t="shared" si="2"/>
        <v>0</v>
      </c>
      <c r="H14" s="12">
        <f t="shared" si="2"/>
        <v>0</v>
      </c>
      <c r="I14" s="12">
        <f t="shared" si="2"/>
        <v>0</v>
      </c>
      <c r="J14" s="12">
        <f t="shared" si="2"/>
        <v>0</v>
      </c>
      <c r="K14" s="12">
        <f t="shared" si="2"/>
        <v>0</v>
      </c>
      <c r="L14" s="12">
        <f t="shared" si="2"/>
        <v>0</v>
      </c>
      <c r="M14" s="12">
        <f t="shared" si="2"/>
        <v>0.36</v>
      </c>
      <c r="N14" s="12">
        <f t="shared" si="2"/>
        <v>3.83</v>
      </c>
      <c r="O14" s="12">
        <f t="shared" si="2"/>
        <v>4.05</v>
      </c>
      <c r="P14" s="12">
        <f t="shared" si="2"/>
        <v>1.45</v>
      </c>
      <c r="Q14" s="12">
        <f t="shared" si="2"/>
        <v>2.11</v>
      </c>
      <c r="R14" s="12">
        <f t="shared" si="2"/>
        <v>6.6400000000000006</v>
      </c>
      <c r="S14" s="12">
        <f t="shared" si="2"/>
        <v>7.6000000000000005</v>
      </c>
      <c r="T14" s="12">
        <f t="shared" si="2"/>
        <v>4.99</v>
      </c>
      <c r="U14" s="12">
        <f t="shared" si="2"/>
        <v>25.3</v>
      </c>
      <c r="V14" s="12">
        <f t="shared" si="2"/>
        <v>8.3000000000000007</v>
      </c>
      <c r="W14" s="12">
        <f t="shared" si="2"/>
        <v>25.78</v>
      </c>
      <c r="X14" s="12">
        <f t="shared" si="2"/>
        <v>27.59</v>
      </c>
      <c r="Y14" s="12">
        <f t="shared" si="2"/>
        <v>0.31000000000000005</v>
      </c>
      <c r="Z14" s="12">
        <f t="shared" si="2"/>
        <v>121.54000000000002</v>
      </c>
      <c r="AA14" s="24">
        <f t="shared" si="1"/>
        <v>2.7609010614272093E-3</v>
      </c>
      <c r="AC14" s="89">
        <f t="shared" ref="AC14:AC67" si="3">SUM(B14:T14)</f>
        <v>34.26</v>
      </c>
      <c r="AD14" s="89">
        <f t="shared" ref="AD14:AD67" si="4">SUM(U14:X14)</f>
        <v>86.97</v>
      </c>
      <c r="AE14" s="89">
        <f t="shared" ref="AE14:AE67" si="5">Y14</f>
        <v>0.31000000000000005</v>
      </c>
      <c r="AF14" s="89">
        <f>SUM(AC14:AE14)</f>
        <v>121.53999999999999</v>
      </c>
      <c r="AG14" s="24">
        <f>AD14/AF14</f>
        <v>0.71556689155833475</v>
      </c>
    </row>
    <row r="15" spans="1:33" x14ac:dyDescent="0.35">
      <c r="A15" s="6" t="s">
        <v>7</v>
      </c>
      <c r="B15" s="12">
        <f t="shared" ref="B15:Z15" si="6">B321+B168</f>
        <v>0.27</v>
      </c>
      <c r="C15" s="12">
        <f t="shared" si="6"/>
        <v>0</v>
      </c>
      <c r="D15" s="12">
        <f t="shared" si="6"/>
        <v>0</v>
      </c>
      <c r="E15" s="12">
        <f t="shared" si="6"/>
        <v>0</v>
      </c>
      <c r="F15" s="12">
        <f t="shared" si="6"/>
        <v>0</v>
      </c>
      <c r="G15" s="12">
        <f t="shared" si="6"/>
        <v>0</v>
      </c>
      <c r="H15" s="12">
        <f t="shared" si="6"/>
        <v>11.06</v>
      </c>
      <c r="I15" s="12">
        <f t="shared" si="6"/>
        <v>0</v>
      </c>
      <c r="J15" s="12">
        <f t="shared" si="6"/>
        <v>0</v>
      </c>
      <c r="K15" s="12">
        <f t="shared" si="6"/>
        <v>0</v>
      </c>
      <c r="L15" s="12">
        <f t="shared" si="6"/>
        <v>0</v>
      </c>
      <c r="M15" s="12">
        <f t="shared" si="6"/>
        <v>0</v>
      </c>
      <c r="N15" s="12">
        <f t="shared" si="6"/>
        <v>0</v>
      </c>
      <c r="O15" s="12">
        <f t="shared" si="6"/>
        <v>0</v>
      </c>
      <c r="P15" s="12">
        <f t="shared" si="6"/>
        <v>0</v>
      </c>
      <c r="Q15" s="12">
        <f t="shared" si="6"/>
        <v>3.66</v>
      </c>
      <c r="R15" s="12">
        <f t="shared" si="6"/>
        <v>6.32</v>
      </c>
      <c r="S15" s="12">
        <f t="shared" si="6"/>
        <v>15.620000000000001</v>
      </c>
      <c r="T15" s="12">
        <f t="shared" si="6"/>
        <v>18.61</v>
      </c>
      <c r="U15" s="12">
        <f t="shared" si="6"/>
        <v>30.14</v>
      </c>
      <c r="V15" s="12">
        <f t="shared" si="6"/>
        <v>57.71</v>
      </c>
      <c r="W15" s="12">
        <f t="shared" si="6"/>
        <v>53.540000000000006</v>
      </c>
      <c r="X15" s="12">
        <f t="shared" si="6"/>
        <v>22.749999999999996</v>
      </c>
      <c r="Y15" s="12">
        <f t="shared" si="6"/>
        <v>0.1</v>
      </c>
      <c r="Z15" s="12">
        <f t="shared" si="6"/>
        <v>219.78</v>
      </c>
      <c r="AA15" s="24">
        <f t="shared" si="1"/>
        <v>4.9925196254769783E-3</v>
      </c>
      <c r="AC15" s="89">
        <f t="shared" si="3"/>
        <v>55.540000000000006</v>
      </c>
      <c r="AD15" s="89">
        <f t="shared" si="4"/>
        <v>164.14</v>
      </c>
      <c r="AE15" s="89">
        <f t="shared" si="5"/>
        <v>0.1</v>
      </c>
      <c r="AF15" s="89">
        <f t="shared" ref="AF15:AF21" si="7">SUM(AC15:AE15)</f>
        <v>219.78</v>
      </c>
      <c r="AG15" s="24">
        <f t="shared" ref="AG15:AG21" si="8">AD15/AF15</f>
        <v>0.74683774683774673</v>
      </c>
    </row>
    <row r="16" spans="1:33" x14ac:dyDescent="0.35">
      <c r="A16" s="6" t="s">
        <v>8</v>
      </c>
      <c r="B16" s="12">
        <f t="shared" ref="B16:Z16" si="9">B322+B169</f>
        <v>0</v>
      </c>
      <c r="C16" s="12">
        <f t="shared" si="9"/>
        <v>0</v>
      </c>
      <c r="D16" s="12">
        <f t="shared" si="9"/>
        <v>0</v>
      </c>
      <c r="E16" s="12">
        <f t="shared" si="9"/>
        <v>0</v>
      </c>
      <c r="F16" s="12">
        <f t="shared" si="9"/>
        <v>0</v>
      </c>
      <c r="G16" s="12">
        <f t="shared" si="9"/>
        <v>0</v>
      </c>
      <c r="H16" s="12">
        <f t="shared" si="9"/>
        <v>0</v>
      </c>
      <c r="I16" s="12">
        <f t="shared" si="9"/>
        <v>0.63</v>
      </c>
      <c r="J16" s="12">
        <f t="shared" si="9"/>
        <v>0</v>
      </c>
      <c r="K16" s="12">
        <f t="shared" si="9"/>
        <v>0</v>
      </c>
      <c r="L16" s="12">
        <f t="shared" si="9"/>
        <v>5.49</v>
      </c>
      <c r="M16" s="12">
        <f t="shared" si="9"/>
        <v>81.62</v>
      </c>
      <c r="N16" s="12">
        <f t="shared" si="9"/>
        <v>13.23</v>
      </c>
      <c r="O16" s="12">
        <f t="shared" si="9"/>
        <v>4.2799999999999994</v>
      </c>
      <c r="P16" s="12">
        <f t="shared" si="9"/>
        <v>21.810000000000002</v>
      </c>
      <c r="Q16" s="12">
        <f t="shared" si="9"/>
        <v>6.3100000000000005</v>
      </c>
      <c r="R16" s="12">
        <f t="shared" si="9"/>
        <v>4.7699999999999996</v>
      </c>
      <c r="S16" s="12">
        <f t="shared" si="9"/>
        <v>6.3400000000000007</v>
      </c>
      <c r="T16" s="12">
        <f t="shared" si="9"/>
        <v>28.89</v>
      </c>
      <c r="U16" s="12">
        <f t="shared" si="9"/>
        <v>26.930000000000003</v>
      </c>
      <c r="V16" s="12">
        <f t="shared" si="9"/>
        <v>32.67</v>
      </c>
      <c r="W16" s="12">
        <f t="shared" si="9"/>
        <v>63.51</v>
      </c>
      <c r="X16" s="12">
        <f t="shared" si="9"/>
        <v>43.41</v>
      </c>
      <c r="Y16" s="12">
        <f t="shared" si="9"/>
        <v>0.04</v>
      </c>
      <c r="Z16" s="12">
        <f t="shared" si="9"/>
        <v>339.93</v>
      </c>
      <c r="AA16" s="24">
        <f t="shared" si="1"/>
        <v>7.7218454649576355E-3</v>
      </c>
      <c r="AC16" s="89">
        <f t="shared" si="3"/>
        <v>173.37</v>
      </c>
      <c r="AD16" s="89">
        <f t="shared" si="4"/>
        <v>166.52</v>
      </c>
      <c r="AE16" s="89">
        <f t="shared" si="5"/>
        <v>0.04</v>
      </c>
      <c r="AF16" s="89">
        <f t="shared" si="7"/>
        <v>339.93</v>
      </c>
      <c r="AG16" s="24">
        <f t="shared" si="8"/>
        <v>0.4898655605565852</v>
      </c>
    </row>
    <row r="17" spans="1:43" x14ac:dyDescent="0.35">
      <c r="A17" s="6" t="s">
        <v>26</v>
      </c>
      <c r="B17" s="12">
        <f t="shared" ref="B17:Z17" si="10">B323+B170</f>
        <v>5.94</v>
      </c>
      <c r="C17" s="12">
        <f t="shared" si="10"/>
        <v>0.03</v>
      </c>
      <c r="D17" s="12">
        <f t="shared" si="10"/>
        <v>0</v>
      </c>
      <c r="E17" s="12">
        <f t="shared" si="10"/>
        <v>1.69</v>
      </c>
      <c r="F17" s="12">
        <f t="shared" si="10"/>
        <v>6.57</v>
      </c>
      <c r="G17" s="12">
        <f t="shared" si="10"/>
        <v>0.06</v>
      </c>
      <c r="H17" s="12">
        <f t="shared" si="10"/>
        <v>1.33</v>
      </c>
      <c r="I17" s="12">
        <f t="shared" si="10"/>
        <v>15.46</v>
      </c>
      <c r="J17" s="12">
        <f t="shared" si="10"/>
        <v>0.52</v>
      </c>
      <c r="K17" s="12">
        <f t="shared" si="10"/>
        <v>5.7</v>
      </c>
      <c r="L17" s="12">
        <f t="shared" si="10"/>
        <v>1.24</v>
      </c>
      <c r="M17" s="12">
        <f t="shared" si="10"/>
        <v>2.96</v>
      </c>
      <c r="N17" s="12">
        <f t="shared" si="10"/>
        <v>2.4500000000000002</v>
      </c>
      <c r="O17" s="12">
        <f t="shared" si="10"/>
        <v>13.299999999999999</v>
      </c>
      <c r="P17" s="12">
        <f t="shared" si="10"/>
        <v>66.8</v>
      </c>
      <c r="Q17" s="12">
        <f t="shared" si="10"/>
        <v>28.570000000000004</v>
      </c>
      <c r="R17" s="12">
        <f t="shared" si="10"/>
        <v>93.38</v>
      </c>
      <c r="S17" s="12">
        <f t="shared" si="10"/>
        <v>127.72000000000001</v>
      </c>
      <c r="T17" s="12">
        <f t="shared" si="10"/>
        <v>97.17</v>
      </c>
      <c r="U17" s="12">
        <f t="shared" si="10"/>
        <v>385.75</v>
      </c>
      <c r="V17" s="12">
        <f t="shared" si="10"/>
        <v>181.45999999999998</v>
      </c>
      <c r="W17" s="12">
        <f t="shared" si="10"/>
        <v>610.46999999999991</v>
      </c>
      <c r="X17" s="12">
        <f t="shared" si="10"/>
        <v>275.89</v>
      </c>
      <c r="Y17" s="12">
        <f t="shared" si="10"/>
        <v>0.8600000000000001</v>
      </c>
      <c r="Z17" s="12">
        <f t="shared" si="10"/>
        <v>1925.3199999999997</v>
      </c>
      <c r="AA17" s="24">
        <f t="shared" si="1"/>
        <v>4.3735544113765283E-2</v>
      </c>
      <c r="AC17" s="89">
        <f t="shared" si="3"/>
        <v>470.89000000000004</v>
      </c>
      <c r="AD17" s="89">
        <f t="shared" si="4"/>
        <v>1453.5699999999997</v>
      </c>
      <c r="AE17" s="89">
        <f t="shared" si="5"/>
        <v>0.8600000000000001</v>
      </c>
      <c r="AF17" s="89">
        <f t="shared" si="7"/>
        <v>1925.3199999999997</v>
      </c>
      <c r="AG17" s="24">
        <f t="shared" si="8"/>
        <v>0.75497579623127575</v>
      </c>
    </row>
    <row r="18" spans="1:43" x14ac:dyDescent="0.35">
      <c r="A18" s="6" t="s">
        <v>27</v>
      </c>
      <c r="B18" s="12">
        <f t="shared" ref="B18:Z18" si="11">B324+B171</f>
        <v>0</v>
      </c>
      <c r="C18" s="12">
        <f t="shared" si="11"/>
        <v>0</v>
      </c>
      <c r="D18" s="12">
        <f t="shared" si="11"/>
        <v>0</v>
      </c>
      <c r="E18" s="12">
        <f t="shared" si="11"/>
        <v>0</v>
      </c>
      <c r="F18" s="12">
        <f t="shared" si="11"/>
        <v>0</v>
      </c>
      <c r="G18" s="12">
        <f t="shared" si="11"/>
        <v>0</v>
      </c>
      <c r="H18" s="12">
        <f t="shared" si="11"/>
        <v>6.02</v>
      </c>
      <c r="I18" s="12">
        <f t="shared" si="11"/>
        <v>1.95</v>
      </c>
      <c r="J18" s="12">
        <f t="shared" si="11"/>
        <v>0</v>
      </c>
      <c r="K18" s="12">
        <f t="shared" si="11"/>
        <v>0</v>
      </c>
      <c r="L18" s="12">
        <f t="shared" si="11"/>
        <v>0</v>
      </c>
      <c r="M18" s="12">
        <f t="shared" si="11"/>
        <v>4.41</v>
      </c>
      <c r="N18" s="12">
        <f t="shared" si="11"/>
        <v>0.18</v>
      </c>
      <c r="O18" s="12">
        <f t="shared" si="11"/>
        <v>0</v>
      </c>
      <c r="P18" s="12">
        <f t="shared" si="11"/>
        <v>0</v>
      </c>
      <c r="Q18" s="12">
        <f t="shared" si="11"/>
        <v>0</v>
      </c>
      <c r="R18" s="12">
        <f t="shared" si="11"/>
        <v>5.5000000000000009</v>
      </c>
      <c r="S18" s="12">
        <f t="shared" si="11"/>
        <v>13.19</v>
      </c>
      <c r="T18" s="12">
        <f t="shared" si="11"/>
        <v>10.219999999999999</v>
      </c>
      <c r="U18" s="12">
        <f t="shared" si="11"/>
        <v>7.21</v>
      </c>
      <c r="V18" s="12">
        <f t="shared" si="11"/>
        <v>0</v>
      </c>
      <c r="W18" s="12">
        <f t="shared" si="11"/>
        <v>2</v>
      </c>
      <c r="X18" s="12">
        <f t="shared" si="11"/>
        <v>0</v>
      </c>
      <c r="Y18" s="12">
        <f t="shared" si="11"/>
        <v>0</v>
      </c>
      <c r="Z18" s="12">
        <f t="shared" si="11"/>
        <v>50.68</v>
      </c>
      <c r="AA18" s="24">
        <f t="shared" si="1"/>
        <v>1.1512462217634601E-3</v>
      </c>
      <c r="AC18" s="89">
        <f t="shared" si="3"/>
        <v>41.47</v>
      </c>
      <c r="AD18" s="89">
        <f t="shared" si="4"/>
        <v>9.2100000000000009</v>
      </c>
      <c r="AE18" s="89">
        <f t="shared" si="5"/>
        <v>0</v>
      </c>
      <c r="AF18" s="89">
        <f t="shared" si="7"/>
        <v>50.68</v>
      </c>
      <c r="AG18" s="24">
        <f t="shared" si="8"/>
        <v>0.18172849250197318</v>
      </c>
    </row>
    <row r="19" spans="1:43" x14ac:dyDescent="0.35">
      <c r="A19" s="6" t="s">
        <v>28</v>
      </c>
      <c r="B19" s="12">
        <f t="shared" ref="B19:Z19" si="12">B325+B172</f>
        <v>24.42</v>
      </c>
      <c r="C19" s="12">
        <f t="shared" si="12"/>
        <v>3.66</v>
      </c>
      <c r="D19" s="12">
        <f t="shared" si="12"/>
        <v>0</v>
      </c>
      <c r="E19" s="12">
        <f t="shared" si="12"/>
        <v>0</v>
      </c>
      <c r="F19" s="12">
        <f t="shared" si="12"/>
        <v>0</v>
      </c>
      <c r="G19" s="12">
        <f t="shared" si="12"/>
        <v>0</v>
      </c>
      <c r="H19" s="12">
        <f t="shared" si="12"/>
        <v>0</v>
      </c>
      <c r="I19" s="12">
        <f t="shared" si="12"/>
        <v>2.81</v>
      </c>
      <c r="J19" s="12">
        <f t="shared" si="12"/>
        <v>12.01</v>
      </c>
      <c r="K19" s="12">
        <f t="shared" si="12"/>
        <v>0</v>
      </c>
      <c r="L19" s="12">
        <f t="shared" si="12"/>
        <v>3.42</v>
      </c>
      <c r="M19" s="12">
        <f t="shared" si="12"/>
        <v>0</v>
      </c>
      <c r="N19" s="12">
        <f t="shared" si="12"/>
        <v>17.579999999999998</v>
      </c>
      <c r="O19" s="12">
        <f t="shared" si="12"/>
        <v>22.5</v>
      </c>
      <c r="P19" s="12">
        <f t="shared" si="12"/>
        <v>6.07</v>
      </c>
      <c r="Q19" s="12">
        <f t="shared" si="12"/>
        <v>51.32</v>
      </c>
      <c r="R19" s="12">
        <f t="shared" si="12"/>
        <v>83.38000000000001</v>
      </c>
      <c r="S19" s="12">
        <f t="shared" si="12"/>
        <v>41.56</v>
      </c>
      <c r="T19" s="12">
        <f t="shared" si="12"/>
        <v>75.509999999999991</v>
      </c>
      <c r="U19" s="12">
        <f t="shared" si="12"/>
        <v>49.47</v>
      </c>
      <c r="V19" s="12">
        <f t="shared" si="12"/>
        <v>29.73</v>
      </c>
      <c r="W19" s="12">
        <f t="shared" si="12"/>
        <v>80.87</v>
      </c>
      <c r="X19" s="12">
        <f t="shared" si="12"/>
        <v>68.650000000000006</v>
      </c>
      <c r="Y19" s="12">
        <f t="shared" si="12"/>
        <v>0.08</v>
      </c>
      <c r="Z19" s="12">
        <f t="shared" si="12"/>
        <v>573.04</v>
      </c>
      <c r="AA19" s="24">
        <f t="shared" si="1"/>
        <v>1.3017169197303337E-2</v>
      </c>
      <c r="AC19" s="89">
        <f t="shared" si="3"/>
        <v>344.24</v>
      </c>
      <c r="AD19" s="89">
        <f t="shared" si="4"/>
        <v>228.72</v>
      </c>
      <c r="AE19" s="89">
        <f t="shared" si="5"/>
        <v>0.08</v>
      </c>
      <c r="AF19" s="89">
        <f t="shared" si="7"/>
        <v>573.04000000000008</v>
      </c>
      <c r="AG19" s="24">
        <f t="shared" si="8"/>
        <v>0.39913444087672756</v>
      </c>
    </row>
    <row r="20" spans="1:43" x14ac:dyDescent="0.35">
      <c r="A20" s="6" t="s">
        <v>29</v>
      </c>
      <c r="B20" s="12">
        <f t="shared" ref="B20:Z20" si="13">B326+B173</f>
        <v>4.0199999999999996</v>
      </c>
      <c r="C20" s="12">
        <f t="shared" si="13"/>
        <v>43.15</v>
      </c>
      <c r="D20" s="12">
        <f t="shared" si="13"/>
        <v>0</v>
      </c>
      <c r="E20" s="12">
        <f t="shared" si="13"/>
        <v>0</v>
      </c>
      <c r="F20" s="12">
        <f t="shared" si="13"/>
        <v>0</v>
      </c>
      <c r="G20" s="12">
        <f t="shared" si="13"/>
        <v>0.28999999999999998</v>
      </c>
      <c r="H20" s="12">
        <f t="shared" si="13"/>
        <v>0.03</v>
      </c>
      <c r="I20" s="12">
        <f t="shared" si="13"/>
        <v>0</v>
      </c>
      <c r="J20" s="12">
        <f t="shared" si="13"/>
        <v>11.26</v>
      </c>
      <c r="K20" s="12">
        <f t="shared" si="13"/>
        <v>1.57</v>
      </c>
      <c r="L20" s="12">
        <f t="shared" si="13"/>
        <v>0</v>
      </c>
      <c r="M20" s="12">
        <f t="shared" si="13"/>
        <v>0</v>
      </c>
      <c r="N20" s="12">
        <f t="shared" si="13"/>
        <v>16.350000000000001</v>
      </c>
      <c r="O20" s="12">
        <f t="shared" si="13"/>
        <v>0.49</v>
      </c>
      <c r="P20" s="12">
        <f t="shared" si="13"/>
        <v>5.76</v>
      </c>
      <c r="Q20" s="12">
        <f t="shared" si="13"/>
        <v>24.24</v>
      </c>
      <c r="R20" s="12">
        <f t="shared" si="13"/>
        <v>24.79</v>
      </c>
      <c r="S20" s="12">
        <f t="shared" si="13"/>
        <v>51.82</v>
      </c>
      <c r="T20" s="12">
        <f t="shared" si="13"/>
        <v>94.429999999999993</v>
      </c>
      <c r="U20" s="12">
        <f t="shared" si="13"/>
        <v>31.580000000000002</v>
      </c>
      <c r="V20" s="12">
        <f t="shared" si="13"/>
        <v>19.939999999999998</v>
      </c>
      <c r="W20" s="12">
        <f t="shared" si="13"/>
        <v>63.32</v>
      </c>
      <c r="X20" s="12">
        <f t="shared" si="13"/>
        <v>86.54</v>
      </c>
      <c r="Y20" s="12">
        <f t="shared" si="13"/>
        <v>0.11</v>
      </c>
      <c r="Z20" s="12">
        <f t="shared" si="13"/>
        <v>479.69</v>
      </c>
      <c r="AA20" s="24">
        <f t="shared" si="1"/>
        <v>1.0896631809741795E-2</v>
      </c>
      <c r="AC20" s="89">
        <f t="shared" si="3"/>
        <v>278.2</v>
      </c>
      <c r="AD20" s="89">
        <f t="shared" si="4"/>
        <v>201.38</v>
      </c>
      <c r="AE20" s="89">
        <f t="shared" si="5"/>
        <v>0.11</v>
      </c>
      <c r="AF20" s="89">
        <f t="shared" si="7"/>
        <v>479.69</v>
      </c>
      <c r="AG20" s="24">
        <f t="shared" si="8"/>
        <v>0.41981279576393088</v>
      </c>
    </row>
    <row r="21" spans="1:43" x14ac:dyDescent="0.35">
      <c r="A21" s="6" t="s">
        <v>30</v>
      </c>
      <c r="B21" s="12">
        <f t="shared" ref="B21:Z21" si="14">B327+B174</f>
        <v>0</v>
      </c>
      <c r="C21" s="12">
        <f t="shared" si="14"/>
        <v>0</v>
      </c>
      <c r="D21" s="12">
        <f t="shared" si="14"/>
        <v>0</v>
      </c>
      <c r="E21" s="12">
        <f t="shared" si="14"/>
        <v>0</v>
      </c>
      <c r="F21" s="12">
        <f t="shared" si="14"/>
        <v>0</v>
      </c>
      <c r="G21" s="12">
        <f t="shared" si="14"/>
        <v>0</v>
      </c>
      <c r="H21" s="12">
        <f t="shared" si="14"/>
        <v>0</v>
      </c>
      <c r="I21" s="12">
        <f t="shared" si="14"/>
        <v>0</v>
      </c>
      <c r="J21" s="12">
        <f t="shared" si="14"/>
        <v>0</v>
      </c>
      <c r="K21" s="12">
        <f t="shared" si="14"/>
        <v>4</v>
      </c>
      <c r="L21" s="12">
        <f t="shared" si="14"/>
        <v>0</v>
      </c>
      <c r="M21" s="12">
        <f t="shared" si="14"/>
        <v>0</v>
      </c>
      <c r="N21" s="12">
        <f t="shared" si="14"/>
        <v>0</v>
      </c>
      <c r="O21" s="12">
        <f t="shared" si="14"/>
        <v>0</v>
      </c>
      <c r="P21" s="12">
        <f t="shared" si="14"/>
        <v>0</v>
      </c>
      <c r="Q21" s="12">
        <f t="shared" si="14"/>
        <v>16.16</v>
      </c>
      <c r="R21" s="12">
        <f t="shared" si="14"/>
        <v>29.619999999999997</v>
      </c>
      <c r="S21" s="12">
        <f t="shared" si="14"/>
        <v>111.06</v>
      </c>
      <c r="T21" s="12">
        <f t="shared" si="14"/>
        <v>66.61</v>
      </c>
      <c r="U21" s="12">
        <f t="shared" si="14"/>
        <v>84.2</v>
      </c>
      <c r="V21" s="12">
        <f t="shared" si="14"/>
        <v>47.34</v>
      </c>
      <c r="W21" s="12">
        <f t="shared" si="14"/>
        <v>47.88</v>
      </c>
      <c r="X21" s="12">
        <f t="shared" si="14"/>
        <v>24.75</v>
      </c>
      <c r="Y21" s="12">
        <f t="shared" si="14"/>
        <v>0.13</v>
      </c>
      <c r="Z21" s="12">
        <f t="shared" si="14"/>
        <v>431.75</v>
      </c>
      <c r="AA21" s="24">
        <f t="shared" si="1"/>
        <v>9.8076273923909611E-3</v>
      </c>
      <c r="AC21" s="89">
        <f t="shared" si="3"/>
        <v>227.45</v>
      </c>
      <c r="AD21" s="89">
        <f t="shared" si="4"/>
        <v>204.17000000000002</v>
      </c>
      <c r="AE21" s="89">
        <f t="shared" si="5"/>
        <v>0.13</v>
      </c>
      <c r="AF21" s="89">
        <f t="shared" si="7"/>
        <v>431.75</v>
      </c>
      <c r="AG21" s="24">
        <f t="shared" si="8"/>
        <v>0.47288940359004056</v>
      </c>
    </row>
    <row r="22" spans="1:43" x14ac:dyDescent="0.35">
      <c r="A22" s="116" t="s">
        <v>12</v>
      </c>
      <c r="B22" s="117">
        <f t="shared" ref="B22:Z22" si="15">B328+B175</f>
        <v>3.27</v>
      </c>
      <c r="C22" s="117">
        <f t="shared" si="15"/>
        <v>4.4800000000000004</v>
      </c>
      <c r="D22" s="117">
        <f t="shared" si="15"/>
        <v>0</v>
      </c>
      <c r="E22" s="117">
        <f t="shared" si="15"/>
        <v>0</v>
      </c>
      <c r="F22" s="117">
        <f t="shared" si="15"/>
        <v>0</v>
      </c>
      <c r="G22" s="117">
        <f t="shared" si="15"/>
        <v>0</v>
      </c>
      <c r="H22" s="117">
        <f t="shared" si="15"/>
        <v>0</v>
      </c>
      <c r="I22" s="117">
        <f t="shared" si="15"/>
        <v>0</v>
      </c>
      <c r="J22" s="117">
        <f t="shared" si="15"/>
        <v>0.96</v>
      </c>
      <c r="K22" s="117">
        <f t="shared" si="15"/>
        <v>0</v>
      </c>
      <c r="L22" s="117">
        <f t="shared" si="15"/>
        <v>2.44</v>
      </c>
      <c r="M22" s="117">
        <f t="shared" si="15"/>
        <v>0.76</v>
      </c>
      <c r="N22" s="117">
        <f t="shared" si="15"/>
        <v>4.72</v>
      </c>
      <c r="O22" s="117">
        <f t="shared" si="15"/>
        <v>2.98</v>
      </c>
      <c r="P22" s="117">
        <f t="shared" si="15"/>
        <v>7.919999999999999</v>
      </c>
      <c r="Q22" s="117">
        <f t="shared" si="15"/>
        <v>3.86</v>
      </c>
      <c r="R22" s="117">
        <f t="shared" si="15"/>
        <v>18.920000000000002</v>
      </c>
      <c r="S22" s="117">
        <f t="shared" si="15"/>
        <v>19.77</v>
      </c>
      <c r="T22" s="117">
        <f t="shared" si="15"/>
        <v>66.330000000000013</v>
      </c>
      <c r="U22" s="117">
        <f t="shared" si="15"/>
        <v>115.67</v>
      </c>
      <c r="V22" s="117">
        <f t="shared" si="15"/>
        <v>100.85</v>
      </c>
      <c r="W22" s="117">
        <f t="shared" si="15"/>
        <v>60.72</v>
      </c>
      <c r="X22" s="117">
        <f t="shared" si="15"/>
        <v>25.72</v>
      </c>
      <c r="Y22" s="117">
        <f t="shared" si="15"/>
        <v>0.79</v>
      </c>
      <c r="Z22" s="117">
        <f t="shared" si="15"/>
        <v>440.15999999999997</v>
      </c>
      <c r="AA22" s="185">
        <f t="shared" si="1"/>
        <v>9.9986688431611005E-3</v>
      </c>
      <c r="AC22" s="117">
        <f t="shared" si="3"/>
        <v>136.41000000000003</v>
      </c>
      <c r="AD22" s="117">
        <f t="shared" si="4"/>
        <v>302.96000000000004</v>
      </c>
      <c r="AE22" s="117">
        <f t="shared" si="5"/>
        <v>0.79</v>
      </c>
      <c r="AF22" s="117">
        <f>SUM(AC22:AE22)</f>
        <v>440.16000000000008</v>
      </c>
      <c r="AG22" s="185">
        <f>AD22/AF22</f>
        <v>0.68829516539440194</v>
      </c>
    </row>
    <row r="23" spans="1:43" x14ac:dyDescent="0.35">
      <c r="A23" s="6" t="s">
        <v>31</v>
      </c>
      <c r="B23" s="12">
        <f t="shared" ref="B23:Z23" si="16">B329+B176</f>
        <v>0</v>
      </c>
      <c r="C23" s="12">
        <f t="shared" si="16"/>
        <v>0</v>
      </c>
      <c r="D23" s="12">
        <f t="shared" si="16"/>
        <v>0</v>
      </c>
      <c r="E23" s="12">
        <f t="shared" si="16"/>
        <v>0</v>
      </c>
      <c r="F23" s="12">
        <f t="shared" si="16"/>
        <v>0</v>
      </c>
      <c r="G23" s="12">
        <f t="shared" si="16"/>
        <v>0</v>
      </c>
      <c r="H23" s="12">
        <f t="shared" si="16"/>
        <v>0</v>
      </c>
      <c r="I23" s="12">
        <f t="shared" si="16"/>
        <v>0</v>
      </c>
      <c r="J23" s="12">
        <f t="shared" si="16"/>
        <v>0</v>
      </c>
      <c r="K23" s="12">
        <f t="shared" si="16"/>
        <v>0</v>
      </c>
      <c r="L23" s="12">
        <f t="shared" si="16"/>
        <v>0</v>
      </c>
      <c r="M23" s="12">
        <f t="shared" si="16"/>
        <v>0</v>
      </c>
      <c r="N23" s="12">
        <f t="shared" si="16"/>
        <v>0</v>
      </c>
      <c r="O23" s="12">
        <f t="shared" si="16"/>
        <v>1.92</v>
      </c>
      <c r="P23" s="12">
        <f t="shared" si="16"/>
        <v>0</v>
      </c>
      <c r="Q23" s="12">
        <f t="shared" si="16"/>
        <v>0.08</v>
      </c>
      <c r="R23" s="12">
        <f t="shared" si="16"/>
        <v>0.47</v>
      </c>
      <c r="S23" s="12">
        <f t="shared" si="16"/>
        <v>0.87000000000000011</v>
      </c>
      <c r="T23" s="12">
        <f t="shared" si="16"/>
        <v>1</v>
      </c>
      <c r="U23" s="12">
        <f t="shared" si="16"/>
        <v>8.4500000000000011</v>
      </c>
      <c r="V23" s="12">
        <f t="shared" si="16"/>
        <v>11.780000000000001</v>
      </c>
      <c r="W23" s="12">
        <f t="shared" si="16"/>
        <v>9.4000000000000021</v>
      </c>
      <c r="X23" s="12">
        <f t="shared" si="16"/>
        <v>4.49</v>
      </c>
      <c r="Y23" s="12">
        <f t="shared" si="16"/>
        <v>0</v>
      </c>
      <c r="Z23" s="12">
        <f t="shared" si="16"/>
        <v>38.460000000000008</v>
      </c>
      <c r="AA23" s="24">
        <f t="shared" si="1"/>
        <v>8.7365686047795343E-4</v>
      </c>
      <c r="AC23" s="89">
        <f t="shared" si="3"/>
        <v>4.34</v>
      </c>
      <c r="AD23" s="89">
        <f t="shared" si="4"/>
        <v>34.120000000000005</v>
      </c>
      <c r="AE23" s="89">
        <f t="shared" si="5"/>
        <v>0</v>
      </c>
      <c r="AF23" s="89">
        <f t="shared" ref="AF23:AF25" si="17">SUM(AC23:AE23)</f>
        <v>38.460000000000008</v>
      </c>
      <c r="AG23" s="24">
        <f t="shared" ref="AG23:AG25" si="18">AD23/AF23</f>
        <v>0.88715548621944873</v>
      </c>
    </row>
    <row r="24" spans="1:43" x14ac:dyDescent="0.35">
      <c r="A24" s="6" t="s">
        <v>32</v>
      </c>
      <c r="B24" s="12">
        <f t="shared" ref="B24:Z24" si="19">B330+B177</f>
        <v>0.54</v>
      </c>
      <c r="C24" s="12">
        <f t="shared" si="19"/>
        <v>4.1100000000000003</v>
      </c>
      <c r="D24" s="12">
        <f t="shared" si="19"/>
        <v>0</v>
      </c>
      <c r="E24" s="12">
        <f t="shared" si="19"/>
        <v>0</v>
      </c>
      <c r="F24" s="12">
        <f t="shared" si="19"/>
        <v>0</v>
      </c>
      <c r="G24" s="12">
        <f t="shared" si="19"/>
        <v>0</v>
      </c>
      <c r="H24" s="12">
        <f t="shared" si="19"/>
        <v>0</v>
      </c>
      <c r="I24" s="12">
        <f t="shared" si="19"/>
        <v>0</v>
      </c>
      <c r="J24" s="12">
        <f t="shared" si="19"/>
        <v>0.96</v>
      </c>
      <c r="K24" s="12">
        <f t="shared" si="19"/>
        <v>0</v>
      </c>
      <c r="L24" s="12">
        <f t="shared" si="19"/>
        <v>2.44</v>
      </c>
      <c r="M24" s="12">
        <f t="shared" si="19"/>
        <v>0.76</v>
      </c>
      <c r="N24" s="12">
        <f t="shared" si="19"/>
        <v>0</v>
      </c>
      <c r="O24" s="12">
        <f t="shared" si="19"/>
        <v>0</v>
      </c>
      <c r="P24" s="12">
        <f t="shared" si="19"/>
        <v>7.8999999999999995</v>
      </c>
      <c r="Q24" s="12">
        <f t="shared" si="19"/>
        <v>1</v>
      </c>
      <c r="R24" s="12">
        <f t="shared" si="19"/>
        <v>17.78</v>
      </c>
      <c r="S24" s="12">
        <f t="shared" si="19"/>
        <v>12.76</v>
      </c>
      <c r="T24" s="12">
        <f t="shared" si="19"/>
        <v>17.160000000000004</v>
      </c>
      <c r="U24" s="12">
        <f t="shared" si="19"/>
        <v>33.42</v>
      </c>
      <c r="V24" s="12">
        <f t="shared" si="19"/>
        <v>27.369999999999997</v>
      </c>
      <c r="W24" s="12">
        <f t="shared" si="19"/>
        <v>8.59</v>
      </c>
      <c r="X24" s="12">
        <f t="shared" si="19"/>
        <v>11.870000000000001</v>
      </c>
      <c r="Y24" s="12">
        <f t="shared" si="19"/>
        <v>0.19</v>
      </c>
      <c r="Z24" s="12">
        <f t="shared" si="19"/>
        <v>146.85000000000002</v>
      </c>
      <c r="AA24" s="24">
        <f t="shared" si="1"/>
        <v>3.335842692698582E-3</v>
      </c>
      <c r="AC24" s="89">
        <f t="shared" si="3"/>
        <v>65.41</v>
      </c>
      <c r="AD24" s="89">
        <f t="shared" si="4"/>
        <v>81.25</v>
      </c>
      <c r="AE24" s="89">
        <f t="shared" si="5"/>
        <v>0.19</v>
      </c>
      <c r="AF24" s="89">
        <f t="shared" si="17"/>
        <v>146.85</v>
      </c>
      <c r="AG24" s="24">
        <f t="shared" si="18"/>
        <v>0.5532856656452162</v>
      </c>
    </row>
    <row r="25" spans="1:43" x14ac:dyDescent="0.35">
      <c r="A25" s="6" t="s">
        <v>33</v>
      </c>
      <c r="B25" s="12">
        <f t="shared" ref="B25:Z25" si="20">B331+B178</f>
        <v>2.73</v>
      </c>
      <c r="C25" s="12">
        <f t="shared" si="20"/>
        <v>0.37</v>
      </c>
      <c r="D25" s="12">
        <f t="shared" si="20"/>
        <v>0</v>
      </c>
      <c r="E25" s="12">
        <f t="shared" si="20"/>
        <v>0</v>
      </c>
      <c r="F25" s="12">
        <f t="shared" si="20"/>
        <v>0</v>
      </c>
      <c r="G25" s="12">
        <f t="shared" si="20"/>
        <v>0</v>
      </c>
      <c r="H25" s="12">
        <f t="shared" si="20"/>
        <v>0</v>
      </c>
      <c r="I25" s="12">
        <f t="shared" si="20"/>
        <v>0</v>
      </c>
      <c r="J25" s="12">
        <f t="shared" si="20"/>
        <v>0</v>
      </c>
      <c r="K25" s="12">
        <f t="shared" si="20"/>
        <v>0</v>
      </c>
      <c r="L25" s="12">
        <f t="shared" si="20"/>
        <v>0</v>
      </c>
      <c r="M25" s="12">
        <f t="shared" si="20"/>
        <v>0</v>
      </c>
      <c r="N25" s="12">
        <f t="shared" si="20"/>
        <v>4.72</v>
      </c>
      <c r="O25" s="12">
        <f t="shared" si="20"/>
        <v>1.06</v>
      </c>
      <c r="P25" s="12">
        <f t="shared" si="20"/>
        <v>0.02</v>
      </c>
      <c r="Q25" s="12">
        <f t="shared" si="20"/>
        <v>2.78</v>
      </c>
      <c r="R25" s="12">
        <f t="shared" si="20"/>
        <v>0.67</v>
      </c>
      <c r="S25" s="12">
        <f t="shared" si="20"/>
        <v>6.14</v>
      </c>
      <c r="T25" s="12">
        <f t="shared" si="20"/>
        <v>48.17</v>
      </c>
      <c r="U25" s="12">
        <f t="shared" si="20"/>
        <v>73.8</v>
      </c>
      <c r="V25" s="12">
        <f t="shared" si="20"/>
        <v>61.7</v>
      </c>
      <c r="W25" s="12">
        <f t="shared" si="20"/>
        <v>42.730000000000004</v>
      </c>
      <c r="X25" s="12">
        <f t="shared" si="20"/>
        <v>9.36</v>
      </c>
      <c r="Y25" s="12">
        <f t="shared" si="20"/>
        <v>0.60000000000000009</v>
      </c>
      <c r="Z25" s="12">
        <f t="shared" si="20"/>
        <v>254.85000000000002</v>
      </c>
      <c r="AA25" s="24">
        <f t="shared" si="1"/>
        <v>5.7891692899845661E-3</v>
      </c>
      <c r="AC25" s="89">
        <f t="shared" si="3"/>
        <v>66.66</v>
      </c>
      <c r="AD25" s="89">
        <f t="shared" si="4"/>
        <v>187.59000000000003</v>
      </c>
      <c r="AE25" s="89">
        <f t="shared" si="5"/>
        <v>0.60000000000000009</v>
      </c>
      <c r="AF25" s="89">
        <f t="shared" si="17"/>
        <v>254.85000000000002</v>
      </c>
      <c r="AG25" s="24">
        <f t="shared" si="18"/>
        <v>0.73608004708652153</v>
      </c>
    </row>
    <row r="26" spans="1:43" x14ac:dyDescent="0.35">
      <c r="A26" s="116" t="s">
        <v>13</v>
      </c>
      <c r="B26" s="117">
        <f t="shared" ref="B26:Z26" si="21">B332+B179</f>
        <v>4.4799999999999995</v>
      </c>
      <c r="C26" s="117">
        <f t="shared" si="21"/>
        <v>0</v>
      </c>
      <c r="D26" s="117">
        <f t="shared" si="21"/>
        <v>0</v>
      </c>
      <c r="E26" s="117">
        <f t="shared" si="21"/>
        <v>0</v>
      </c>
      <c r="F26" s="117">
        <f t="shared" si="21"/>
        <v>0</v>
      </c>
      <c r="G26" s="117">
        <f t="shared" si="21"/>
        <v>0</v>
      </c>
      <c r="H26" s="117">
        <f t="shared" si="21"/>
        <v>0</v>
      </c>
      <c r="I26" s="117">
        <f t="shared" si="21"/>
        <v>1.58</v>
      </c>
      <c r="J26" s="117">
        <f t="shared" si="21"/>
        <v>6.37</v>
      </c>
      <c r="K26" s="117">
        <f t="shared" si="21"/>
        <v>21.72</v>
      </c>
      <c r="L26" s="117">
        <f t="shared" si="21"/>
        <v>0.32</v>
      </c>
      <c r="M26" s="117">
        <f t="shared" si="21"/>
        <v>0</v>
      </c>
      <c r="N26" s="117">
        <f t="shared" si="21"/>
        <v>1.2899999999999998</v>
      </c>
      <c r="O26" s="117">
        <f t="shared" si="21"/>
        <v>5.82</v>
      </c>
      <c r="P26" s="117">
        <f t="shared" si="21"/>
        <v>3.81</v>
      </c>
      <c r="Q26" s="117">
        <f t="shared" si="21"/>
        <v>6.16</v>
      </c>
      <c r="R26" s="117">
        <f t="shared" si="21"/>
        <v>14.6</v>
      </c>
      <c r="S26" s="117">
        <f t="shared" si="21"/>
        <v>15.86</v>
      </c>
      <c r="T26" s="117">
        <f t="shared" si="21"/>
        <v>35.31</v>
      </c>
      <c r="U26" s="117">
        <f t="shared" si="21"/>
        <v>15.680000000000001</v>
      </c>
      <c r="V26" s="117">
        <f t="shared" si="21"/>
        <v>24.209999999999997</v>
      </c>
      <c r="W26" s="117">
        <f t="shared" si="21"/>
        <v>34.260000000000005</v>
      </c>
      <c r="X26" s="117">
        <f t="shared" si="21"/>
        <v>52.680000000000007</v>
      </c>
      <c r="Y26" s="117">
        <f t="shared" si="21"/>
        <v>0.27</v>
      </c>
      <c r="Z26" s="117">
        <f t="shared" si="21"/>
        <v>244.42000000000002</v>
      </c>
      <c r="AA26" s="185">
        <f t="shared" si="1"/>
        <v>5.5522415454503735E-3</v>
      </c>
      <c r="AC26" s="117">
        <f t="shared" si="3"/>
        <v>117.32</v>
      </c>
      <c r="AD26" s="117">
        <f t="shared" si="4"/>
        <v>126.83000000000001</v>
      </c>
      <c r="AE26" s="117">
        <f t="shared" si="5"/>
        <v>0.27</v>
      </c>
      <c r="AF26" s="117">
        <f>SUM(AC26:AE26)</f>
        <v>244.42000000000002</v>
      </c>
      <c r="AG26" s="185">
        <f>AD26/AF26</f>
        <v>0.51890189018901889</v>
      </c>
    </row>
    <row r="27" spans="1:43" x14ac:dyDescent="0.35">
      <c r="A27" s="6" t="s">
        <v>34</v>
      </c>
      <c r="B27" s="12">
        <f t="shared" ref="B27:Z27" si="22">B333+B180</f>
        <v>0.13</v>
      </c>
      <c r="C27" s="12">
        <f t="shared" si="22"/>
        <v>0</v>
      </c>
      <c r="D27" s="12">
        <f t="shared" si="22"/>
        <v>0</v>
      </c>
      <c r="E27" s="12">
        <f t="shared" si="22"/>
        <v>0</v>
      </c>
      <c r="F27" s="12">
        <f t="shared" si="22"/>
        <v>0</v>
      </c>
      <c r="G27" s="12">
        <f t="shared" si="22"/>
        <v>0</v>
      </c>
      <c r="H27" s="12">
        <f t="shared" si="22"/>
        <v>0</v>
      </c>
      <c r="I27" s="12">
        <f t="shared" si="22"/>
        <v>1.58</v>
      </c>
      <c r="J27" s="12">
        <f t="shared" si="22"/>
        <v>0</v>
      </c>
      <c r="K27" s="12">
        <f t="shared" si="22"/>
        <v>0</v>
      </c>
      <c r="L27" s="12">
        <f t="shared" si="22"/>
        <v>0</v>
      </c>
      <c r="M27" s="12">
        <f t="shared" si="22"/>
        <v>0</v>
      </c>
      <c r="N27" s="12">
        <f t="shared" si="22"/>
        <v>0</v>
      </c>
      <c r="O27" s="12">
        <f t="shared" si="22"/>
        <v>0</v>
      </c>
      <c r="P27" s="12">
        <f t="shared" si="22"/>
        <v>0</v>
      </c>
      <c r="Q27" s="12">
        <f t="shared" si="22"/>
        <v>0</v>
      </c>
      <c r="R27" s="12">
        <f t="shared" si="22"/>
        <v>0</v>
      </c>
      <c r="S27" s="12">
        <f t="shared" si="22"/>
        <v>0</v>
      </c>
      <c r="T27" s="12">
        <f t="shared" si="22"/>
        <v>0</v>
      </c>
      <c r="U27" s="12">
        <f t="shared" si="22"/>
        <v>0.69</v>
      </c>
      <c r="V27" s="12">
        <f t="shared" si="22"/>
        <v>0</v>
      </c>
      <c r="W27" s="12">
        <f t="shared" si="22"/>
        <v>0</v>
      </c>
      <c r="X27" s="12">
        <f t="shared" si="22"/>
        <v>0</v>
      </c>
      <c r="Y27" s="12">
        <f t="shared" si="22"/>
        <v>0</v>
      </c>
      <c r="Z27" s="12">
        <f t="shared" si="22"/>
        <v>2.4</v>
      </c>
      <c r="AA27" s="24">
        <f t="shared" si="1"/>
        <v>5.451836882857743E-5</v>
      </c>
      <c r="AC27" s="89">
        <f t="shared" si="3"/>
        <v>1.71</v>
      </c>
      <c r="AD27" s="89">
        <f t="shared" si="4"/>
        <v>0.69</v>
      </c>
      <c r="AE27" s="89">
        <f t="shared" si="5"/>
        <v>0</v>
      </c>
      <c r="AF27" s="89">
        <f t="shared" ref="AF27:AF29" si="23">SUM(AC27:AE27)</f>
        <v>2.4</v>
      </c>
      <c r="AG27" s="24">
        <f t="shared" ref="AG27:AG29" si="24">AD27/AF27</f>
        <v>0.28749999999999998</v>
      </c>
    </row>
    <row r="28" spans="1:43" x14ac:dyDescent="0.35">
      <c r="A28" s="6" t="s">
        <v>61</v>
      </c>
      <c r="B28" s="12">
        <f t="shared" ref="B28:Z28" si="25">B334+B181</f>
        <v>0.52</v>
      </c>
      <c r="C28" s="12">
        <f t="shared" si="25"/>
        <v>0</v>
      </c>
      <c r="D28" s="12">
        <f t="shared" si="25"/>
        <v>0</v>
      </c>
      <c r="E28" s="12">
        <f t="shared" si="25"/>
        <v>0</v>
      </c>
      <c r="F28" s="12">
        <f t="shared" si="25"/>
        <v>0</v>
      </c>
      <c r="G28" s="12">
        <f t="shared" si="25"/>
        <v>0</v>
      </c>
      <c r="H28" s="12">
        <f t="shared" si="25"/>
        <v>0</v>
      </c>
      <c r="I28" s="12">
        <f t="shared" si="25"/>
        <v>0</v>
      </c>
      <c r="J28" s="12">
        <f t="shared" si="25"/>
        <v>0</v>
      </c>
      <c r="K28" s="12">
        <f t="shared" si="25"/>
        <v>0</v>
      </c>
      <c r="L28" s="12">
        <f t="shared" si="25"/>
        <v>0.32</v>
      </c>
      <c r="M28" s="12">
        <f t="shared" si="25"/>
        <v>0</v>
      </c>
      <c r="N28" s="12">
        <f t="shared" si="25"/>
        <v>0</v>
      </c>
      <c r="O28" s="12">
        <f t="shared" si="25"/>
        <v>0.75</v>
      </c>
      <c r="P28" s="12">
        <f t="shared" si="25"/>
        <v>0</v>
      </c>
      <c r="Q28" s="12">
        <f t="shared" si="25"/>
        <v>0</v>
      </c>
      <c r="R28" s="12">
        <f t="shared" si="25"/>
        <v>0.06</v>
      </c>
      <c r="S28" s="12">
        <f t="shared" si="25"/>
        <v>0</v>
      </c>
      <c r="T28" s="12">
        <f t="shared" si="25"/>
        <v>0</v>
      </c>
      <c r="U28" s="12">
        <f t="shared" si="25"/>
        <v>0.47000000000000003</v>
      </c>
      <c r="V28" s="12">
        <f t="shared" si="25"/>
        <v>3.7</v>
      </c>
      <c r="W28" s="12">
        <f t="shared" si="25"/>
        <v>2.29</v>
      </c>
      <c r="X28" s="12">
        <f t="shared" si="25"/>
        <v>0</v>
      </c>
      <c r="Y28" s="12">
        <f t="shared" si="25"/>
        <v>0</v>
      </c>
      <c r="Z28" s="12">
        <f t="shared" si="25"/>
        <v>8.1100000000000012</v>
      </c>
      <c r="AA28" s="24">
        <f t="shared" si="1"/>
        <v>1.8422665466656793E-4</v>
      </c>
      <c r="AC28" s="89">
        <f t="shared" si="3"/>
        <v>1.6500000000000001</v>
      </c>
      <c r="AD28" s="89">
        <f t="shared" si="4"/>
        <v>6.46</v>
      </c>
      <c r="AE28" s="89">
        <f t="shared" si="5"/>
        <v>0</v>
      </c>
      <c r="AF28" s="89">
        <f t="shared" si="23"/>
        <v>8.11</v>
      </c>
      <c r="AG28" s="24">
        <f t="shared" si="24"/>
        <v>0.79654747225647349</v>
      </c>
      <c r="AN28" s="342"/>
      <c r="AO28" s="342" t="s">
        <v>256</v>
      </c>
      <c r="AP28" s="342" t="s">
        <v>96</v>
      </c>
      <c r="AQ28" s="342" t="s">
        <v>257</v>
      </c>
    </row>
    <row r="29" spans="1:43" x14ac:dyDescent="0.35">
      <c r="A29" s="6" t="s">
        <v>36</v>
      </c>
      <c r="B29" s="12">
        <f t="shared" ref="B29:Z29" si="26">B335+B182</f>
        <v>3.8299999999999996</v>
      </c>
      <c r="C29" s="12">
        <f t="shared" si="26"/>
        <v>0</v>
      </c>
      <c r="D29" s="12">
        <f t="shared" si="26"/>
        <v>0</v>
      </c>
      <c r="E29" s="12">
        <f t="shared" si="26"/>
        <v>0</v>
      </c>
      <c r="F29" s="12">
        <f t="shared" si="26"/>
        <v>0</v>
      </c>
      <c r="G29" s="12">
        <f t="shared" si="26"/>
        <v>0</v>
      </c>
      <c r="H29" s="12">
        <f t="shared" si="26"/>
        <v>0</v>
      </c>
      <c r="I29" s="12">
        <f t="shared" si="26"/>
        <v>0</v>
      </c>
      <c r="J29" s="12">
        <f t="shared" si="26"/>
        <v>6.37</v>
      </c>
      <c r="K29" s="12">
        <f t="shared" si="26"/>
        <v>21.72</v>
      </c>
      <c r="L29" s="12">
        <f t="shared" si="26"/>
        <v>0</v>
      </c>
      <c r="M29" s="12">
        <f t="shared" si="26"/>
        <v>0</v>
      </c>
      <c r="N29" s="12">
        <f t="shared" si="26"/>
        <v>1.2899999999999998</v>
      </c>
      <c r="O29" s="12">
        <f t="shared" si="26"/>
        <v>5.07</v>
      </c>
      <c r="P29" s="12">
        <f t="shared" si="26"/>
        <v>3.81</v>
      </c>
      <c r="Q29" s="12">
        <f t="shared" si="26"/>
        <v>6.16</v>
      </c>
      <c r="R29" s="12">
        <f t="shared" si="26"/>
        <v>14.54</v>
      </c>
      <c r="S29" s="12">
        <f t="shared" si="26"/>
        <v>15.86</v>
      </c>
      <c r="T29" s="12">
        <f t="shared" si="26"/>
        <v>35.31</v>
      </c>
      <c r="U29" s="12">
        <f t="shared" si="26"/>
        <v>14.520000000000001</v>
      </c>
      <c r="V29" s="12">
        <f t="shared" si="26"/>
        <v>20.509999999999998</v>
      </c>
      <c r="W29" s="12">
        <f t="shared" si="26"/>
        <v>31.970000000000006</v>
      </c>
      <c r="X29" s="12">
        <f t="shared" si="26"/>
        <v>52.680000000000007</v>
      </c>
      <c r="Y29" s="12">
        <f t="shared" si="26"/>
        <v>0.27</v>
      </c>
      <c r="Z29" s="12">
        <f t="shared" si="26"/>
        <v>233.90999999999997</v>
      </c>
      <c r="AA29" s="24">
        <f t="shared" si="1"/>
        <v>5.3134965219552273E-3</v>
      </c>
      <c r="AC29" s="89">
        <f t="shared" si="3"/>
        <v>113.96000000000001</v>
      </c>
      <c r="AD29" s="89">
        <f t="shared" si="4"/>
        <v>119.68</v>
      </c>
      <c r="AE29" s="89">
        <f t="shared" si="5"/>
        <v>0.27</v>
      </c>
      <c r="AF29" s="89">
        <f t="shared" si="23"/>
        <v>233.91000000000003</v>
      </c>
      <c r="AG29" s="24">
        <f t="shared" si="24"/>
        <v>0.51164977982984905</v>
      </c>
      <c r="AN29" s="116" t="s">
        <v>15</v>
      </c>
      <c r="AO29" s="343">
        <v>21818.71</v>
      </c>
      <c r="AP29" s="343">
        <v>34604.449999999997</v>
      </c>
      <c r="AQ29" s="190">
        <f t="shared" ref="AQ29" si="27">AO29/AP29</f>
        <v>0.63051746234949557</v>
      </c>
    </row>
    <row r="30" spans="1:43" x14ac:dyDescent="0.35">
      <c r="A30" s="116" t="s">
        <v>14</v>
      </c>
      <c r="B30" s="117">
        <f t="shared" ref="B30:Z30" si="28">B336+B183</f>
        <v>119.14</v>
      </c>
      <c r="C30" s="117">
        <f t="shared" si="28"/>
        <v>18.04</v>
      </c>
      <c r="D30" s="117">
        <f t="shared" si="28"/>
        <v>1.2</v>
      </c>
      <c r="E30" s="117">
        <f t="shared" si="28"/>
        <v>2.61</v>
      </c>
      <c r="F30" s="117">
        <f t="shared" si="28"/>
        <v>0.18</v>
      </c>
      <c r="G30" s="117">
        <f t="shared" si="28"/>
        <v>3.68</v>
      </c>
      <c r="H30" s="117">
        <f t="shared" si="28"/>
        <v>0</v>
      </c>
      <c r="I30" s="117">
        <f t="shared" si="28"/>
        <v>0.04</v>
      </c>
      <c r="J30" s="117">
        <f t="shared" si="28"/>
        <v>0.08</v>
      </c>
      <c r="K30" s="117">
        <f t="shared" si="28"/>
        <v>0</v>
      </c>
      <c r="L30" s="117">
        <f t="shared" si="28"/>
        <v>2.92</v>
      </c>
      <c r="M30" s="117">
        <f t="shared" si="28"/>
        <v>13.429999999999998</v>
      </c>
      <c r="N30" s="117">
        <f t="shared" si="28"/>
        <v>1.19</v>
      </c>
      <c r="O30" s="117">
        <f t="shared" si="28"/>
        <v>0.15</v>
      </c>
      <c r="P30" s="117">
        <f t="shared" si="28"/>
        <v>0</v>
      </c>
      <c r="Q30" s="117">
        <f t="shared" si="28"/>
        <v>0</v>
      </c>
      <c r="R30" s="117">
        <f t="shared" si="28"/>
        <v>0</v>
      </c>
      <c r="S30" s="117">
        <f t="shared" si="28"/>
        <v>3.9200000000000004</v>
      </c>
      <c r="T30" s="117">
        <f t="shared" si="28"/>
        <v>4.21</v>
      </c>
      <c r="U30" s="117">
        <f t="shared" si="28"/>
        <v>26.67</v>
      </c>
      <c r="V30" s="117">
        <f t="shared" si="28"/>
        <v>15.57</v>
      </c>
      <c r="W30" s="117">
        <f t="shared" si="28"/>
        <v>16.82</v>
      </c>
      <c r="X30" s="117">
        <f t="shared" si="28"/>
        <v>2.11</v>
      </c>
      <c r="Y30" s="117">
        <f t="shared" si="28"/>
        <v>0</v>
      </c>
      <c r="Z30" s="117">
        <f t="shared" si="28"/>
        <v>231.96000000000006</v>
      </c>
      <c r="AA30" s="185">
        <f t="shared" si="1"/>
        <v>5.2692003472820104E-3</v>
      </c>
      <c r="AC30" s="117">
        <f t="shared" si="3"/>
        <v>170.79000000000002</v>
      </c>
      <c r="AD30" s="117">
        <f t="shared" si="4"/>
        <v>61.17</v>
      </c>
      <c r="AE30" s="117">
        <f t="shared" si="5"/>
        <v>0</v>
      </c>
      <c r="AF30" s="117">
        <f>SUM(AC30:AE30)</f>
        <v>231.96000000000004</v>
      </c>
      <c r="AG30" s="185">
        <f>AD30/AF30</f>
        <v>0.26370926021727881</v>
      </c>
      <c r="AN30" s="116" t="s">
        <v>5</v>
      </c>
      <c r="AO30" s="343">
        <v>2514.6799999999998</v>
      </c>
      <c r="AP30" s="343">
        <v>4141.7299999999996</v>
      </c>
      <c r="AQ30" s="190">
        <f>AO30/AP30</f>
        <v>0.60715691269107352</v>
      </c>
    </row>
    <row r="31" spans="1:43" x14ac:dyDescent="0.35">
      <c r="A31" s="178" t="s">
        <v>37</v>
      </c>
      <c r="B31" s="12">
        <f t="shared" ref="B31:Z31" si="29">B337+B184</f>
        <v>0</v>
      </c>
      <c r="C31" s="12">
        <f t="shared" si="29"/>
        <v>0</v>
      </c>
      <c r="D31" s="12">
        <f t="shared" si="29"/>
        <v>0</v>
      </c>
      <c r="E31" s="12">
        <f t="shared" si="29"/>
        <v>0</v>
      </c>
      <c r="F31" s="12">
        <f t="shared" si="29"/>
        <v>0</v>
      </c>
      <c r="G31" s="12">
        <f t="shared" si="29"/>
        <v>0</v>
      </c>
      <c r="H31" s="12">
        <f t="shared" si="29"/>
        <v>0</v>
      </c>
      <c r="I31" s="12">
        <f t="shared" si="29"/>
        <v>0</v>
      </c>
      <c r="J31" s="12">
        <f t="shared" si="29"/>
        <v>0</v>
      </c>
      <c r="K31" s="12">
        <f t="shared" si="29"/>
        <v>0</v>
      </c>
      <c r="L31" s="12">
        <f t="shared" si="29"/>
        <v>0</v>
      </c>
      <c r="M31" s="12">
        <f t="shared" si="29"/>
        <v>0</v>
      </c>
      <c r="N31" s="12">
        <f t="shared" si="29"/>
        <v>0</v>
      </c>
      <c r="O31" s="12">
        <f t="shared" si="29"/>
        <v>0</v>
      </c>
      <c r="P31" s="12">
        <f t="shared" si="29"/>
        <v>0</v>
      </c>
      <c r="Q31" s="12">
        <f t="shared" si="29"/>
        <v>0</v>
      </c>
      <c r="R31" s="12">
        <f t="shared" si="29"/>
        <v>0</v>
      </c>
      <c r="S31" s="12">
        <f t="shared" si="29"/>
        <v>0.4</v>
      </c>
      <c r="T31" s="12">
        <f t="shared" si="29"/>
        <v>0</v>
      </c>
      <c r="U31" s="12">
        <f t="shared" si="29"/>
        <v>0.32</v>
      </c>
      <c r="V31" s="12">
        <f t="shared" si="29"/>
        <v>0.21</v>
      </c>
      <c r="W31" s="12">
        <f t="shared" si="29"/>
        <v>2.44</v>
      </c>
      <c r="X31" s="12">
        <f t="shared" si="29"/>
        <v>0</v>
      </c>
      <c r="Y31" s="12">
        <f t="shared" si="29"/>
        <v>0</v>
      </c>
      <c r="Z31" s="12">
        <f t="shared" si="29"/>
        <v>3.3699999999999997</v>
      </c>
      <c r="AA31" s="24">
        <f t="shared" si="1"/>
        <v>7.6552876230127459E-5</v>
      </c>
      <c r="AC31" s="89">
        <f t="shared" si="3"/>
        <v>0.4</v>
      </c>
      <c r="AD31" s="89">
        <f t="shared" si="4"/>
        <v>2.9699999999999998</v>
      </c>
      <c r="AE31" s="89">
        <f t="shared" si="5"/>
        <v>0</v>
      </c>
      <c r="AF31" s="89">
        <f t="shared" ref="AF31:AF34" si="30">SUM(AC31:AE31)</f>
        <v>3.3699999999999997</v>
      </c>
      <c r="AG31" s="24">
        <f t="shared" ref="AG31" si="31">AD31/AF31</f>
        <v>0.88130563798219586</v>
      </c>
      <c r="AI31" s="210" t="s">
        <v>255</v>
      </c>
      <c r="AN31" s="116" t="s">
        <v>16</v>
      </c>
      <c r="AO31" s="343">
        <v>1296.6399999999999</v>
      </c>
      <c r="AP31" s="343">
        <v>1955.5699999999997</v>
      </c>
      <c r="AQ31" s="190">
        <f t="shared" ref="AQ31:AQ36" si="32">AO31/AP31</f>
        <v>0.66304964792873688</v>
      </c>
    </row>
    <row r="32" spans="1:43" x14ac:dyDescent="0.35">
      <c r="A32" s="6" t="s">
        <v>38</v>
      </c>
      <c r="B32" s="12">
        <f t="shared" ref="B32:Z32" si="33">B338+B185</f>
        <v>0</v>
      </c>
      <c r="C32" s="12">
        <f t="shared" si="33"/>
        <v>0</v>
      </c>
      <c r="D32" s="12">
        <f t="shared" si="33"/>
        <v>0</v>
      </c>
      <c r="E32" s="12">
        <f t="shared" si="33"/>
        <v>0</v>
      </c>
      <c r="F32" s="12">
        <f t="shared" si="33"/>
        <v>0</v>
      </c>
      <c r="G32" s="12">
        <f t="shared" si="33"/>
        <v>0</v>
      </c>
      <c r="H32" s="12">
        <f t="shared" si="33"/>
        <v>0</v>
      </c>
      <c r="I32" s="12">
        <f t="shared" si="33"/>
        <v>0</v>
      </c>
      <c r="J32" s="12">
        <f t="shared" si="33"/>
        <v>0</v>
      </c>
      <c r="K32" s="12">
        <f t="shared" si="33"/>
        <v>0</v>
      </c>
      <c r="L32" s="12">
        <f t="shared" si="33"/>
        <v>0</v>
      </c>
      <c r="M32" s="12">
        <f t="shared" si="33"/>
        <v>0</v>
      </c>
      <c r="N32" s="12">
        <f t="shared" si="33"/>
        <v>0</v>
      </c>
      <c r="O32" s="12">
        <f t="shared" si="33"/>
        <v>0</v>
      </c>
      <c r="P32" s="12">
        <f t="shared" si="33"/>
        <v>0</v>
      </c>
      <c r="Q32" s="12">
        <f t="shared" si="33"/>
        <v>0</v>
      </c>
      <c r="R32" s="12">
        <f t="shared" si="33"/>
        <v>0</v>
      </c>
      <c r="S32" s="12">
        <f t="shared" si="33"/>
        <v>0</v>
      </c>
      <c r="T32" s="12">
        <f t="shared" si="33"/>
        <v>0</v>
      </c>
      <c r="U32" s="12">
        <f t="shared" si="33"/>
        <v>0</v>
      </c>
      <c r="V32" s="12">
        <f t="shared" si="33"/>
        <v>0</v>
      </c>
      <c r="W32" s="12">
        <f t="shared" si="33"/>
        <v>2.54</v>
      </c>
      <c r="X32" s="12">
        <f t="shared" si="33"/>
        <v>0</v>
      </c>
      <c r="Y32" s="12">
        <f t="shared" si="33"/>
        <v>0</v>
      </c>
      <c r="Z32" s="12">
        <f t="shared" si="33"/>
        <v>2.54</v>
      </c>
      <c r="AA32" s="24">
        <f t="shared" si="1"/>
        <v>5.7698607010244446E-5</v>
      </c>
      <c r="AC32" s="89">
        <f t="shared" si="3"/>
        <v>0</v>
      </c>
      <c r="AD32" s="89">
        <f t="shared" si="4"/>
        <v>2.54</v>
      </c>
      <c r="AE32" s="89">
        <f t="shared" si="5"/>
        <v>0</v>
      </c>
      <c r="AF32" s="89">
        <f t="shared" si="30"/>
        <v>2.54</v>
      </c>
      <c r="AG32" s="24"/>
      <c r="AJ32" t="s">
        <v>256</v>
      </c>
      <c r="AK32" t="s">
        <v>96</v>
      </c>
      <c r="AL32" t="s">
        <v>257</v>
      </c>
      <c r="AN32" s="116" t="s">
        <v>17</v>
      </c>
      <c r="AO32" s="343">
        <v>840.72999999999979</v>
      </c>
      <c r="AP32" s="343">
        <v>1435.12</v>
      </c>
      <c r="AQ32" s="190">
        <f t="shared" si="32"/>
        <v>0.5858255755616254</v>
      </c>
    </row>
    <row r="33" spans="1:43" x14ac:dyDescent="0.35">
      <c r="A33" s="6" t="s">
        <v>39</v>
      </c>
      <c r="B33" s="12">
        <f t="shared" ref="B33:Z33" si="34">B339+B186</f>
        <v>117.46</v>
      </c>
      <c r="C33" s="12">
        <f t="shared" si="34"/>
        <v>18.04</v>
      </c>
      <c r="D33" s="12">
        <f t="shared" si="34"/>
        <v>1.2</v>
      </c>
      <c r="E33" s="12">
        <f t="shared" si="34"/>
        <v>2.61</v>
      </c>
      <c r="F33" s="12">
        <f t="shared" si="34"/>
        <v>0.18</v>
      </c>
      <c r="G33" s="12">
        <f t="shared" si="34"/>
        <v>3.68</v>
      </c>
      <c r="H33" s="12">
        <f t="shared" si="34"/>
        <v>0</v>
      </c>
      <c r="I33" s="12">
        <f t="shared" si="34"/>
        <v>0</v>
      </c>
      <c r="J33" s="12">
        <f t="shared" si="34"/>
        <v>0.08</v>
      </c>
      <c r="K33" s="12">
        <f t="shared" si="34"/>
        <v>0</v>
      </c>
      <c r="L33" s="12">
        <f t="shared" si="34"/>
        <v>2.84</v>
      </c>
      <c r="M33" s="12">
        <f t="shared" si="34"/>
        <v>13.399999999999999</v>
      </c>
      <c r="N33" s="12">
        <f t="shared" si="34"/>
        <v>1.07</v>
      </c>
      <c r="O33" s="12">
        <f t="shared" si="34"/>
        <v>0.15</v>
      </c>
      <c r="P33" s="12">
        <f t="shared" si="34"/>
        <v>0</v>
      </c>
      <c r="Q33" s="12">
        <f t="shared" si="34"/>
        <v>0</v>
      </c>
      <c r="R33" s="12">
        <f t="shared" si="34"/>
        <v>0</v>
      </c>
      <c r="S33" s="12">
        <f t="shared" si="34"/>
        <v>3.5200000000000005</v>
      </c>
      <c r="T33" s="12">
        <f t="shared" si="34"/>
        <v>4.21</v>
      </c>
      <c r="U33" s="12">
        <f t="shared" si="34"/>
        <v>26.090000000000003</v>
      </c>
      <c r="V33" s="12">
        <f t="shared" si="34"/>
        <v>15.36</v>
      </c>
      <c r="W33" s="12">
        <f t="shared" si="34"/>
        <v>10.219999999999999</v>
      </c>
      <c r="X33" s="12">
        <f t="shared" si="34"/>
        <v>2.11</v>
      </c>
      <c r="Y33" s="12">
        <f t="shared" si="34"/>
        <v>0</v>
      </c>
      <c r="Z33" s="12">
        <f t="shared" si="34"/>
        <v>222.22000000000008</v>
      </c>
      <c r="AA33" s="24">
        <f t="shared" si="1"/>
        <v>5.0479466337860334E-3</v>
      </c>
      <c r="AC33" s="89">
        <f t="shared" si="3"/>
        <v>168.44000000000005</v>
      </c>
      <c r="AD33" s="89">
        <f t="shared" si="4"/>
        <v>53.78</v>
      </c>
      <c r="AE33" s="89">
        <f t="shared" si="5"/>
        <v>0</v>
      </c>
      <c r="AF33" s="89">
        <f t="shared" si="30"/>
        <v>222.22000000000006</v>
      </c>
      <c r="AG33" s="24">
        <f t="shared" ref="AG33:AG34" si="35">AD33/AF33</f>
        <v>0.24201242012420118</v>
      </c>
      <c r="AI33" s="6" t="s">
        <v>45</v>
      </c>
      <c r="AJ33" s="89">
        <v>6024.9500000000016</v>
      </c>
      <c r="AK33" s="89">
        <v>9550.83</v>
      </c>
      <c r="AL33" s="382">
        <f>AJ33/AK33</f>
        <v>0.63082999069190859</v>
      </c>
      <c r="AN33" s="116" t="s">
        <v>12</v>
      </c>
      <c r="AO33" s="343">
        <v>302.96000000000004</v>
      </c>
      <c r="AP33" s="343">
        <v>440.16000000000008</v>
      </c>
      <c r="AQ33" s="190">
        <f t="shared" si="32"/>
        <v>0.68829516539440194</v>
      </c>
    </row>
    <row r="34" spans="1:43" x14ac:dyDescent="0.35">
      <c r="A34" s="6" t="s">
        <v>40</v>
      </c>
      <c r="B34" s="12">
        <f t="shared" ref="B34:Z34" si="36">B340+B187</f>
        <v>1.68</v>
      </c>
      <c r="C34" s="12">
        <f t="shared" si="36"/>
        <v>0</v>
      </c>
      <c r="D34" s="12">
        <f t="shared" si="36"/>
        <v>0</v>
      </c>
      <c r="E34" s="12">
        <f t="shared" si="36"/>
        <v>0</v>
      </c>
      <c r="F34" s="12">
        <f t="shared" si="36"/>
        <v>0</v>
      </c>
      <c r="G34" s="12">
        <f t="shared" si="36"/>
        <v>0</v>
      </c>
      <c r="H34" s="12">
        <f t="shared" si="36"/>
        <v>0</v>
      </c>
      <c r="I34" s="12">
        <f t="shared" si="36"/>
        <v>0.04</v>
      </c>
      <c r="J34" s="12">
        <f t="shared" si="36"/>
        <v>0</v>
      </c>
      <c r="K34" s="12">
        <f t="shared" si="36"/>
        <v>0</v>
      </c>
      <c r="L34" s="12">
        <f t="shared" si="36"/>
        <v>0.08</v>
      </c>
      <c r="M34" s="12">
        <f t="shared" si="36"/>
        <v>0.03</v>
      </c>
      <c r="N34" s="12">
        <f t="shared" si="36"/>
        <v>0.12</v>
      </c>
      <c r="O34" s="12">
        <f t="shared" si="36"/>
        <v>0</v>
      </c>
      <c r="P34" s="12">
        <f t="shared" si="36"/>
        <v>0</v>
      </c>
      <c r="Q34" s="12">
        <f t="shared" si="36"/>
        <v>0</v>
      </c>
      <c r="R34" s="12">
        <f t="shared" si="36"/>
        <v>0</v>
      </c>
      <c r="S34" s="12">
        <f t="shared" si="36"/>
        <v>0</v>
      </c>
      <c r="T34" s="12">
        <f t="shared" si="36"/>
        <v>0</v>
      </c>
      <c r="U34" s="12">
        <f t="shared" si="36"/>
        <v>0.26</v>
      </c>
      <c r="V34" s="12">
        <f t="shared" si="36"/>
        <v>0</v>
      </c>
      <c r="W34" s="12">
        <f t="shared" si="36"/>
        <v>1.62</v>
      </c>
      <c r="X34" s="12">
        <f t="shared" si="36"/>
        <v>0</v>
      </c>
      <c r="Y34" s="12">
        <f t="shared" si="36"/>
        <v>0</v>
      </c>
      <c r="Z34" s="12">
        <f t="shared" si="36"/>
        <v>3.83</v>
      </c>
      <c r="AA34" s="24">
        <f t="shared" si="1"/>
        <v>8.7002230255604817E-5</v>
      </c>
      <c r="AC34" s="89">
        <f t="shared" si="3"/>
        <v>1.9500000000000002</v>
      </c>
      <c r="AD34" s="89">
        <f t="shared" si="4"/>
        <v>1.8800000000000001</v>
      </c>
      <c r="AE34" s="89">
        <f t="shared" si="5"/>
        <v>0</v>
      </c>
      <c r="AF34" s="89">
        <f t="shared" si="30"/>
        <v>3.83</v>
      </c>
      <c r="AG34" s="24">
        <f t="shared" si="35"/>
        <v>0.49086161879895562</v>
      </c>
      <c r="AI34" s="6" t="s">
        <v>42</v>
      </c>
      <c r="AJ34" s="89">
        <v>5845.1999999999989</v>
      </c>
      <c r="AK34" s="89">
        <v>10496.230000000001</v>
      </c>
      <c r="AL34" s="382">
        <f t="shared" ref="AL34:AL62" si="37">AJ34/AK34</f>
        <v>0.55688566275700879</v>
      </c>
      <c r="AN34" s="116" t="s">
        <v>22</v>
      </c>
      <c r="AO34" s="343">
        <v>253</v>
      </c>
      <c r="AP34" s="343">
        <v>547.88</v>
      </c>
      <c r="AQ34" s="190">
        <f t="shared" si="32"/>
        <v>0.4617799518142659</v>
      </c>
    </row>
    <row r="35" spans="1:43" x14ac:dyDescent="0.35">
      <c r="A35" s="116" t="s">
        <v>15</v>
      </c>
      <c r="B35" s="117">
        <f t="shared" ref="B35:Z35" si="38">B341+B188</f>
        <v>236.68</v>
      </c>
      <c r="C35" s="117">
        <f t="shared" si="38"/>
        <v>216.78000000000003</v>
      </c>
      <c r="D35" s="117">
        <f t="shared" si="38"/>
        <v>102.33000000000001</v>
      </c>
      <c r="E35" s="117">
        <f t="shared" si="38"/>
        <v>110.77000000000001</v>
      </c>
      <c r="F35" s="117">
        <f t="shared" si="38"/>
        <v>102.45</v>
      </c>
      <c r="G35" s="117">
        <f t="shared" si="38"/>
        <v>164.74</v>
      </c>
      <c r="H35" s="117">
        <f t="shared" si="38"/>
        <v>126.46999999999998</v>
      </c>
      <c r="I35" s="117">
        <f t="shared" si="38"/>
        <v>209.8</v>
      </c>
      <c r="J35" s="117">
        <f t="shared" si="38"/>
        <v>137.41</v>
      </c>
      <c r="K35" s="117">
        <f t="shared" si="38"/>
        <v>87.01</v>
      </c>
      <c r="L35" s="117">
        <f t="shared" si="38"/>
        <v>251.98000000000002</v>
      </c>
      <c r="M35" s="117">
        <f t="shared" si="38"/>
        <v>307.02999999999997</v>
      </c>
      <c r="N35" s="117">
        <f t="shared" si="38"/>
        <v>324.32</v>
      </c>
      <c r="O35" s="117">
        <f t="shared" si="38"/>
        <v>382.27</v>
      </c>
      <c r="P35" s="117">
        <f t="shared" si="38"/>
        <v>502.1</v>
      </c>
      <c r="Q35" s="117">
        <f t="shared" si="38"/>
        <v>828.82000000000016</v>
      </c>
      <c r="R35" s="117">
        <f t="shared" si="38"/>
        <v>2253.62</v>
      </c>
      <c r="S35" s="117">
        <f t="shared" si="38"/>
        <v>2694.13</v>
      </c>
      <c r="T35" s="117">
        <f t="shared" si="38"/>
        <v>3727.1000000000004</v>
      </c>
      <c r="U35" s="117">
        <f t="shared" si="38"/>
        <v>5588.7899999999991</v>
      </c>
      <c r="V35" s="117">
        <f t="shared" si="38"/>
        <v>6324.1700000000019</v>
      </c>
      <c r="W35" s="117">
        <f t="shared" si="38"/>
        <v>5486.5999999999995</v>
      </c>
      <c r="X35" s="117">
        <f t="shared" si="38"/>
        <v>4419.1499999999996</v>
      </c>
      <c r="Y35" s="117">
        <f t="shared" si="38"/>
        <v>19.93</v>
      </c>
      <c r="Z35" s="117">
        <f t="shared" si="38"/>
        <v>34604.450000000004</v>
      </c>
      <c r="AA35" s="185">
        <f t="shared" si="1"/>
        <v>0.7860742367541943</v>
      </c>
      <c r="AC35" s="117">
        <f t="shared" si="3"/>
        <v>12765.81</v>
      </c>
      <c r="AD35" s="117">
        <f t="shared" si="4"/>
        <v>21818.71</v>
      </c>
      <c r="AE35" s="117">
        <f t="shared" si="5"/>
        <v>19.93</v>
      </c>
      <c r="AF35" s="117">
        <f>SUM(AC35:AE35)</f>
        <v>34604.449999999997</v>
      </c>
      <c r="AG35" s="185">
        <f>AD35/AF35</f>
        <v>0.63051746234949557</v>
      </c>
      <c r="AH35" s="190">
        <f>AF35/AF67</f>
        <v>0.78607423675419419</v>
      </c>
      <c r="AI35" s="6" t="s">
        <v>41</v>
      </c>
      <c r="AJ35" s="89">
        <v>5573.5299999999988</v>
      </c>
      <c r="AK35" s="89">
        <v>8331.9299999999985</v>
      </c>
      <c r="AL35" s="382">
        <f t="shared" si="37"/>
        <v>0.66893624886430869</v>
      </c>
      <c r="AN35" s="116" t="s">
        <v>21</v>
      </c>
      <c r="AO35" s="343">
        <v>199.89999999999998</v>
      </c>
      <c r="AP35" s="343">
        <v>342.89</v>
      </c>
      <c r="AQ35" s="190">
        <f t="shared" si="32"/>
        <v>0.58298579719443544</v>
      </c>
    </row>
    <row r="36" spans="1:43" x14ac:dyDescent="0.35">
      <c r="A36" s="6" t="s">
        <v>41</v>
      </c>
      <c r="B36" s="12">
        <f t="shared" ref="B36:Z36" si="39">B342+B189</f>
        <v>55.19</v>
      </c>
      <c r="C36" s="12">
        <f t="shared" si="39"/>
        <v>53.379999999999995</v>
      </c>
      <c r="D36" s="12">
        <f t="shared" si="39"/>
        <v>43.449999999999996</v>
      </c>
      <c r="E36" s="12">
        <f t="shared" si="39"/>
        <v>18.080000000000002</v>
      </c>
      <c r="F36" s="12">
        <f t="shared" si="39"/>
        <v>58.129999999999995</v>
      </c>
      <c r="G36" s="12">
        <f t="shared" si="39"/>
        <v>35.6</v>
      </c>
      <c r="H36" s="12">
        <f t="shared" si="39"/>
        <v>24.2</v>
      </c>
      <c r="I36" s="12">
        <f t="shared" si="39"/>
        <v>15.03</v>
      </c>
      <c r="J36" s="12">
        <f t="shared" si="39"/>
        <v>36.450000000000003</v>
      </c>
      <c r="K36" s="12">
        <f t="shared" si="39"/>
        <v>14</v>
      </c>
      <c r="L36" s="12">
        <f t="shared" si="39"/>
        <v>41.43</v>
      </c>
      <c r="M36" s="12">
        <f t="shared" si="39"/>
        <v>60.189999999999991</v>
      </c>
      <c r="N36" s="12">
        <f t="shared" si="39"/>
        <v>34.9</v>
      </c>
      <c r="O36" s="12">
        <f t="shared" si="39"/>
        <v>48.47</v>
      </c>
      <c r="P36" s="12">
        <f t="shared" si="39"/>
        <v>137.73999999999998</v>
      </c>
      <c r="Q36" s="12">
        <f t="shared" si="39"/>
        <v>133.97999999999999</v>
      </c>
      <c r="R36" s="12">
        <f t="shared" si="39"/>
        <v>437.82999999999993</v>
      </c>
      <c r="S36" s="12">
        <f t="shared" si="39"/>
        <v>636.55999999999995</v>
      </c>
      <c r="T36" s="12">
        <f t="shared" si="39"/>
        <v>870.84999999999991</v>
      </c>
      <c r="U36" s="12">
        <f t="shared" si="39"/>
        <v>1353.8099999999997</v>
      </c>
      <c r="V36" s="12">
        <f t="shared" si="39"/>
        <v>1574.6700000000003</v>
      </c>
      <c r="W36" s="12">
        <f t="shared" si="39"/>
        <v>1445.2499999999998</v>
      </c>
      <c r="X36" s="12">
        <f t="shared" si="39"/>
        <v>1199.7999999999993</v>
      </c>
      <c r="Y36" s="12">
        <f t="shared" si="39"/>
        <v>2.9400000000000004</v>
      </c>
      <c r="Z36" s="12">
        <f t="shared" si="39"/>
        <v>8331.9299999999985</v>
      </c>
      <c r="AA36" s="24">
        <f t="shared" si="1"/>
        <v>0.18926801366412044</v>
      </c>
      <c r="AC36" s="89">
        <f t="shared" si="3"/>
        <v>2755.4599999999996</v>
      </c>
      <c r="AD36" s="89">
        <f t="shared" si="4"/>
        <v>5573.5299999999988</v>
      </c>
      <c r="AE36" s="89">
        <f t="shared" si="5"/>
        <v>2.9400000000000004</v>
      </c>
      <c r="AF36" s="89">
        <f t="shared" ref="AF36:AF40" si="40">SUM(AC36:AE36)</f>
        <v>8331.9299999999985</v>
      </c>
      <c r="AG36" s="24">
        <f t="shared" ref="AG36:AG40" si="41">AD36/AF36</f>
        <v>0.66893624886430869</v>
      </c>
      <c r="AH36" s="190">
        <f>AD35/AD67</f>
        <v>0.79404113681970256</v>
      </c>
      <c r="AI36" s="6" t="s">
        <v>43</v>
      </c>
      <c r="AJ36" s="89">
        <v>4197.71</v>
      </c>
      <c r="AK36" s="89">
        <v>5933.8</v>
      </c>
      <c r="AL36" s="382">
        <f t="shared" si="37"/>
        <v>0.70742357342680906</v>
      </c>
      <c r="AN36" s="116" t="s">
        <v>13</v>
      </c>
      <c r="AO36" s="343">
        <v>126.83000000000001</v>
      </c>
      <c r="AP36" s="343">
        <v>244.42000000000002</v>
      </c>
      <c r="AQ36" s="190">
        <f t="shared" si="32"/>
        <v>0.51890189018901889</v>
      </c>
    </row>
    <row r="37" spans="1:43" x14ac:dyDescent="0.35">
      <c r="A37" s="6" t="s">
        <v>42</v>
      </c>
      <c r="B37" s="12">
        <f t="shared" ref="B37:Z37" si="42">B343+B190</f>
        <v>48.139999999999993</v>
      </c>
      <c r="C37" s="12">
        <f t="shared" si="42"/>
        <v>84.300000000000011</v>
      </c>
      <c r="D37" s="12">
        <f t="shared" si="42"/>
        <v>56.360000000000007</v>
      </c>
      <c r="E37" s="12">
        <f t="shared" si="42"/>
        <v>46.010000000000005</v>
      </c>
      <c r="F37" s="12">
        <f t="shared" si="42"/>
        <v>14.53</v>
      </c>
      <c r="G37" s="12">
        <f t="shared" si="42"/>
        <v>73.91</v>
      </c>
      <c r="H37" s="12">
        <f t="shared" si="42"/>
        <v>26.67</v>
      </c>
      <c r="I37" s="12">
        <f t="shared" si="42"/>
        <v>81.61</v>
      </c>
      <c r="J37" s="12">
        <f t="shared" si="42"/>
        <v>44</v>
      </c>
      <c r="K37" s="12">
        <f t="shared" si="42"/>
        <v>26.85</v>
      </c>
      <c r="L37" s="12">
        <f t="shared" si="42"/>
        <v>61.48</v>
      </c>
      <c r="M37" s="12">
        <f t="shared" si="42"/>
        <v>107.24000000000001</v>
      </c>
      <c r="N37" s="12">
        <f t="shared" si="42"/>
        <v>181.32</v>
      </c>
      <c r="O37" s="12">
        <f t="shared" si="42"/>
        <v>170.56999999999996</v>
      </c>
      <c r="P37" s="12">
        <f t="shared" si="42"/>
        <v>195.55999999999997</v>
      </c>
      <c r="Q37" s="12">
        <f t="shared" si="42"/>
        <v>415.06000000000012</v>
      </c>
      <c r="R37" s="12">
        <f t="shared" si="42"/>
        <v>937.97000000000025</v>
      </c>
      <c r="S37" s="12">
        <f t="shared" si="42"/>
        <v>838.67000000000007</v>
      </c>
      <c r="T37" s="12">
        <f t="shared" si="42"/>
        <v>1235.1600000000001</v>
      </c>
      <c r="U37" s="12">
        <f t="shared" si="42"/>
        <v>1713.3000000000004</v>
      </c>
      <c r="V37" s="12">
        <f t="shared" si="42"/>
        <v>1531.8999999999996</v>
      </c>
      <c r="W37" s="12">
        <f t="shared" si="42"/>
        <v>1379.2699999999995</v>
      </c>
      <c r="X37" s="12">
        <f t="shared" si="42"/>
        <v>1220.73</v>
      </c>
      <c r="Y37" s="12">
        <f t="shared" si="42"/>
        <v>5.620000000000001</v>
      </c>
      <c r="Z37" s="12">
        <f t="shared" si="42"/>
        <v>10496.23</v>
      </c>
      <c r="AA37" s="24">
        <f t="shared" si="1"/>
        <v>0.23843222435399136</v>
      </c>
      <c r="AC37" s="89">
        <f t="shared" si="3"/>
        <v>4645.4100000000008</v>
      </c>
      <c r="AD37" s="89">
        <f t="shared" si="4"/>
        <v>5845.1999999999989</v>
      </c>
      <c r="AE37" s="89">
        <f t="shared" si="5"/>
        <v>5.620000000000001</v>
      </c>
      <c r="AF37" s="89">
        <f t="shared" si="40"/>
        <v>10496.230000000001</v>
      </c>
      <c r="AG37" s="24">
        <f t="shared" si="41"/>
        <v>0.55688566275700879</v>
      </c>
      <c r="AI37" s="6" t="s">
        <v>26</v>
      </c>
      <c r="AJ37" s="89">
        <v>1453.5699999999997</v>
      </c>
      <c r="AK37" s="89">
        <v>1925.3199999999997</v>
      </c>
      <c r="AL37" s="382">
        <f t="shared" si="37"/>
        <v>0.75497579623127575</v>
      </c>
    </row>
    <row r="38" spans="1:43" x14ac:dyDescent="0.35">
      <c r="A38" s="6" t="s">
        <v>43</v>
      </c>
      <c r="B38" s="12">
        <f t="shared" ref="B38:Z38" si="43">B344+B191</f>
        <v>83.09</v>
      </c>
      <c r="C38" s="12">
        <f t="shared" si="43"/>
        <v>32.6</v>
      </c>
      <c r="D38" s="12">
        <f t="shared" si="43"/>
        <v>2.2400000000000002</v>
      </c>
      <c r="E38" s="12">
        <f t="shared" si="43"/>
        <v>5.61</v>
      </c>
      <c r="F38" s="12">
        <f t="shared" si="43"/>
        <v>0.56999999999999995</v>
      </c>
      <c r="G38" s="12">
        <f t="shared" si="43"/>
        <v>34.58</v>
      </c>
      <c r="H38" s="12">
        <f t="shared" si="43"/>
        <v>30.11</v>
      </c>
      <c r="I38" s="12">
        <f t="shared" si="43"/>
        <v>84.38</v>
      </c>
      <c r="J38" s="12">
        <f t="shared" si="43"/>
        <v>16.63</v>
      </c>
      <c r="K38" s="12">
        <f t="shared" si="43"/>
        <v>3.48</v>
      </c>
      <c r="L38" s="12">
        <f t="shared" si="43"/>
        <v>3.8200000000000003</v>
      </c>
      <c r="M38" s="12">
        <f t="shared" si="43"/>
        <v>26.2</v>
      </c>
      <c r="N38" s="12">
        <f t="shared" si="43"/>
        <v>9.3000000000000007</v>
      </c>
      <c r="O38" s="12">
        <f t="shared" si="43"/>
        <v>28.320000000000004</v>
      </c>
      <c r="P38" s="12">
        <f t="shared" si="43"/>
        <v>25.68</v>
      </c>
      <c r="Q38" s="12">
        <f t="shared" si="43"/>
        <v>70.16</v>
      </c>
      <c r="R38" s="12">
        <f t="shared" si="43"/>
        <v>271.32000000000005</v>
      </c>
      <c r="S38" s="12">
        <f t="shared" si="43"/>
        <v>401.59999999999991</v>
      </c>
      <c r="T38" s="12">
        <f t="shared" si="43"/>
        <v>599.6</v>
      </c>
      <c r="U38" s="12">
        <f t="shared" si="43"/>
        <v>1018.97</v>
      </c>
      <c r="V38" s="12">
        <f t="shared" si="43"/>
        <v>1322.6599999999999</v>
      </c>
      <c r="W38" s="12">
        <f t="shared" si="43"/>
        <v>914.49999999999966</v>
      </c>
      <c r="X38" s="12">
        <f t="shared" si="43"/>
        <v>941.58</v>
      </c>
      <c r="Y38" s="12">
        <f t="shared" si="43"/>
        <v>6.8000000000000007</v>
      </c>
      <c r="Z38" s="12">
        <f t="shared" si="43"/>
        <v>5933.7999999999993</v>
      </c>
      <c r="AA38" s="24">
        <f t="shared" si="1"/>
        <v>0.13479212373125529</v>
      </c>
      <c r="AC38" s="89">
        <f t="shared" si="3"/>
        <v>1729.29</v>
      </c>
      <c r="AD38" s="89">
        <f t="shared" si="4"/>
        <v>4197.71</v>
      </c>
      <c r="AE38" s="89">
        <f t="shared" si="5"/>
        <v>6.8000000000000007</v>
      </c>
      <c r="AF38" s="89">
        <f t="shared" si="40"/>
        <v>5933.8</v>
      </c>
      <c r="AG38" s="24">
        <f t="shared" si="41"/>
        <v>0.70742357342680906</v>
      </c>
      <c r="AI38" s="6" t="s">
        <v>55</v>
      </c>
      <c r="AJ38" s="89">
        <v>750.71999999999991</v>
      </c>
      <c r="AK38" s="89">
        <v>1266.22</v>
      </c>
      <c r="AL38" s="382">
        <f t="shared" si="37"/>
        <v>0.59288275339198548</v>
      </c>
    </row>
    <row r="39" spans="1:43" x14ac:dyDescent="0.35">
      <c r="A39" s="6" t="s">
        <v>44</v>
      </c>
      <c r="B39" s="12">
        <f t="shared" ref="B39:Z39" si="44">B345+B192</f>
        <v>0</v>
      </c>
      <c r="C39" s="12">
        <f t="shared" si="44"/>
        <v>0</v>
      </c>
      <c r="D39" s="12">
        <f t="shared" si="44"/>
        <v>0</v>
      </c>
      <c r="E39" s="12">
        <f t="shared" si="44"/>
        <v>0</v>
      </c>
      <c r="F39" s="12">
        <f t="shared" si="44"/>
        <v>0</v>
      </c>
      <c r="G39" s="12">
        <f t="shared" si="44"/>
        <v>1.5</v>
      </c>
      <c r="H39" s="12">
        <f t="shared" si="44"/>
        <v>0</v>
      </c>
      <c r="I39" s="12">
        <f t="shared" si="44"/>
        <v>0</v>
      </c>
      <c r="J39" s="12">
        <f t="shared" si="44"/>
        <v>0</v>
      </c>
      <c r="K39" s="12">
        <f t="shared" si="44"/>
        <v>0</v>
      </c>
      <c r="L39" s="12">
        <f t="shared" si="44"/>
        <v>0.12</v>
      </c>
      <c r="M39" s="12">
        <f t="shared" si="44"/>
        <v>4.79</v>
      </c>
      <c r="N39" s="12">
        <f t="shared" si="44"/>
        <v>0</v>
      </c>
      <c r="O39" s="12">
        <f t="shared" si="44"/>
        <v>1.2</v>
      </c>
      <c r="P39" s="12">
        <f t="shared" si="44"/>
        <v>0</v>
      </c>
      <c r="Q39" s="12">
        <f t="shared" si="44"/>
        <v>3.64</v>
      </c>
      <c r="R39" s="12">
        <f t="shared" si="44"/>
        <v>32.519999999999996</v>
      </c>
      <c r="S39" s="12">
        <f t="shared" si="44"/>
        <v>23.67</v>
      </c>
      <c r="T39" s="12">
        <f t="shared" si="44"/>
        <v>46.730000000000004</v>
      </c>
      <c r="U39" s="12">
        <f t="shared" si="44"/>
        <v>38.980000000000004</v>
      </c>
      <c r="V39" s="12">
        <f t="shared" si="44"/>
        <v>24.44</v>
      </c>
      <c r="W39" s="12">
        <f t="shared" si="44"/>
        <v>53.279999999999994</v>
      </c>
      <c r="X39" s="12">
        <f t="shared" si="44"/>
        <v>60.61999999999999</v>
      </c>
      <c r="Y39" s="12">
        <f t="shared" si="44"/>
        <v>0.16999999999999998</v>
      </c>
      <c r="Z39" s="12">
        <f t="shared" si="44"/>
        <v>291.65999999999997</v>
      </c>
      <c r="AA39" s="24">
        <f t="shared" si="1"/>
        <v>6.6253447718928717E-3</v>
      </c>
      <c r="AC39" s="89">
        <f t="shared" si="3"/>
        <v>114.17</v>
      </c>
      <c r="AD39" s="89">
        <f t="shared" si="4"/>
        <v>177.32</v>
      </c>
      <c r="AE39" s="89">
        <f t="shared" si="5"/>
        <v>0.16999999999999998</v>
      </c>
      <c r="AF39" s="89">
        <f t="shared" si="40"/>
        <v>291.66000000000003</v>
      </c>
      <c r="AG39" s="24">
        <f t="shared" si="41"/>
        <v>0.60796818212987713</v>
      </c>
      <c r="AI39" s="182" t="s">
        <v>53</v>
      </c>
      <c r="AJ39" s="89">
        <v>535.30000000000007</v>
      </c>
      <c r="AK39" s="89">
        <v>780.0100000000001</v>
      </c>
      <c r="AL39" s="382">
        <f t="shared" si="37"/>
        <v>0.68627325290701402</v>
      </c>
    </row>
    <row r="40" spans="1:43" x14ac:dyDescent="0.35">
      <c r="A40" s="6" t="s">
        <v>45</v>
      </c>
      <c r="B40" s="12">
        <f t="shared" ref="B40:Z40" si="45">B346+B193</f>
        <v>50.260000000000005</v>
      </c>
      <c r="C40" s="12">
        <f t="shared" si="45"/>
        <v>46.499999999999993</v>
      </c>
      <c r="D40" s="12">
        <f t="shared" si="45"/>
        <v>0.28000000000000003</v>
      </c>
      <c r="E40" s="12">
        <f t="shared" si="45"/>
        <v>41.07</v>
      </c>
      <c r="F40" s="12">
        <f t="shared" si="45"/>
        <v>29.22</v>
      </c>
      <c r="G40" s="12">
        <f t="shared" si="45"/>
        <v>19.150000000000002</v>
      </c>
      <c r="H40" s="12">
        <f t="shared" si="45"/>
        <v>45.489999999999988</v>
      </c>
      <c r="I40" s="12">
        <f t="shared" si="45"/>
        <v>28.780000000000005</v>
      </c>
      <c r="J40" s="12">
        <f t="shared" si="45"/>
        <v>40.33</v>
      </c>
      <c r="K40" s="12">
        <f t="shared" si="45"/>
        <v>42.680000000000007</v>
      </c>
      <c r="L40" s="12">
        <f t="shared" si="45"/>
        <v>145.13000000000002</v>
      </c>
      <c r="M40" s="12">
        <f t="shared" si="45"/>
        <v>108.60999999999999</v>
      </c>
      <c r="N40" s="12">
        <f t="shared" si="45"/>
        <v>98.800000000000011</v>
      </c>
      <c r="O40" s="12">
        <f t="shared" si="45"/>
        <v>133.71</v>
      </c>
      <c r="P40" s="12">
        <f t="shared" si="45"/>
        <v>143.12</v>
      </c>
      <c r="Q40" s="12">
        <f t="shared" si="45"/>
        <v>205.97999999999996</v>
      </c>
      <c r="R40" s="12">
        <f t="shared" si="45"/>
        <v>573.97999999999979</v>
      </c>
      <c r="S40" s="12">
        <f t="shared" si="45"/>
        <v>793.63</v>
      </c>
      <c r="T40" s="12">
        <f t="shared" si="45"/>
        <v>974.76</v>
      </c>
      <c r="U40" s="12">
        <f t="shared" si="45"/>
        <v>1463.7299999999996</v>
      </c>
      <c r="V40" s="12">
        <f t="shared" si="45"/>
        <v>1870.5000000000018</v>
      </c>
      <c r="W40" s="12">
        <f t="shared" si="45"/>
        <v>1694.3000000000002</v>
      </c>
      <c r="X40" s="12">
        <f t="shared" si="45"/>
        <v>996.42000000000007</v>
      </c>
      <c r="Y40" s="12">
        <f t="shared" si="45"/>
        <v>4.3999999999999986</v>
      </c>
      <c r="Z40" s="12">
        <f t="shared" si="45"/>
        <v>9550.8300000000017</v>
      </c>
      <c r="AA40" s="24">
        <f t="shared" si="1"/>
        <v>0.21695653023293426</v>
      </c>
      <c r="AC40" s="89">
        <f t="shared" si="3"/>
        <v>3521.4799999999996</v>
      </c>
      <c r="AD40" s="89">
        <f t="shared" si="4"/>
        <v>6024.9500000000016</v>
      </c>
      <c r="AE40" s="89">
        <f t="shared" si="5"/>
        <v>4.3999999999999986</v>
      </c>
      <c r="AF40" s="89">
        <f t="shared" si="40"/>
        <v>9550.83</v>
      </c>
      <c r="AG40" s="24">
        <f t="shared" si="41"/>
        <v>0.63082999069190859</v>
      </c>
      <c r="AI40" s="182" t="s">
        <v>54</v>
      </c>
      <c r="AJ40" s="89">
        <v>387.65999999999997</v>
      </c>
      <c r="AK40" s="89">
        <v>595.66000000000008</v>
      </c>
      <c r="AL40" s="382">
        <f t="shared" si="37"/>
        <v>0.65080750763858564</v>
      </c>
    </row>
    <row r="41" spans="1:43" x14ac:dyDescent="0.35">
      <c r="A41" s="116" t="s">
        <v>16</v>
      </c>
      <c r="B41" s="117">
        <f t="shared" ref="B41:Z41" si="46">B347+B194</f>
        <v>6.65</v>
      </c>
      <c r="C41" s="117">
        <f t="shared" si="46"/>
        <v>0.86</v>
      </c>
      <c r="D41" s="117">
        <f t="shared" si="46"/>
        <v>0</v>
      </c>
      <c r="E41" s="117">
        <f t="shared" si="46"/>
        <v>0</v>
      </c>
      <c r="F41" s="117">
        <f t="shared" si="46"/>
        <v>0</v>
      </c>
      <c r="G41" s="117">
        <f t="shared" si="46"/>
        <v>0.75</v>
      </c>
      <c r="H41" s="117">
        <f t="shared" si="46"/>
        <v>16.34</v>
      </c>
      <c r="I41" s="117">
        <f t="shared" si="46"/>
        <v>0.32</v>
      </c>
      <c r="J41" s="117">
        <f t="shared" si="46"/>
        <v>0</v>
      </c>
      <c r="K41" s="117">
        <f t="shared" si="46"/>
        <v>8.08</v>
      </c>
      <c r="L41" s="117">
        <f t="shared" si="46"/>
        <v>11.78</v>
      </c>
      <c r="M41" s="117">
        <f t="shared" si="46"/>
        <v>22.740000000000002</v>
      </c>
      <c r="N41" s="117">
        <f t="shared" si="46"/>
        <v>13.899999999999999</v>
      </c>
      <c r="O41" s="117">
        <f t="shared" si="46"/>
        <v>37.56</v>
      </c>
      <c r="P41" s="117">
        <f t="shared" si="46"/>
        <v>39.840000000000003</v>
      </c>
      <c r="Q41" s="117">
        <f t="shared" si="46"/>
        <v>56.38</v>
      </c>
      <c r="R41" s="117">
        <f t="shared" si="46"/>
        <v>91.330000000000013</v>
      </c>
      <c r="S41" s="117">
        <f t="shared" si="46"/>
        <v>114.92</v>
      </c>
      <c r="T41" s="117">
        <f t="shared" si="46"/>
        <v>234.11</v>
      </c>
      <c r="U41" s="117">
        <f t="shared" si="46"/>
        <v>402.83</v>
      </c>
      <c r="V41" s="117">
        <f t="shared" si="46"/>
        <v>306.93</v>
      </c>
      <c r="W41" s="117">
        <f t="shared" si="46"/>
        <v>379.09000000000003</v>
      </c>
      <c r="X41" s="117">
        <f t="shared" si="46"/>
        <v>207.79000000000002</v>
      </c>
      <c r="Y41" s="117">
        <f t="shared" si="46"/>
        <v>3.37</v>
      </c>
      <c r="Z41" s="117">
        <f t="shared" si="46"/>
        <v>1955.57</v>
      </c>
      <c r="AA41" s="185">
        <f t="shared" si="1"/>
        <v>4.4422702720875486E-2</v>
      </c>
      <c r="AC41" s="117">
        <f t="shared" si="3"/>
        <v>655.56000000000006</v>
      </c>
      <c r="AD41" s="117">
        <f t="shared" si="4"/>
        <v>1296.6399999999999</v>
      </c>
      <c r="AE41" s="117">
        <f t="shared" si="5"/>
        <v>3.37</v>
      </c>
      <c r="AF41" s="117">
        <f>SUM(AC41:AE41)</f>
        <v>1955.5699999999997</v>
      </c>
      <c r="AG41" s="185">
        <f>AD41/AF41</f>
        <v>0.66304964792873688</v>
      </c>
      <c r="AI41" s="6" t="s">
        <v>22</v>
      </c>
      <c r="AJ41" s="89">
        <v>253</v>
      </c>
      <c r="AK41" s="89">
        <v>547.88</v>
      </c>
      <c r="AL41" s="382">
        <f t="shared" si="37"/>
        <v>0.4617799518142659</v>
      </c>
    </row>
    <row r="42" spans="1:43" x14ac:dyDescent="0.35">
      <c r="A42" s="6" t="s">
        <v>46</v>
      </c>
      <c r="B42" s="12">
        <f t="shared" ref="B42:Z42" si="47">B348+B195</f>
        <v>0</v>
      </c>
      <c r="C42" s="12">
        <f t="shared" si="47"/>
        <v>0</v>
      </c>
      <c r="D42" s="12">
        <f t="shared" si="47"/>
        <v>0</v>
      </c>
      <c r="E42" s="12">
        <f t="shared" si="47"/>
        <v>0</v>
      </c>
      <c r="F42" s="12">
        <f t="shared" si="47"/>
        <v>0</v>
      </c>
      <c r="G42" s="12">
        <f t="shared" si="47"/>
        <v>0</v>
      </c>
      <c r="H42" s="12">
        <f t="shared" si="47"/>
        <v>0</v>
      </c>
      <c r="I42" s="12">
        <f t="shared" si="47"/>
        <v>0</v>
      </c>
      <c r="J42" s="12">
        <f t="shared" si="47"/>
        <v>0</v>
      </c>
      <c r="K42" s="12">
        <f t="shared" si="47"/>
        <v>7.64</v>
      </c>
      <c r="L42" s="12">
        <f t="shared" si="47"/>
        <v>0</v>
      </c>
      <c r="M42" s="12">
        <f t="shared" si="47"/>
        <v>0</v>
      </c>
      <c r="N42" s="12">
        <f t="shared" si="47"/>
        <v>0</v>
      </c>
      <c r="O42" s="12">
        <f t="shared" si="47"/>
        <v>0</v>
      </c>
      <c r="P42" s="12">
        <f t="shared" si="47"/>
        <v>7.77</v>
      </c>
      <c r="Q42" s="12">
        <f t="shared" si="47"/>
        <v>9.1</v>
      </c>
      <c r="R42" s="12">
        <f t="shared" si="47"/>
        <v>11.980000000000002</v>
      </c>
      <c r="S42" s="12">
        <f t="shared" si="47"/>
        <v>7.53</v>
      </c>
      <c r="T42" s="12">
        <f t="shared" si="47"/>
        <v>11.700000000000003</v>
      </c>
      <c r="U42" s="12">
        <f t="shared" si="47"/>
        <v>16.78</v>
      </c>
      <c r="V42" s="12">
        <f t="shared" si="47"/>
        <v>21.720000000000002</v>
      </c>
      <c r="W42" s="12">
        <f t="shared" si="47"/>
        <v>0</v>
      </c>
      <c r="X42" s="12">
        <f t="shared" si="47"/>
        <v>4.24</v>
      </c>
      <c r="Y42" s="12">
        <f t="shared" si="47"/>
        <v>0</v>
      </c>
      <c r="Z42" s="12">
        <f t="shared" si="47"/>
        <v>98.46</v>
      </c>
      <c r="AA42" s="24">
        <f t="shared" si="1"/>
        <v>2.236616081192389E-3</v>
      </c>
      <c r="AC42" s="89">
        <f t="shared" si="3"/>
        <v>55.720000000000006</v>
      </c>
      <c r="AD42" s="89">
        <f t="shared" si="4"/>
        <v>42.74</v>
      </c>
      <c r="AE42" s="89">
        <f t="shared" si="5"/>
        <v>0</v>
      </c>
      <c r="AF42" s="89">
        <f t="shared" ref="AF42:AF50" si="48">SUM(AC42:AE42)</f>
        <v>98.460000000000008</v>
      </c>
      <c r="AG42" s="24">
        <f t="shared" ref="AG42:AG45" si="49">AD42/AF42</f>
        <v>0.43408490757668089</v>
      </c>
      <c r="AI42" s="6" t="s">
        <v>28</v>
      </c>
      <c r="AJ42" s="89">
        <v>228.72</v>
      </c>
      <c r="AK42" s="89">
        <v>573.04000000000008</v>
      </c>
      <c r="AL42" s="382">
        <f t="shared" si="37"/>
        <v>0.39913444087672756</v>
      </c>
    </row>
    <row r="43" spans="1:43" x14ac:dyDescent="0.35">
      <c r="A43" s="6" t="s">
        <v>47</v>
      </c>
      <c r="B43" s="12">
        <f t="shared" ref="B43:Z43" si="50">B349+B196</f>
        <v>0</v>
      </c>
      <c r="C43" s="12">
        <f t="shared" si="50"/>
        <v>0</v>
      </c>
      <c r="D43" s="12">
        <f t="shared" si="50"/>
        <v>0</v>
      </c>
      <c r="E43" s="12">
        <f t="shared" si="50"/>
        <v>0</v>
      </c>
      <c r="F43" s="12">
        <f t="shared" si="50"/>
        <v>0</v>
      </c>
      <c r="G43" s="12">
        <f t="shared" si="50"/>
        <v>0</v>
      </c>
      <c r="H43" s="12">
        <f t="shared" si="50"/>
        <v>0</v>
      </c>
      <c r="I43" s="12">
        <f t="shared" si="50"/>
        <v>0</v>
      </c>
      <c r="J43" s="12">
        <f t="shared" si="50"/>
        <v>0</v>
      </c>
      <c r="K43" s="12">
        <f t="shared" si="50"/>
        <v>0</v>
      </c>
      <c r="L43" s="12">
        <f t="shared" si="50"/>
        <v>0</v>
      </c>
      <c r="M43" s="12">
        <f t="shared" si="50"/>
        <v>0</v>
      </c>
      <c r="N43" s="12">
        <f t="shared" si="50"/>
        <v>0</v>
      </c>
      <c r="O43" s="12">
        <f t="shared" si="50"/>
        <v>0</v>
      </c>
      <c r="P43" s="12">
        <f t="shared" si="50"/>
        <v>1.88</v>
      </c>
      <c r="Q43" s="12">
        <f t="shared" si="50"/>
        <v>4.5599999999999996</v>
      </c>
      <c r="R43" s="12">
        <f t="shared" si="50"/>
        <v>0.16</v>
      </c>
      <c r="S43" s="12">
        <f t="shared" si="50"/>
        <v>0</v>
      </c>
      <c r="T43" s="12">
        <f t="shared" si="50"/>
        <v>15.18</v>
      </c>
      <c r="U43" s="12">
        <f t="shared" si="50"/>
        <v>39.15</v>
      </c>
      <c r="V43" s="12">
        <f t="shared" si="50"/>
        <v>8.6000000000000014</v>
      </c>
      <c r="W43" s="12">
        <f t="shared" si="50"/>
        <v>1.78</v>
      </c>
      <c r="X43" s="12">
        <f t="shared" si="50"/>
        <v>1.48</v>
      </c>
      <c r="Y43" s="12">
        <f t="shared" si="50"/>
        <v>0</v>
      </c>
      <c r="Z43" s="12">
        <f t="shared" si="50"/>
        <v>72.789999999999992</v>
      </c>
      <c r="AA43" s="24">
        <f t="shared" si="1"/>
        <v>1.6534966945967295E-3</v>
      </c>
      <c r="AC43" s="89">
        <f t="shared" si="3"/>
        <v>21.78</v>
      </c>
      <c r="AD43" s="89">
        <f t="shared" si="4"/>
        <v>51.01</v>
      </c>
      <c r="AE43" s="89">
        <f t="shared" si="5"/>
        <v>0</v>
      </c>
      <c r="AF43" s="89">
        <f t="shared" si="48"/>
        <v>72.789999999999992</v>
      </c>
      <c r="AG43" s="24">
        <f t="shared" si="49"/>
        <v>0.70078307459815914</v>
      </c>
      <c r="AI43" s="6" t="s">
        <v>30</v>
      </c>
      <c r="AJ43" s="89">
        <v>204.17000000000002</v>
      </c>
      <c r="AK43" s="89">
        <v>431.75</v>
      </c>
      <c r="AL43" s="382">
        <f t="shared" si="37"/>
        <v>0.47288940359004056</v>
      </c>
    </row>
    <row r="44" spans="1:43" x14ac:dyDescent="0.35">
      <c r="A44" s="182" t="s">
        <v>48</v>
      </c>
      <c r="B44" s="12">
        <f t="shared" ref="B44:Z44" si="51">B350+B197</f>
        <v>0.08</v>
      </c>
      <c r="C44" s="12">
        <f t="shared" si="51"/>
        <v>0.44</v>
      </c>
      <c r="D44" s="12">
        <f t="shared" si="51"/>
        <v>0</v>
      </c>
      <c r="E44" s="12">
        <f t="shared" si="51"/>
        <v>0</v>
      </c>
      <c r="F44" s="12">
        <f t="shared" si="51"/>
        <v>0</v>
      </c>
      <c r="G44" s="12">
        <f t="shared" si="51"/>
        <v>0.75</v>
      </c>
      <c r="H44" s="12">
        <f t="shared" si="51"/>
        <v>0</v>
      </c>
      <c r="I44" s="12">
        <f t="shared" si="51"/>
        <v>0</v>
      </c>
      <c r="J44" s="12">
        <f t="shared" si="51"/>
        <v>0</v>
      </c>
      <c r="K44" s="12">
        <f t="shared" si="51"/>
        <v>0</v>
      </c>
      <c r="L44" s="12">
        <f t="shared" si="51"/>
        <v>0</v>
      </c>
      <c r="M44" s="12">
        <f t="shared" si="51"/>
        <v>0</v>
      </c>
      <c r="N44" s="12">
        <f t="shared" si="51"/>
        <v>0</v>
      </c>
      <c r="O44" s="12">
        <f t="shared" si="51"/>
        <v>0</v>
      </c>
      <c r="P44" s="12">
        <f t="shared" si="51"/>
        <v>1.42</v>
      </c>
      <c r="Q44" s="12">
        <f t="shared" si="51"/>
        <v>0</v>
      </c>
      <c r="R44" s="12">
        <f t="shared" si="51"/>
        <v>0</v>
      </c>
      <c r="S44" s="12">
        <f t="shared" si="51"/>
        <v>0.56999999999999995</v>
      </c>
      <c r="T44" s="12">
        <f t="shared" si="51"/>
        <v>0</v>
      </c>
      <c r="U44" s="12">
        <f t="shared" si="51"/>
        <v>3.64</v>
      </c>
      <c r="V44" s="12">
        <f t="shared" si="51"/>
        <v>1.3</v>
      </c>
      <c r="W44" s="12">
        <f t="shared" si="51"/>
        <v>4.68</v>
      </c>
      <c r="X44" s="12">
        <f t="shared" si="51"/>
        <v>1.0900000000000001</v>
      </c>
      <c r="Y44" s="12">
        <f t="shared" si="51"/>
        <v>0</v>
      </c>
      <c r="Z44" s="12">
        <f t="shared" si="51"/>
        <v>13.970000000000002</v>
      </c>
      <c r="AA44" s="24">
        <f t="shared" si="1"/>
        <v>3.173423385563445E-4</v>
      </c>
      <c r="AC44" s="89">
        <f t="shared" si="3"/>
        <v>3.26</v>
      </c>
      <c r="AD44" s="89">
        <f t="shared" si="4"/>
        <v>10.71</v>
      </c>
      <c r="AE44" s="89">
        <f t="shared" si="5"/>
        <v>0</v>
      </c>
      <c r="AF44" s="89">
        <f t="shared" si="48"/>
        <v>13.97</v>
      </c>
      <c r="AG44" s="24">
        <f t="shared" si="49"/>
        <v>0.76664280601288481</v>
      </c>
      <c r="AI44" s="6" t="s">
        <v>29</v>
      </c>
      <c r="AJ44" s="89">
        <v>201.38</v>
      </c>
      <c r="AK44" s="89">
        <v>479.69</v>
      </c>
      <c r="AL44" s="382">
        <f t="shared" si="37"/>
        <v>0.41981279576393088</v>
      </c>
    </row>
    <row r="45" spans="1:43" x14ac:dyDescent="0.35">
      <c r="A45" s="182" t="s">
        <v>49</v>
      </c>
      <c r="B45" s="12">
        <f t="shared" ref="B45:Z45" si="52">B351+B198</f>
        <v>0</v>
      </c>
      <c r="C45" s="12">
        <f t="shared" si="52"/>
        <v>0</v>
      </c>
      <c r="D45" s="12">
        <f t="shared" si="52"/>
        <v>0</v>
      </c>
      <c r="E45" s="12">
        <f t="shared" si="52"/>
        <v>0</v>
      </c>
      <c r="F45" s="12">
        <f t="shared" si="52"/>
        <v>0</v>
      </c>
      <c r="G45" s="12">
        <f t="shared" si="52"/>
        <v>0</v>
      </c>
      <c r="H45" s="12">
        <f t="shared" si="52"/>
        <v>16.34</v>
      </c>
      <c r="I45" s="12">
        <f t="shared" si="52"/>
        <v>0</v>
      </c>
      <c r="J45" s="12">
        <f t="shared" si="52"/>
        <v>0</v>
      </c>
      <c r="K45" s="12">
        <f t="shared" si="52"/>
        <v>0</v>
      </c>
      <c r="L45" s="12">
        <f t="shared" si="52"/>
        <v>0</v>
      </c>
      <c r="M45" s="12">
        <f t="shared" si="52"/>
        <v>1.1299999999999999</v>
      </c>
      <c r="N45" s="12">
        <f t="shared" si="52"/>
        <v>0</v>
      </c>
      <c r="O45" s="12">
        <f t="shared" si="52"/>
        <v>3.55</v>
      </c>
      <c r="P45" s="12">
        <f t="shared" si="52"/>
        <v>1.41</v>
      </c>
      <c r="Q45" s="12">
        <f t="shared" si="52"/>
        <v>0</v>
      </c>
      <c r="R45" s="12">
        <f t="shared" si="52"/>
        <v>3.23</v>
      </c>
      <c r="S45" s="12">
        <f t="shared" si="52"/>
        <v>3.52</v>
      </c>
      <c r="T45" s="12">
        <f t="shared" si="52"/>
        <v>2.5299999999999998</v>
      </c>
      <c r="U45" s="12">
        <f t="shared" si="52"/>
        <v>19.5</v>
      </c>
      <c r="V45" s="12">
        <f t="shared" si="52"/>
        <v>7.87</v>
      </c>
      <c r="W45" s="12">
        <f t="shared" si="52"/>
        <v>2.41</v>
      </c>
      <c r="X45" s="12">
        <f t="shared" si="52"/>
        <v>0.90999999999999992</v>
      </c>
      <c r="Y45" s="12">
        <f t="shared" si="52"/>
        <v>0</v>
      </c>
      <c r="Z45" s="12">
        <f t="shared" si="52"/>
        <v>62.400000000000006</v>
      </c>
      <c r="AA45" s="24">
        <f t="shared" ref="AA45:AA67" si="53">Z45/$Z$67</f>
        <v>1.4174775895430133E-3</v>
      </c>
      <c r="AC45" s="89">
        <f t="shared" si="3"/>
        <v>31.71</v>
      </c>
      <c r="AD45" s="89">
        <f t="shared" si="4"/>
        <v>30.69</v>
      </c>
      <c r="AE45" s="89">
        <f t="shared" si="5"/>
        <v>0</v>
      </c>
      <c r="AF45" s="89">
        <f t="shared" si="48"/>
        <v>62.400000000000006</v>
      </c>
      <c r="AG45" s="24">
        <f t="shared" si="49"/>
        <v>0.49182692307692305</v>
      </c>
      <c r="AI45" s="6" t="s">
        <v>21</v>
      </c>
      <c r="AJ45" s="89">
        <v>199.89999999999998</v>
      </c>
      <c r="AK45" s="89">
        <v>342.89</v>
      </c>
      <c r="AL45" s="382">
        <f t="shared" si="37"/>
        <v>0.58298579719443544</v>
      </c>
    </row>
    <row r="46" spans="1:43" x14ac:dyDescent="0.35">
      <c r="A46" s="182" t="s">
        <v>50</v>
      </c>
      <c r="B46" s="12">
        <f t="shared" ref="B46:Z46" si="54">B352+B199</f>
        <v>0</v>
      </c>
      <c r="C46" s="12">
        <f t="shared" si="54"/>
        <v>0</v>
      </c>
      <c r="D46" s="12">
        <f t="shared" si="54"/>
        <v>0</v>
      </c>
      <c r="E46" s="12">
        <f t="shared" si="54"/>
        <v>0</v>
      </c>
      <c r="F46" s="12">
        <f t="shared" si="54"/>
        <v>0</v>
      </c>
      <c r="G46" s="12">
        <f t="shared" si="54"/>
        <v>0</v>
      </c>
      <c r="H46" s="12">
        <f t="shared" si="54"/>
        <v>0</v>
      </c>
      <c r="I46" s="12">
        <f t="shared" si="54"/>
        <v>0</v>
      </c>
      <c r="J46" s="12">
        <f t="shared" si="54"/>
        <v>0</v>
      </c>
      <c r="K46" s="12">
        <f t="shared" si="54"/>
        <v>0</v>
      </c>
      <c r="L46" s="12">
        <f t="shared" si="54"/>
        <v>0</v>
      </c>
      <c r="M46" s="12">
        <f t="shared" si="54"/>
        <v>0</v>
      </c>
      <c r="N46" s="12">
        <f t="shared" si="54"/>
        <v>0.9</v>
      </c>
      <c r="O46" s="12">
        <f t="shared" si="54"/>
        <v>0.25</v>
      </c>
      <c r="P46" s="12">
        <f t="shared" si="54"/>
        <v>0</v>
      </c>
      <c r="Q46" s="12">
        <f t="shared" si="54"/>
        <v>0</v>
      </c>
      <c r="R46" s="12">
        <f t="shared" si="54"/>
        <v>1.22</v>
      </c>
      <c r="S46" s="12">
        <f t="shared" si="54"/>
        <v>7.3</v>
      </c>
      <c r="T46" s="12">
        <f t="shared" si="54"/>
        <v>13.22</v>
      </c>
      <c r="U46" s="12">
        <f t="shared" si="54"/>
        <v>10.24</v>
      </c>
      <c r="V46" s="12">
        <f t="shared" si="54"/>
        <v>62.91</v>
      </c>
      <c r="W46" s="12">
        <f t="shared" si="54"/>
        <v>12.649999999999999</v>
      </c>
      <c r="X46" s="12">
        <f t="shared" si="54"/>
        <v>2.3200000000000003</v>
      </c>
      <c r="Y46" s="12">
        <f t="shared" si="54"/>
        <v>0</v>
      </c>
      <c r="Z46" s="12">
        <f t="shared" si="54"/>
        <v>111.00999999999999</v>
      </c>
      <c r="AA46" s="24">
        <f t="shared" si="53"/>
        <v>2.5217017181918249E-3</v>
      </c>
      <c r="AC46" s="89">
        <f t="shared" si="3"/>
        <v>22.89</v>
      </c>
      <c r="AD46" s="89">
        <f t="shared" si="4"/>
        <v>88.119999999999976</v>
      </c>
      <c r="AE46" s="89">
        <f t="shared" si="5"/>
        <v>0</v>
      </c>
      <c r="AF46" s="89">
        <f t="shared" si="48"/>
        <v>111.00999999999998</v>
      </c>
      <c r="AG46" s="24"/>
      <c r="AI46" s="6" t="s">
        <v>33</v>
      </c>
      <c r="AJ46" s="89">
        <v>187.59000000000003</v>
      </c>
      <c r="AK46" s="89">
        <v>254.85000000000002</v>
      </c>
      <c r="AL46" s="382">
        <f t="shared" si="37"/>
        <v>0.73608004708652153</v>
      </c>
    </row>
    <row r="47" spans="1:43" x14ac:dyDescent="0.35">
      <c r="A47" s="182" t="s">
        <v>51</v>
      </c>
      <c r="B47" s="12">
        <f t="shared" ref="B47:Z47" si="55">B353+B200</f>
        <v>0</v>
      </c>
      <c r="C47" s="12">
        <f t="shared" si="55"/>
        <v>0</v>
      </c>
      <c r="D47" s="12">
        <f t="shared" si="55"/>
        <v>0</v>
      </c>
      <c r="E47" s="12">
        <f t="shared" si="55"/>
        <v>0</v>
      </c>
      <c r="F47" s="12">
        <f t="shared" si="55"/>
        <v>0</v>
      </c>
      <c r="G47" s="12">
        <f t="shared" si="55"/>
        <v>0</v>
      </c>
      <c r="H47" s="12">
        <f t="shared" si="55"/>
        <v>0</v>
      </c>
      <c r="I47" s="12">
        <f t="shared" si="55"/>
        <v>0</v>
      </c>
      <c r="J47" s="12">
        <f t="shared" si="55"/>
        <v>0</v>
      </c>
      <c r="K47" s="12">
        <f t="shared" si="55"/>
        <v>0</v>
      </c>
      <c r="L47" s="12">
        <f t="shared" si="55"/>
        <v>0</v>
      </c>
      <c r="M47" s="12">
        <f t="shared" si="55"/>
        <v>0.42</v>
      </c>
      <c r="N47" s="12">
        <f t="shared" si="55"/>
        <v>3.18</v>
      </c>
      <c r="O47" s="12">
        <f t="shared" si="55"/>
        <v>10.55</v>
      </c>
      <c r="P47" s="12">
        <f t="shared" si="55"/>
        <v>1.4500000000000002</v>
      </c>
      <c r="Q47" s="12">
        <f t="shared" si="55"/>
        <v>0</v>
      </c>
      <c r="R47" s="12">
        <f t="shared" si="55"/>
        <v>0</v>
      </c>
      <c r="S47" s="12">
        <f t="shared" si="55"/>
        <v>16.13</v>
      </c>
      <c r="T47" s="12">
        <f t="shared" si="55"/>
        <v>37.519999999999996</v>
      </c>
      <c r="U47" s="12">
        <f t="shared" si="55"/>
        <v>35.269999999999996</v>
      </c>
      <c r="V47" s="12">
        <f t="shared" si="55"/>
        <v>37.520000000000003</v>
      </c>
      <c r="W47" s="12">
        <f t="shared" si="55"/>
        <v>27.22</v>
      </c>
      <c r="X47" s="12">
        <f t="shared" si="55"/>
        <v>18.98</v>
      </c>
      <c r="Y47" s="12">
        <f t="shared" si="55"/>
        <v>0</v>
      </c>
      <c r="Z47" s="12">
        <f t="shared" si="55"/>
        <v>188.24</v>
      </c>
      <c r="AA47" s="24">
        <f t="shared" si="53"/>
        <v>4.2760573951214232E-3</v>
      </c>
      <c r="AC47" s="89">
        <f t="shared" si="3"/>
        <v>69.25</v>
      </c>
      <c r="AD47" s="89">
        <f t="shared" si="4"/>
        <v>118.99</v>
      </c>
      <c r="AE47" s="89">
        <f t="shared" si="5"/>
        <v>0</v>
      </c>
      <c r="AF47" s="89">
        <f t="shared" si="48"/>
        <v>188.24</v>
      </c>
      <c r="AG47" s="24">
        <f t="shared" ref="AG47" si="56">AD47/AF47</f>
        <v>0.6321185720356991</v>
      </c>
      <c r="AI47" s="6" t="s">
        <v>44</v>
      </c>
      <c r="AJ47" s="89">
        <v>177.32</v>
      </c>
      <c r="AK47" s="89">
        <v>291.66000000000003</v>
      </c>
      <c r="AL47" s="382">
        <f t="shared" si="37"/>
        <v>0.60796818212987713</v>
      </c>
    </row>
    <row r="48" spans="1:43" x14ac:dyDescent="0.35">
      <c r="A48" s="182" t="s">
        <v>52</v>
      </c>
      <c r="B48" s="12">
        <f t="shared" ref="B48:Z48" si="57">B354+B201</f>
        <v>0</v>
      </c>
      <c r="C48" s="12">
        <f t="shared" si="57"/>
        <v>0</v>
      </c>
      <c r="D48" s="12">
        <f t="shared" si="57"/>
        <v>0</v>
      </c>
      <c r="E48" s="12">
        <f t="shared" si="57"/>
        <v>0</v>
      </c>
      <c r="F48" s="12">
        <f t="shared" si="57"/>
        <v>0</v>
      </c>
      <c r="G48" s="12">
        <f t="shared" si="57"/>
        <v>0</v>
      </c>
      <c r="H48" s="12">
        <f t="shared" si="57"/>
        <v>0</v>
      </c>
      <c r="I48" s="12">
        <f t="shared" si="57"/>
        <v>0.32</v>
      </c>
      <c r="J48" s="12">
        <f t="shared" si="57"/>
        <v>0</v>
      </c>
      <c r="K48" s="12">
        <f t="shared" si="57"/>
        <v>0</v>
      </c>
      <c r="L48" s="12">
        <f t="shared" si="57"/>
        <v>0</v>
      </c>
      <c r="M48" s="12">
        <f t="shared" si="57"/>
        <v>0</v>
      </c>
      <c r="N48" s="12">
        <f t="shared" si="57"/>
        <v>0</v>
      </c>
      <c r="O48" s="12">
        <f t="shared" si="57"/>
        <v>0</v>
      </c>
      <c r="P48" s="12">
        <f t="shared" si="57"/>
        <v>0</v>
      </c>
      <c r="Q48" s="12">
        <f t="shared" si="57"/>
        <v>0</v>
      </c>
      <c r="R48" s="12">
        <f t="shared" si="57"/>
        <v>0</v>
      </c>
      <c r="S48" s="12">
        <f t="shared" si="57"/>
        <v>0.59</v>
      </c>
      <c r="T48" s="12">
        <f t="shared" si="57"/>
        <v>0.17</v>
      </c>
      <c r="U48" s="12">
        <f t="shared" si="57"/>
        <v>16.190000000000001</v>
      </c>
      <c r="V48" s="12">
        <f t="shared" si="57"/>
        <v>11.47</v>
      </c>
      <c r="W48" s="12">
        <f t="shared" si="57"/>
        <v>3.76</v>
      </c>
      <c r="X48" s="12">
        <f t="shared" si="57"/>
        <v>0</v>
      </c>
      <c r="Y48" s="12">
        <f t="shared" si="57"/>
        <v>0.53</v>
      </c>
      <c r="Z48" s="12">
        <f t="shared" si="57"/>
        <v>33.03</v>
      </c>
      <c r="AA48" s="24">
        <f t="shared" si="53"/>
        <v>7.5030905100329686E-4</v>
      </c>
      <c r="AC48" s="89">
        <f t="shared" si="3"/>
        <v>1.0799999999999998</v>
      </c>
      <c r="AD48" s="89">
        <f t="shared" si="4"/>
        <v>31.42</v>
      </c>
      <c r="AE48" s="89">
        <f t="shared" si="5"/>
        <v>0.53</v>
      </c>
      <c r="AF48" s="89">
        <f t="shared" si="48"/>
        <v>33.03</v>
      </c>
      <c r="AG48" s="24"/>
      <c r="AI48" s="6" t="s">
        <v>8</v>
      </c>
      <c r="AJ48" s="89">
        <v>166.52</v>
      </c>
      <c r="AK48" s="89">
        <v>339.93</v>
      </c>
      <c r="AL48" s="382">
        <f t="shared" si="37"/>
        <v>0.4898655605565852</v>
      </c>
    </row>
    <row r="49" spans="1:38" x14ac:dyDescent="0.35">
      <c r="A49" s="182" t="s">
        <v>53</v>
      </c>
      <c r="B49" s="12">
        <f t="shared" ref="B49:Z49" si="58">B355+B202</f>
        <v>6.57</v>
      </c>
      <c r="C49" s="12">
        <f t="shared" si="58"/>
        <v>0</v>
      </c>
      <c r="D49" s="12">
        <f t="shared" si="58"/>
        <v>0</v>
      </c>
      <c r="E49" s="12">
        <f t="shared" si="58"/>
        <v>0</v>
      </c>
      <c r="F49" s="12">
        <f t="shared" si="58"/>
        <v>0</v>
      </c>
      <c r="G49" s="12">
        <f t="shared" si="58"/>
        <v>0</v>
      </c>
      <c r="H49" s="12">
        <f t="shared" si="58"/>
        <v>0</v>
      </c>
      <c r="I49" s="12">
        <f t="shared" si="58"/>
        <v>0</v>
      </c>
      <c r="J49" s="12">
        <f t="shared" si="58"/>
        <v>0</v>
      </c>
      <c r="K49" s="12">
        <f t="shared" si="58"/>
        <v>0.44</v>
      </c>
      <c r="L49" s="12">
        <f t="shared" si="58"/>
        <v>11.78</v>
      </c>
      <c r="M49" s="12">
        <f t="shared" si="58"/>
        <v>4.34</v>
      </c>
      <c r="N49" s="12">
        <f t="shared" si="58"/>
        <v>5.42</v>
      </c>
      <c r="O49" s="12">
        <f t="shared" si="58"/>
        <v>7.17</v>
      </c>
      <c r="P49" s="12">
        <f t="shared" si="58"/>
        <v>13.47</v>
      </c>
      <c r="Q49" s="12">
        <f t="shared" si="58"/>
        <v>26.18</v>
      </c>
      <c r="R49" s="12">
        <f t="shared" si="58"/>
        <v>57.25</v>
      </c>
      <c r="S49" s="12">
        <f t="shared" si="58"/>
        <v>49.97</v>
      </c>
      <c r="T49" s="12">
        <f t="shared" si="58"/>
        <v>59.489999999999995</v>
      </c>
      <c r="U49" s="12">
        <f t="shared" si="58"/>
        <v>101.91</v>
      </c>
      <c r="V49" s="12">
        <f t="shared" si="58"/>
        <v>85.380000000000024</v>
      </c>
      <c r="W49" s="12">
        <f t="shared" si="58"/>
        <v>201.26</v>
      </c>
      <c r="X49" s="12">
        <f t="shared" si="58"/>
        <v>146.75000000000003</v>
      </c>
      <c r="Y49" s="12">
        <f t="shared" si="58"/>
        <v>2.63</v>
      </c>
      <c r="Z49" s="12">
        <f t="shared" si="58"/>
        <v>780.00999999999988</v>
      </c>
      <c r="AA49" s="24">
        <f t="shared" si="53"/>
        <v>1.7718697029157782E-2</v>
      </c>
      <c r="AC49" s="89">
        <f t="shared" si="3"/>
        <v>242.07999999999998</v>
      </c>
      <c r="AD49" s="89">
        <f t="shared" si="4"/>
        <v>535.30000000000007</v>
      </c>
      <c r="AE49" s="89">
        <f t="shared" si="5"/>
        <v>2.63</v>
      </c>
      <c r="AF49" s="89">
        <f t="shared" si="48"/>
        <v>780.0100000000001</v>
      </c>
      <c r="AG49" s="24">
        <f t="shared" ref="AG49:AG50" si="59">AD49/AF49</f>
        <v>0.68627325290701402</v>
      </c>
      <c r="AI49" s="6" t="s">
        <v>7</v>
      </c>
      <c r="AJ49" s="89">
        <v>164.14</v>
      </c>
      <c r="AK49" s="89">
        <v>219.78</v>
      </c>
      <c r="AL49" s="382">
        <f t="shared" si="37"/>
        <v>0.74683774683774673</v>
      </c>
    </row>
    <row r="50" spans="1:38" x14ac:dyDescent="0.35">
      <c r="A50" s="182" t="s">
        <v>54</v>
      </c>
      <c r="B50" s="12">
        <f t="shared" ref="B50:Z50" si="60">B356+B203</f>
        <v>0</v>
      </c>
      <c r="C50" s="12">
        <f t="shared" si="60"/>
        <v>0.42</v>
      </c>
      <c r="D50" s="12">
        <f t="shared" si="60"/>
        <v>0</v>
      </c>
      <c r="E50" s="12">
        <f t="shared" si="60"/>
        <v>0</v>
      </c>
      <c r="F50" s="12">
        <f t="shared" si="60"/>
        <v>0</v>
      </c>
      <c r="G50" s="12">
        <f t="shared" si="60"/>
        <v>0</v>
      </c>
      <c r="H50" s="12">
        <f t="shared" si="60"/>
        <v>0</v>
      </c>
      <c r="I50" s="12">
        <f t="shared" si="60"/>
        <v>0</v>
      </c>
      <c r="J50" s="12">
        <f t="shared" si="60"/>
        <v>0</v>
      </c>
      <c r="K50" s="12">
        <f t="shared" si="60"/>
        <v>0</v>
      </c>
      <c r="L50" s="12">
        <f t="shared" si="60"/>
        <v>0</v>
      </c>
      <c r="M50" s="12">
        <f t="shared" si="60"/>
        <v>16.850000000000001</v>
      </c>
      <c r="N50" s="12">
        <f t="shared" si="60"/>
        <v>4.4000000000000004</v>
      </c>
      <c r="O50" s="12">
        <f t="shared" si="60"/>
        <v>16.04</v>
      </c>
      <c r="P50" s="12">
        <f t="shared" si="60"/>
        <v>12.44</v>
      </c>
      <c r="Q50" s="12">
        <f t="shared" si="60"/>
        <v>16.54</v>
      </c>
      <c r="R50" s="12">
        <f t="shared" si="60"/>
        <v>17.490000000000002</v>
      </c>
      <c r="S50" s="12">
        <f t="shared" si="60"/>
        <v>29.310000000000002</v>
      </c>
      <c r="T50" s="12">
        <f t="shared" si="60"/>
        <v>94.3</v>
      </c>
      <c r="U50" s="12">
        <f t="shared" si="60"/>
        <v>160.15000000000003</v>
      </c>
      <c r="V50" s="12">
        <f t="shared" si="60"/>
        <v>70.16</v>
      </c>
      <c r="W50" s="12">
        <f t="shared" si="60"/>
        <v>125.32999999999998</v>
      </c>
      <c r="X50" s="12">
        <f t="shared" si="60"/>
        <v>32.019999999999996</v>
      </c>
      <c r="Y50" s="12">
        <f t="shared" si="60"/>
        <v>0.21</v>
      </c>
      <c r="Z50" s="12">
        <f t="shared" si="60"/>
        <v>595.66000000000008</v>
      </c>
      <c r="AA50" s="24">
        <f t="shared" si="53"/>
        <v>1.3531004823512681E-2</v>
      </c>
      <c r="AC50" s="89">
        <f t="shared" si="3"/>
        <v>207.79000000000002</v>
      </c>
      <c r="AD50" s="89">
        <f t="shared" si="4"/>
        <v>387.65999999999997</v>
      </c>
      <c r="AE50" s="89">
        <f t="shared" si="5"/>
        <v>0.21</v>
      </c>
      <c r="AF50" s="89">
        <f t="shared" si="48"/>
        <v>595.66000000000008</v>
      </c>
      <c r="AG50" s="24">
        <f t="shared" si="59"/>
        <v>0.65080750763858564</v>
      </c>
      <c r="AI50" s="6" t="s">
        <v>36</v>
      </c>
      <c r="AJ50" s="89">
        <v>119.68</v>
      </c>
      <c r="AK50" s="89">
        <v>233.91000000000003</v>
      </c>
      <c r="AL50" s="382">
        <f t="shared" si="37"/>
        <v>0.51164977982984905</v>
      </c>
    </row>
    <row r="51" spans="1:38" x14ac:dyDescent="0.35">
      <c r="A51" s="116" t="s">
        <v>17</v>
      </c>
      <c r="B51" s="117">
        <f t="shared" ref="B51:Z51" si="61">B357+B204</f>
        <v>6.19</v>
      </c>
      <c r="C51" s="117">
        <f t="shared" si="61"/>
        <v>2.98</v>
      </c>
      <c r="D51" s="117">
        <f t="shared" si="61"/>
        <v>0</v>
      </c>
      <c r="E51" s="117">
        <f t="shared" si="61"/>
        <v>0</v>
      </c>
      <c r="F51" s="117">
        <f t="shared" si="61"/>
        <v>0</v>
      </c>
      <c r="G51" s="117">
        <f t="shared" si="61"/>
        <v>0</v>
      </c>
      <c r="H51" s="117">
        <f t="shared" si="61"/>
        <v>0.02</v>
      </c>
      <c r="I51" s="117">
        <f t="shared" si="61"/>
        <v>4.4399999999999995</v>
      </c>
      <c r="J51" s="117">
        <f t="shared" si="61"/>
        <v>0.59</v>
      </c>
      <c r="K51" s="117">
        <f t="shared" si="61"/>
        <v>0</v>
      </c>
      <c r="L51" s="117">
        <f t="shared" si="61"/>
        <v>0.54</v>
      </c>
      <c r="M51" s="117">
        <f t="shared" si="61"/>
        <v>4.8900000000000006</v>
      </c>
      <c r="N51" s="117">
        <f t="shared" si="61"/>
        <v>18</v>
      </c>
      <c r="O51" s="117">
        <f t="shared" si="61"/>
        <v>82.76</v>
      </c>
      <c r="P51" s="117">
        <f t="shared" si="61"/>
        <v>49.63</v>
      </c>
      <c r="Q51" s="117">
        <f t="shared" si="61"/>
        <v>122.48999999999998</v>
      </c>
      <c r="R51" s="117">
        <f t="shared" si="61"/>
        <v>93.490000000000009</v>
      </c>
      <c r="S51" s="117">
        <f t="shared" si="61"/>
        <v>97.78</v>
      </c>
      <c r="T51" s="117">
        <f t="shared" si="61"/>
        <v>106.93</v>
      </c>
      <c r="U51" s="117">
        <f t="shared" si="61"/>
        <v>209.99000000000004</v>
      </c>
      <c r="V51" s="117">
        <f t="shared" si="61"/>
        <v>254.89999999999998</v>
      </c>
      <c r="W51" s="117">
        <f t="shared" si="61"/>
        <v>262.7999999999999</v>
      </c>
      <c r="X51" s="117">
        <f t="shared" si="61"/>
        <v>113.03999999999999</v>
      </c>
      <c r="Y51" s="117">
        <f t="shared" si="61"/>
        <v>3.6599999999999988</v>
      </c>
      <c r="Z51" s="117">
        <f t="shared" si="61"/>
        <v>1435.12</v>
      </c>
      <c r="AA51" s="185">
        <f t="shared" si="53"/>
        <v>3.260016728052835E-2</v>
      </c>
      <c r="AC51" s="117">
        <f t="shared" si="3"/>
        <v>590.73</v>
      </c>
      <c r="AD51" s="117">
        <f t="shared" si="4"/>
        <v>840.72999999999979</v>
      </c>
      <c r="AE51" s="117">
        <f t="shared" si="5"/>
        <v>3.6599999999999988</v>
      </c>
      <c r="AF51" s="117">
        <f>SUM(AC51:AE51)</f>
        <v>1435.12</v>
      </c>
      <c r="AG51" s="185">
        <f>AD51/AF51</f>
        <v>0.5858255755616254</v>
      </c>
      <c r="AI51" s="182" t="s">
        <v>51</v>
      </c>
      <c r="AJ51" s="89">
        <v>118.99</v>
      </c>
      <c r="AK51" s="89">
        <v>188.24</v>
      </c>
      <c r="AL51" s="382">
        <f t="shared" si="37"/>
        <v>0.6321185720356991</v>
      </c>
    </row>
    <row r="52" spans="1:38" x14ac:dyDescent="0.35">
      <c r="A52" s="6" t="s">
        <v>55</v>
      </c>
      <c r="B52" s="12">
        <f t="shared" ref="B52:Z52" si="62">B358+B205</f>
        <v>3.7</v>
      </c>
      <c r="C52" s="12">
        <f t="shared" si="62"/>
        <v>2.25</v>
      </c>
      <c r="D52" s="12">
        <f t="shared" si="62"/>
        <v>0</v>
      </c>
      <c r="E52" s="12">
        <f t="shared" si="62"/>
        <v>0</v>
      </c>
      <c r="F52" s="12">
        <f t="shared" si="62"/>
        <v>0</v>
      </c>
      <c r="G52" s="12">
        <f t="shared" si="62"/>
        <v>0</v>
      </c>
      <c r="H52" s="12">
        <f t="shared" si="62"/>
        <v>0</v>
      </c>
      <c r="I52" s="12">
        <f t="shared" si="62"/>
        <v>4.4399999999999995</v>
      </c>
      <c r="J52" s="12">
        <f t="shared" si="62"/>
        <v>0.59</v>
      </c>
      <c r="K52" s="12">
        <f t="shared" si="62"/>
        <v>0</v>
      </c>
      <c r="L52" s="12">
        <f t="shared" si="62"/>
        <v>0</v>
      </c>
      <c r="M52" s="12">
        <f t="shared" si="62"/>
        <v>2.6399999999999997</v>
      </c>
      <c r="N52" s="12">
        <f t="shared" si="62"/>
        <v>18</v>
      </c>
      <c r="O52" s="12">
        <f t="shared" si="62"/>
        <v>81.080000000000013</v>
      </c>
      <c r="P52" s="12">
        <f t="shared" si="62"/>
        <v>46.6</v>
      </c>
      <c r="Q52" s="12">
        <f t="shared" si="62"/>
        <v>85.289999999999992</v>
      </c>
      <c r="R52" s="12">
        <f t="shared" si="62"/>
        <v>85.13000000000001</v>
      </c>
      <c r="S52" s="12">
        <f t="shared" si="62"/>
        <v>87.53</v>
      </c>
      <c r="T52" s="12">
        <f t="shared" si="62"/>
        <v>94.800000000000011</v>
      </c>
      <c r="U52" s="12">
        <f t="shared" si="62"/>
        <v>193.33000000000004</v>
      </c>
      <c r="V52" s="12">
        <f t="shared" si="62"/>
        <v>249.22999999999996</v>
      </c>
      <c r="W52" s="12">
        <f t="shared" si="62"/>
        <v>228.7299999999999</v>
      </c>
      <c r="X52" s="12">
        <f t="shared" si="62"/>
        <v>79.429999999999993</v>
      </c>
      <c r="Y52" s="12">
        <f t="shared" si="62"/>
        <v>3.4499999999999988</v>
      </c>
      <c r="Z52" s="12">
        <f t="shared" si="62"/>
        <v>1266.22</v>
      </c>
      <c r="AA52" s="24">
        <f t="shared" si="53"/>
        <v>2.8763437074217215E-2</v>
      </c>
      <c r="AC52" s="89">
        <f t="shared" si="3"/>
        <v>512.04999999999995</v>
      </c>
      <c r="AD52" s="89">
        <f t="shared" si="4"/>
        <v>750.71999999999991</v>
      </c>
      <c r="AE52" s="89">
        <f t="shared" si="5"/>
        <v>3.4499999999999988</v>
      </c>
      <c r="AF52" s="89">
        <f t="shared" ref="AF52:AF53" si="63">SUM(AC52:AE52)</f>
        <v>1266.22</v>
      </c>
      <c r="AG52" s="24">
        <f t="shared" ref="AG52:AG53" si="64">AD52/AF52</f>
        <v>0.59288275339198548</v>
      </c>
      <c r="AI52" s="6" t="s">
        <v>56</v>
      </c>
      <c r="AJ52" s="89">
        <v>90.009999999999991</v>
      </c>
      <c r="AK52" s="89">
        <v>168.9</v>
      </c>
      <c r="AL52" s="382">
        <f t="shared" si="37"/>
        <v>0.5329188869153344</v>
      </c>
    </row>
    <row r="53" spans="1:38" x14ac:dyDescent="0.35">
      <c r="A53" s="6" t="s">
        <v>56</v>
      </c>
      <c r="B53" s="12">
        <f t="shared" ref="B53:Z53" si="65">B359+B206</f>
        <v>2.4900000000000002</v>
      </c>
      <c r="C53" s="12">
        <f t="shared" si="65"/>
        <v>0.73</v>
      </c>
      <c r="D53" s="12">
        <f t="shared" si="65"/>
        <v>0</v>
      </c>
      <c r="E53" s="12">
        <f t="shared" si="65"/>
        <v>0</v>
      </c>
      <c r="F53" s="12">
        <f t="shared" si="65"/>
        <v>0</v>
      </c>
      <c r="G53" s="12">
        <f t="shared" si="65"/>
        <v>0</v>
      </c>
      <c r="H53" s="12">
        <f t="shared" si="65"/>
        <v>0.02</v>
      </c>
      <c r="I53" s="12">
        <f t="shared" si="65"/>
        <v>0</v>
      </c>
      <c r="J53" s="12">
        <f t="shared" si="65"/>
        <v>0</v>
      </c>
      <c r="K53" s="12">
        <f t="shared" si="65"/>
        <v>0</v>
      </c>
      <c r="L53" s="12">
        <f t="shared" si="65"/>
        <v>0.54</v>
      </c>
      <c r="M53" s="12">
        <f t="shared" si="65"/>
        <v>2.25</v>
      </c>
      <c r="N53" s="12">
        <f t="shared" si="65"/>
        <v>0</v>
      </c>
      <c r="O53" s="12">
        <f t="shared" si="65"/>
        <v>1.68</v>
      </c>
      <c r="P53" s="12">
        <f t="shared" si="65"/>
        <v>3.0300000000000002</v>
      </c>
      <c r="Q53" s="12">
        <f t="shared" si="65"/>
        <v>37.199999999999996</v>
      </c>
      <c r="R53" s="12">
        <f t="shared" si="65"/>
        <v>8.36</v>
      </c>
      <c r="S53" s="12">
        <f t="shared" si="65"/>
        <v>10.25</v>
      </c>
      <c r="T53" s="12">
        <f t="shared" si="65"/>
        <v>12.129999999999999</v>
      </c>
      <c r="U53" s="12">
        <f t="shared" si="65"/>
        <v>16.66</v>
      </c>
      <c r="V53" s="12">
        <f t="shared" si="65"/>
        <v>5.67</v>
      </c>
      <c r="W53" s="12">
        <f t="shared" si="65"/>
        <v>34.07</v>
      </c>
      <c r="X53" s="12">
        <f t="shared" si="65"/>
        <v>33.61</v>
      </c>
      <c r="Y53" s="12">
        <f t="shared" si="65"/>
        <v>0.21</v>
      </c>
      <c r="Z53" s="12">
        <f t="shared" si="65"/>
        <v>168.89999999999995</v>
      </c>
      <c r="AA53" s="24">
        <f t="shared" si="53"/>
        <v>3.8367302063111353E-3</v>
      </c>
      <c r="AC53" s="89">
        <f t="shared" si="3"/>
        <v>78.679999999999993</v>
      </c>
      <c r="AD53" s="89">
        <f t="shared" si="4"/>
        <v>90.009999999999991</v>
      </c>
      <c r="AE53" s="89">
        <f t="shared" si="5"/>
        <v>0.21</v>
      </c>
      <c r="AF53" s="89">
        <f t="shared" si="63"/>
        <v>168.9</v>
      </c>
      <c r="AG53" s="24">
        <f t="shared" si="64"/>
        <v>0.5329188869153344</v>
      </c>
      <c r="AI53" s="182" t="s">
        <v>50</v>
      </c>
      <c r="AJ53" s="89">
        <v>88.119999999999976</v>
      </c>
      <c r="AK53" s="89">
        <v>111.00999999999998</v>
      </c>
      <c r="AL53" s="382">
        <f t="shared" si="37"/>
        <v>0.79380236014773442</v>
      </c>
    </row>
    <row r="54" spans="1:38" x14ac:dyDescent="0.35">
      <c r="A54" s="116" t="s">
        <v>64</v>
      </c>
      <c r="B54" s="117">
        <f t="shared" ref="B54:Z54" si="66">B360+B207</f>
        <v>0</v>
      </c>
      <c r="C54" s="117">
        <f t="shared" si="66"/>
        <v>0</v>
      </c>
      <c r="D54" s="117">
        <f t="shared" si="66"/>
        <v>0</v>
      </c>
      <c r="E54" s="117">
        <f t="shared" si="66"/>
        <v>0</v>
      </c>
      <c r="F54" s="117">
        <f t="shared" si="66"/>
        <v>0</v>
      </c>
      <c r="G54" s="117">
        <f t="shared" si="66"/>
        <v>0</v>
      </c>
      <c r="H54" s="117">
        <f t="shared" si="66"/>
        <v>0</v>
      </c>
      <c r="I54" s="117">
        <f t="shared" si="66"/>
        <v>0</v>
      </c>
      <c r="J54" s="117">
        <f t="shared" si="66"/>
        <v>0</v>
      </c>
      <c r="K54" s="117">
        <f t="shared" si="66"/>
        <v>0</v>
      </c>
      <c r="L54" s="117">
        <f t="shared" si="66"/>
        <v>0</v>
      </c>
      <c r="M54" s="117">
        <f t="shared" si="66"/>
        <v>0</v>
      </c>
      <c r="N54" s="117">
        <f t="shared" si="66"/>
        <v>0</v>
      </c>
      <c r="O54" s="117">
        <f t="shared" si="66"/>
        <v>0</v>
      </c>
      <c r="P54" s="117">
        <f t="shared" si="66"/>
        <v>0</v>
      </c>
      <c r="Q54" s="117">
        <f t="shared" si="66"/>
        <v>0</v>
      </c>
      <c r="R54" s="117">
        <f t="shared" si="66"/>
        <v>0</v>
      </c>
      <c r="S54" s="117">
        <f t="shared" si="66"/>
        <v>0</v>
      </c>
      <c r="T54" s="117">
        <f t="shared" si="66"/>
        <v>0.3</v>
      </c>
      <c r="U54" s="117">
        <f t="shared" si="66"/>
        <v>0</v>
      </c>
      <c r="V54" s="117">
        <f t="shared" si="66"/>
        <v>0</v>
      </c>
      <c r="W54" s="117">
        <f t="shared" si="66"/>
        <v>2.14</v>
      </c>
      <c r="X54" s="117">
        <f t="shared" si="66"/>
        <v>0.25</v>
      </c>
      <c r="Y54" s="117">
        <f t="shared" si="66"/>
        <v>0</v>
      </c>
      <c r="Z54" s="117">
        <f t="shared" si="66"/>
        <v>2.69</v>
      </c>
      <c r="AA54" s="185">
        <f t="shared" si="53"/>
        <v>6.1106005062030528E-5</v>
      </c>
      <c r="AC54" s="117">
        <f t="shared" si="3"/>
        <v>0.3</v>
      </c>
      <c r="AD54" s="117">
        <f t="shared" si="4"/>
        <v>2.39</v>
      </c>
      <c r="AE54" s="117">
        <f t="shared" si="5"/>
        <v>0</v>
      </c>
      <c r="AF54" s="117">
        <f>SUM(AC54:AE54)</f>
        <v>2.69</v>
      </c>
      <c r="AG54" s="185"/>
      <c r="AI54" s="6" t="s">
        <v>6</v>
      </c>
      <c r="AJ54" s="89">
        <v>86.97</v>
      </c>
      <c r="AK54" s="89">
        <v>121.53999999999999</v>
      </c>
      <c r="AL54" s="382">
        <f t="shared" si="37"/>
        <v>0.71556689155833475</v>
      </c>
    </row>
    <row r="55" spans="1:38" x14ac:dyDescent="0.35">
      <c r="A55" s="6" t="s">
        <v>65</v>
      </c>
      <c r="B55" s="12">
        <f t="shared" ref="B55:Z55" si="67">B361+B208</f>
        <v>0</v>
      </c>
      <c r="C55" s="12">
        <f t="shared" si="67"/>
        <v>0</v>
      </c>
      <c r="D55" s="12">
        <f t="shared" si="67"/>
        <v>0</v>
      </c>
      <c r="E55" s="12">
        <f t="shared" si="67"/>
        <v>0</v>
      </c>
      <c r="F55" s="12">
        <f t="shared" si="67"/>
        <v>0</v>
      </c>
      <c r="G55" s="12">
        <f t="shared" si="67"/>
        <v>0</v>
      </c>
      <c r="H55" s="12">
        <f t="shared" si="67"/>
        <v>0</v>
      </c>
      <c r="I55" s="12">
        <f t="shared" si="67"/>
        <v>0</v>
      </c>
      <c r="J55" s="12">
        <f t="shared" si="67"/>
        <v>0</v>
      </c>
      <c r="K55" s="12">
        <f t="shared" si="67"/>
        <v>0</v>
      </c>
      <c r="L55" s="12">
        <f t="shared" si="67"/>
        <v>0</v>
      </c>
      <c r="M55" s="12">
        <f t="shared" si="67"/>
        <v>0</v>
      </c>
      <c r="N55" s="12">
        <f t="shared" si="67"/>
        <v>0</v>
      </c>
      <c r="O55" s="12">
        <f t="shared" si="67"/>
        <v>0</v>
      </c>
      <c r="P55" s="12">
        <f t="shared" si="67"/>
        <v>0</v>
      </c>
      <c r="Q55" s="12">
        <f t="shared" si="67"/>
        <v>0</v>
      </c>
      <c r="R55" s="12">
        <f t="shared" si="67"/>
        <v>0</v>
      </c>
      <c r="S55" s="12">
        <f t="shared" si="67"/>
        <v>0</v>
      </c>
      <c r="T55" s="12">
        <f t="shared" si="67"/>
        <v>0.3</v>
      </c>
      <c r="U55" s="12">
        <f t="shared" si="67"/>
        <v>0</v>
      </c>
      <c r="V55" s="12">
        <f t="shared" si="67"/>
        <v>0</v>
      </c>
      <c r="W55" s="12">
        <f t="shared" si="67"/>
        <v>0</v>
      </c>
      <c r="X55" s="12">
        <f t="shared" si="67"/>
        <v>0</v>
      </c>
      <c r="Y55" s="12">
        <f t="shared" si="67"/>
        <v>0</v>
      </c>
      <c r="Z55" s="12">
        <f t="shared" si="67"/>
        <v>0.3</v>
      </c>
      <c r="AA55" s="24">
        <f t="shared" si="53"/>
        <v>6.8147961035721787E-6</v>
      </c>
      <c r="AC55" s="89">
        <f t="shared" si="3"/>
        <v>0.3</v>
      </c>
      <c r="AD55" s="89">
        <f t="shared" si="4"/>
        <v>0</v>
      </c>
      <c r="AE55" s="89">
        <f t="shared" si="5"/>
        <v>0</v>
      </c>
      <c r="AF55" s="89">
        <f t="shared" ref="AF55:AF56" si="68">SUM(AC55:AE55)</f>
        <v>0.3</v>
      </c>
      <c r="AG55" s="24"/>
      <c r="AI55" s="6" t="s">
        <v>32</v>
      </c>
      <c r="AJ55" s="89">
        <v>81.25</v>
      </c>
      <c r="AK55" s="89">
        <v>146.85</v>
      </c>
      <c r="AL55" s="382">
        <f t="shared" si="37"/>
        <v>0.5532856656452162</v>
      </c>
    </row>
    <row r="56" spans="1:38" x14ac:dyDescent="0.35">
      <c r="A56" s="7" t="s">
        <v>66</v>
      </c>
      <c r="B56" s="12">
        <f t="shared" ref="B56:Z56" si="69">B362+B209</f>
        <v>0</v>
      </c>
      <c r="C56" s="12">
        <f t="shared" si="69"/>
        <v>0</v>
      </c>
      <c r="D56" s="12">
        <f t="shared" si="69"/>
        <v>0</v>
      </c>
      <c r="E56" s="12">
        <f t="shared" si="69"/>
        <v>0</v>
      </c>
      <c r="F56" s="12">
        <f t="shared" si="69"/>
        <v>0</v>
      </c>
      <c r="G56" s="12">
        <f t="shared" si="69"/>
        <v>0</v>
      </c>
      <c r="H56" s="12">
        <f t="shared" si="69"/>
        <v>0</v>
      </c>
      <c r="I56" s="12">
        <f t="shared" si="69"/>
        <v>0</v>
      </c>
      <c r="J56" s="12">
        <f t="shared" si="69"/>
        <v>0</v>
      </c>
      <c r="K56" s="12">
        <f t="shared" si="69"/>
        <v>0</v>
      </c>
      <c r="L56" s="12">
        <f t="shared" si="69"/>
        <v>0</v>
      </c>
      <c r="M56" s="12">
        <f t="shared" si="69"/>
        <v>0</v>
      </c>
      <c r="N56" s="12">
        <f t="shared" si="69"/>
        <v>0</v>
      </c>
      <c r="O56" s="12">
        <f t="shared" si="69"/>
        <v>0</v>
      </c>
      <c r="P56" s="12">
        <f t="shared" si="69"/>
        <v>0</v>
      </c>
      <c r="Q56" s="12">
        <f t="shared" si="69"/>
        <v>0</v>
      </c>
      <c r="R56" s="12">
        <f t="shared" si="69"/>
        <v>0</v>
      </c>
      <c r="S56" s="12">
        <f t="shared" si="69"/>
        <v>0</v>
      </c>
      <c r="T56" s="12">
        <f t="shared" si="69"/>
        <v>0</v>
      </c>
      <c r="U56" s="12">
        <f t="shared" si="69"/>
        <v>0</v>
      </c>
      <c r="V56" s="12">
        <f t="shared" si="69"/>
        <v>0</v>
      </c>
      <c r="W56" s="12">
        <f t="shared" si="69"/>
        <v>2.14</v>
      </c>
      <c r="X56" s="12">
        <f t="shared" si="69"/>
        <v>0.25</v>
      </c>
      <c r="Y56" s="12">
        <f t="shared" si="69"/>
        <v>0</v>
      </c>
      <c r="Z56" s="12">
        <f t="shared" si="69"/>
        <v>2.39</v>
      </c>
      <c r="AA56" s="24">
        <f t="shared" si="53"/>
        <v>5.4291208958458358E-5</v>
      </c>
      <c r="AC56" s="89">
        <f t="shared" si="3"/>
        <v>0</v>
      </c>
      <c r="AD56" s="89">
        <f t="shared" si="4"/>
        <v>2.39</v>
      </c>
      <c r="AE56" s="89">
        <f t="shared" si="5"/>
        <v>0</v>
      </c>
      <c r="AF56" s="89">
        <f t="shared" si="68"/>
        <v>2.39</v>
      </c>
      <c r="AG56" s="24"/>
      <c r="AI56" s="6" t="s">
        <v>39</v>
      </c>
      <c r="AJ56" s="89">
        <v>53.78</v>
      </c>
      <c r="AK56" s="89">
        <v>222.22000000000006</v>
      </c>
      <c r="AL56" s="382">
        <f t="shared" si="37"/>
        <v>0.24201242012420118</v>
      </c>
    </row>
    <row r="57" spans="1:38" x14ac:dyDescent="0.35">
      <c r="A57" s="116" t="s">
        <v>18</v>
      </c>
      <c r="B57" s="117">
        <f t="shared" ref="B57:Z57" si="70">B363+B210</f>
        <v>0</v>
      </c>
      <c r="C57" s="117">
        <f t="shared" si="70"/>
        <v>0</v>
      </c>
      <c r="D57" s="117">
        <f t="shared" si="70"/>
        <v>0</v>
      </c>
      <c r="E57" s="117">
        <f t="shared" si="70"/>
        <v>0</v>
      </c>
      <c r="F57" s="117">
        <f t="shared" si="70"/>
        <v>0</v>
      </c>
      <c r="G57" s="117">
        <f t="shared" si="70"/>
        <v>0</v>
      </c>
      <c r="H57" s="117">
        <f t="shared" si="70"/>
        <v>0</v>
      </c>
      <c r="I57" s="117">
        <f t="shared" si="70"/>
        <v>0</v>
      </c>
      <c r="J57" s="117">
        <f t="shared" si="70"/>
        <v>0</v>
      </c>
      <c r="K57" s="117">
        <f t="shared" si="70"/>
        <v>0</v>
      </c>
      <c r="L57" s="117">
        <f t="shared" si="70"/>
        <v>0</v>
      </c>
      <c r="M57" s="117">
        <f t="shared" si="70"/>
        <v>0</v>
      </c>
      <c r="N57" s="117">
        <f t="shared" si="70"/>
        <v>0</v>
      </c>
      <c r="O57" s="117">
        <f t="shared" si="70"/>
        <v>0.15</v>
      </c>
      <c r="P57" s="117">
        <f t="shared" si="70"/>
        <v>0</v>
      </c>
      <c r="Q57" s="117">
        <f t="shared" si="70"/>
        <v>0</v>
      </c>
      <c r="R57" s="117">
        <f t="shared" si="70"/>
        <v>0</v>
      </c>
      <c r="S57" s="117">
        <f t="shared" si="70"/>
        <v>0</v>
      </c>
      <c r="T57" s="117">
        <f t="shared" si="70"/>
        <v>0</v>
      </c>
      <c r="U57" s="117">
        <f t="shared" si="70"/>
        <v>0</v>
      </c>
      <c r="V57" s="117">
        <f t="shared" si="70"/>
        <v>0</v>
      </c>
      <c r="W57" s="117">
        <f t="shared" si="70"/>
        <v>0</v>
      </c>
      <c r="X57" s="117">
        <f t="shared" si="70"/>
        <v>0</v>
      </c>
      <c r="Y57" s="117">
        <f t="shared" si="70"/>
        <v>0</v>
      </c>
      <c r="Z57" s="117">
        <f t="shared" si="70"/>
        <v>0.15</v>
      </c>
      <c r="AA57" s="185">
        <f t="shared" si="53"/>
        <v>3.4073980517860894E-6</v>
      </c>
      <c r="AC57" s="117">
        <f t="shared" si="3"/>
        <v>0.15</v>
      </c>
      <c r="AD57" s="117">
        <f t="shared" si="4"/>
        <v>0</v>
      </c>
      <c r="AE57" s="117">
        <f t="shared" si="5"/>
        <v>0</v>
      </c>
      <c r="AF57" s="117">
        <f>SUM(AC57:AE57)</f>
        <v>0.15</v>
      </c>
      <c r="AG57" s="185"/>
      <c r="AI57" s="6" t="s">
        <v>47</v>
      </c>
      <c r="AJ57" s="89">
        <v>51.01</v>
      </c>
      <c r="AK57" s="89">
        <v>72.789999999999992</v>
      </c>
      <c r="AL57" s="382">
        <f t="shared" si="37"/>
        <v>0.70078307459815914</v>
      </c>
    </row>
    <row r="58" spans="1:38" x14ac:dyDescent="0.35">
      <c r="A58" s="6" t="s">
        <v>18</v>
      </c>
      <c r="B58" s="12">
        <f t="shared" ref="B58:Z58" si="71">B364+B211</f>
        <v>0</v>
      </c>
      <c r="C58" s="12">
        <f t="shared" si="71"/>
        <v>0</v>
      </c>
      <c r="D58" s="12">
        <f t="shared" si="71"/>
        <v>0</v>
      </c>
      <c r="E58" s="12">
        <f t="shared" si="71"/>
        <v>0</v>
      </c>
      <c r="F58" s="12">
        <f t="shared" si="71"/>
        <v>0</v>
      </c>
      <c r="G58" s="12">
        <f t="shared" si="71"/>
        <v>0</v>
      </c>
      <c r="H58" s="12">
        <f t="shared" si="71"/>
        <v>0</v>
      </c>
      <c r="I58" s="12">
        <f t="shared" si="71"/>
        <v>0</v>
      </c>
      <c r="J58" s="12">
        <f t="shared" si="71"/>
        <v>0</v>
      </c>
      <c r="K58" s="12">
        <f t="shared" si="71"/>
        <v>0</v>
      </c>
      <c r="L58" s="12">
        <f t="shared" si="71"/>
        <v>0</v>
      </c>
      <c r="M58" s="12">
        <f t="shared" si="71"/>
        <v>0</v>
      </c>
      <c r="N58" s="12">
        <f t="shared" si="71"/>
        <v>0</v>
      </c>
      <c r="O58" s="12">
        <f t="shared" si="71"/>
        <v>0.15</v>
      </c>
      <c r="P58" s="12">
        <f t="shared" si="71"/>
        <v>0</v>
      </c>
      <c r="Q58" s="12">
        <f t="shared" si="71"/>
        <v>0</v>
      </c>
      <c r="R58" s="12">
        <f t="shared" si="71"/>
        <v>0</v>
      </c>
      <c r="S58" s="12">
        <f t="shared" si="71"/>
        <v>0</v>
      </c>
      <c r="T58" s="12">
        <f t="shared" si="71"/>
        <v>0</v>
      </c>
      <c r="U58" s="12">
        <f t="shared" si="71"/>
        <v>0</v>
      </c>
      <c r="V58" s="12">
        <f t="shared" si="71"/>
        <v>0</v>
      </c>
      <c r="W58" s="12">
        <f t="shared" si="71"/>
        <v>0</v>
      </c>
      <c r="X58" s="12">
        <f t="shared" si="71"/>
        <v>0</v>
      </c>
      <c r="Y58" s="12">
        <f t="shared" si="71"/>
        <v>0</v>
      </c>
      <c r="Z58" s="12">
        <f t="shared" si="71"/>
        <v>0.15</v>
      </c>
      <c r="AA58" s="24">
        <f t="shared" si="53"/>
        <v>3.4073980517860894E-6</v>
      </c>
      <c r="AC58" s="89">
        <f t="shared" si="3"/>
        <v>0.15</v>
      </c>
      <c r="AD58" s="89">
        <f t="shared" si="4"/>
        <v>0</v>
      </c>
      <c r="AE58" s="89">
        <f t="shared" si="5"/>
        <v>0</v>
      </c>
      <c r="AF58" s="89">
        <f t="shared" ref="AF58" si="72">SUM(AC58:AE58)</f>
        <v>0.15</v>
      </c>
      <c r="AG58" s="24"/>
      <c r="AI58" s="6" t="s">
        <v>20</v>
      </c>
      <c r="AJ58" s="89">
        <v>46.54</v>
      </c>
      <c r="AK58" s="89">
        <v>59.730000000000004</v>
      </c>
      <c r="AL58" s="382">
        <f t="shared" si="37"/>
        <v>0.77917294491880118</v>
      </c>
    </row>
    <row r="59" spans="1:38" x14ac:dyDescent="0.35">
      <c r="A59" s="116" t="s">
        <v>20</v>
      </c>
      <c r="B59" s="117">
        <f t="shared" ref="B59:Z59" si="73">B365+B212</f>
        <v>0.18</v>
      </c>
      <c r="C59" s="117">
        <f t="shared" si="73"/>
        <v>3.4</v>
      </c>
      <c r="D59" s="117">
        <f t="shared" si="73"/>
        <v>0</v>
      </c>
      <c r="E59" s="117">
        <f t="shared" si="73"/>
        <v>0</v>
      </c>
      <c r="F59" s="117">
        <f t="shared" si="73"/>
        <v>0</v>
      </c>
      <c r="G59" s="117">
        <f t="shared" si="73"/>
        <v>0.17</v>
      </c>
      <c r="H59" s="117">
        <f t="shared" si="73"/>
        <v>0</v>
      </c>
      <c r="I59" s="117">
        <f t="shared" si="73"/>
        <v>0</v>
      </c>
      <c r="J59" s="117">
        <f t="shared" si="73"/>
        <v>0</v>
      </c>
      <c r="K59" s="117">
        <f t="shared" si="73"/>
        <v>0</v>
      </c>
      <c r="L59" s="117">
        <f t="shared" si="73"/>
        <v>0.3</v>
      </c>
      <c r="M59" s="117">
        <f t="shared" si="73"/>
        <v>0</v>
      </c>
      <c r="N59" s="117">
        <f t="shared" si="73"/>
        <v>0</v>
      </c>
      <c r="O59" s="117">
        <f t="shared" si="73"/>
        <v>0</v>
      </c>
      <c r="P59" s="117">
        <f t="shared" si="73"/>
        <v>0</v>
      </c>
      <c r="Q59" s="117">
        <f t="shared" si="73"/>
        <v>0</v>
      </c>
      <c r="R59" s="117">
        <f t="shared" si="73"/>
        <v>0.3</v>
      </c>
      <c r="S59" s="117">
        <f t="shared" si="73"/>
        <v>5.66</v>
      </c>
      <c r="T59" s="117">
        <f t="shared" si="73"/>
        <v>3.12</v>
      </c>
      <c r="U59" s="117">
        <f t="shared" si="73"/>
        <v>2.8499999999999996</v>
      </c>
      <c r="V59" s="117">
        <f t="shared" si="73"/>
        <v>23.54</v>
      </c>
      <c r="W59" s="117">
        <f t="shared" si="73"/>
        <v>9.9700000000000006</v>
      </c>
      <c r="X59" s="117">
        <f t="shared" si="73"/>
        <v>10.180000000000001</v>
      </c>
      <c r="Y59" s="117">
        <f t="shared" si="73"/>
        <v>0.06</v>
      </c>
      <c r="Z59" s="117">
        <f t="shared" si="73"/>
        <v>59.73</v>
      </c>
      <c r="AA59" s="185">
        <f t="shared" si="53"/>
        <v>1.3568259042212208E-3</v>
      </c>
      <c r="AC59" s="117">
        <f t="shared" si="3"/>
        <v>13.129999999999999</v>
      </c>
      <c r="AD59" s="117">
        <f t="shared" si="4"/>
        <v>46.54</v>
      </c>
      <c r="AE59" s="117">
        <f t="shared" si="5"/>
        <v>0.06</v>
      </c>
      <c r="AF59" s="117">
        <f>SUM(AC59:AE59)</f>
        <v>59.730000000000004</v>
      </c>
      <c r="AG59" s="185">
        <f>AD59/AF59</f>
        <v>0.77917294491880118</v>
      </c>
      <c r="AI59" s="6" t="s">
        <v>46</v>
      </c>
      <c r="AJ59" s="89">
        <v>42.74</v>
      </c>
      <c r="AK59" s="89">
        <v>98.460000000000008</v>
      </c>
      <c r="AL59" s="382">
        <f t="shared" si="37"/>
        <v>0.43408490757668089</v>
      </c>
    </row>
    <row r="60" spans="1:38" x14ac:dyDescent="0.35">
      <c r="A60" s="6" t="s">
        <v>20</v>
      </c>
      <c r="B60" s="12">
        <f t="shared" ref="B60:Z60" si="74">B366+B213</f>
        <v>0.18</v>
      </c>
      <c r="C60" s="12">
        <f t="shared" si="74"/>
        <v>3.4</v>
      </c>
      <c r="D60" s="12">
        <f t="shared" si="74"/>
        <v>0</v>
      </c>
      <c r="E60" s="12">
        <f t="shared" si="74"/>
        <v>0</v>
      </c>
      <c r="F60" s="12">
        <f t="shared" si="74"/>
        <v>0</v>
      </c>
      <c r="G60" s="12">
        <f t="shared" si="74"/>
        <v>0.17</v>
      </c>
      <c r="H60" s="12">
        <f t="shared" si="74"/>
        <v>0</v>
      </c>
      <c r="I60" s="12">
        <f t="shared" si="74"/>
        <v>0</v>
      </c>
      <c r="J60" s="12">
        <f t="shared" si="74"/>
        <v>0</v>
      </c>
      <c r="K60" s="12">
        <f t="shared" si="74"/>
        <v>0</v>
      </c>
      <c r="L60" s="12">
        <f t="shared" si="74"/>
        <v>0.3</v>
      </c>
      <c r="M60" s="12">
        <f t="shared" si="74"/>
        <v>0</v>
      </c>
      <c r="N60" s="12">
        <f t="shared" si="74"/>
        <v>0</v>
      </c>
      <c r="O60" s="12">
        <f t="shared" si="74"/>
        <v>0</v>
      </c>
      <c r="P60" s="12">
        <f t="shared" si="74"/>
        <v>0</v>
      </c>
      <c r="Q60" s="12">
        <f t="shared" si="74"/>
        <v>0</v>
      </c>
      <c r="R60" s="12">
        <f t="shared" si="74"/>
        <v>0.3</v>
      </c>
      <c r="S60" s="12">
        <f t="shared" si="74"/>
        <v>5.66</v>
      </c>
      <c r="T60" s="12">
        <f t="shared" si="74"/>
        <v>3.12</v>
      </c>
      <c r="U60" s="12">
        <f t="shared" si="74"/>
        <v>2.8499999999999996</v>
      </c>
      <c r="V60" s="12">
        <f t="shared" si="74"/>
        <v>23.54</v>
      </c>
      <c r="W60" s="12">
        <f t="shared" si="74"/>
        <v>9.9700000000000006</v>
      </c>
      <c r="X60" s="12">
        <f t="shared" si="74"/>
        <v>10.180000000000001</v>
      </c>
      <c r="Y60" s="12">
        <f t="shared" si="74"/>
        <v>0.06</v>
      </c>
      <c r="Z60" s="12">
        <f t="shared" si="74"/>
        <v>59.73</v>
      </c>
      <c r="AA60" s="24">
        <f t="shared" si="53"/>
        <v>1.3568259042212208E-3</v>
      </c>
      <c r="AC60" s="89">
        <f t="shared" si="3"/>
        <v>13.129999999999999</v>
      </c>
      <c r="AD60" s="89">
        <f t="shared" si="4"/>
        <v>46.54</v>
      </c>
      <c r="AE60" s="89">
        <f t="shared" si="5"/>
        <v>0.06</v>
      </c>
      <c r="AF60" s="89">
        <f t="shared" ref="AF60" si="75">SUM(AC60:AE60)</f>
        <v>59.730000000000004</v>
      </c>
      <c r="AG60" s="24">
        <f t="shared" ref="AG60" si="76">AD60/AF60</f>
        <v>0.77917294491880118</v>
      </c>
      <c r="AI60" s="6" t="s">
        <v>31</v>
      </c>
      <c r="AJ60" s="89">
        <v>34.120000000000005</v>
      </c>
      <c r="AK60" s="89">
        <v>38.460000000000008</v>
      </c>
      <c r="AL60" s="382">
        <f t="shared" si="37"/>
        <v>0.88715548621944873</v>
      </c>
    </row>
    <row r="61" spans="1:38" x14ac:dyDescent="0.35">
      <c r="A61" s="116" t="s">
        <v>21</v>
      </c>
      <c r="B61" s="117">
        <f t="shared" ref="B61:Z61" si="77">B367+B214</f>
        <v>0.35</v>
      </c>
      <c r="C61" s="117">
        <f t="shared" si="77"/>
        <v>0</v>
      </c>
      <c r="D61" s="117">
        <f t="shared" si="77"/>
        <v>0</v>
      </c>
      <c r="E61" s="117">
        <f t="shared" si="77"/>
        <v>0</v>
      </c>
      <c r="F61" s="117">
        <f t="shared" si="77"/>
        <v>0</v>
      </c>
      <c r="G61" s="117">
        <f t="shared" si="77"/>
        <v>0</v>
      </c>
      <c r="H61" s="117">
        <f t="shared" si="77"/>
        <v>0</v>
      </c>
      <c r="I61" s="117">
        <f t="shared" si="77"/>
        <v>0</v>
      </c>
      <c r="J61" s="117">
        <f t="shared" si="77"/>
        <v>0.16</v>
      </c>
      <c r="K61" s="117">
        <f t="shared" si="77"/>
        <v>0</v>
      </c>
      <c r="L61" s="117">
        <f t="shared" si="77"/>
        <v>0</v>
      </c>
      <c r="M61" s="117">
        <f t="shared" si="77"/>
        <v>0</v>
      </c>
      <c r="N61" s="117">
        <f t="shared" si="77"/>
        <v>0</v>
      </c>
      <c r="O61" s="117">
        <f t="shared" si="77"/>
        <v>0</v>
      </c>
      <c r="P61" s="117">
        <f t="shared" si="77"/>
        <v>14.26</v>
      </c>
      <c r="Q61" s="117">
        <f t="shared" si="77"/>
        <v>7.56</v>
      </c>
      <c r="R61" s="117">
        <f t="shared" si="77"/>
        <v>62.46</v>
      </c>
      <c r="S61" s="117">
        <f t="shared" si="77"/>
        <v>34.200000000000003</v>
      </c>
      <c r="T61" s="117">
        <f t="shared" si="77"/>
        <v>23.740000000000002</v>
      </c>
      <c r="U61" s="117">
        <f t="shared" si="77"/>
        <v>50.97</v>
      </c>
      <c r="V61" s="117">
        <f t="shared" si="77"/>
        <v>32.01</v>
      </c>
      <c r="W61" s="117">
        <f t="shared" si="77"/>
        <v>55.87</v>
      </c>
      <c r="X61" s="117">
        <f t="shared" si="77"/>
        <v>61.05</v>
      </c>
      <c r="Y61" s="117">
        <f t="shared" si="77"/>
        <v>0.26</v>
      </c>
      <c r="Z61" s="117">
        <f t="shared" si="77"/>
        <v>342.89</v>
      </c>
      <c r="AA61" s="185">
        <f t="shared" si="53"/>
        <v>7.7890847865128808E-3</v>
      </c>
      <c r="AC61" s="117">
        <f t="shared" si="3"/>
        <v>142.72999999999999</v>
      </c>
      <c r="AD61" s="117">
        <f t="shared" si="4"/>
        <v>199.89999999999998</v>
      </c>
      <c r="AE61" s="117">
        <f t="shared" si="5"/>
        <v>0.26</v>
      </c>
      <c r="AF61" s="117">
        <f>SUM(AC61:AE61)</f>
        <v>342.89</v>
      </c>
      <c r="AG61" s="185">
        <f>AD61/AF61</f>
        <v>0.58298579719443544</v>
      </c>
      <c r="AI61" s="182" t="s">
        <v>52</v>
      </c>
      <c r="AJ61" s="89">
        <v>31.42</v>
      </c>
      <c r="AK61" s="89">
        <v>33.03</v>
      </c>
      <c r="AL61" s="382">
        <f t="shared" si="37"/>
        <v>0.9512564335452619</v>
      </c>
    </row>
    <row r="62" spans="1:38" x14ac:dyDescent="0.35">
      <c r="A62" s="6" t="s">
        <v>21</v>
      </c>
      <c r="B62" s="12">
        <f t="shared" ref="B62:Z62" si="78">B368+B215</f>
        <v>0.35</v>
      </c>
      <c r="C62" s="12">
        <f t="shared" si="78"/>
        <v>0</v>
      </c>
      <c r="D62" s="12">
        <f t="shared" si="78"/>
        <v>0</v>
      </c>
      <c r="E62" s="12">
        <f t="shared" si="78"/>
        <v>0</v>
      </c>
      <c r="F62" s="12">
        <f t="shared" si="78"/>
        <v>0</v>
      </c>
      <c r="G62" s="12">
        <f t="shared" si="78"/>
        <v>0</v>
      </c>
      <c r="H62" s="12">
        <f t="shared" si="78"/>
        <v>0</v>
      </c>
      <c r="I62" s="12">
        <f t="shared" si="78"/>
        <v>0</v>
      </c>
      <c r="J62" s="12">
        <f t="shared" si="78"/>
        <v>0.16</v>
      </c>
      <c r="K62" s="12">
        <f t="shared" si="78"/>
        <v>0</v>
      </c>
      <c r="L62" s="12">
        <f t="shared" si="78"/>
        <v>0</v>
      </c>
      <c r="M62" s="12">
        <f t="shared" si="78"/>
        <v>0</v>
      </c>
      <c r="N62" s="12">
        <f t="shared" si="78"/>
        <v>0</v>
      </c>
      <c r="O62" s="12">
        <f t="shared" si="78"/>
        <v>0</v>
      </c>
      <c r="P62" s="12">
        <f t="shared" si="78"/>
        <v>14.26</v>
      </c>
      <c r="Q62" s="12">
        <f t="shared" si="78"/>
        <v>7.56</v>
      </c>
      <c r="R62" s="12">
        <f t="shared" si="78"/>
        <v>62.46</v>
      </c>
      <c r="S62" s="12">
        <f t="shared" si="78"/>
        <v>34.200000000000003</v>
      </c>
      <c r="T62" s="12">
        <f t="shared" si="78"/>
        <v>23.740000000000002</v>
      </c>
      <c r="U62" s="12">
        <f t="shared" si="78"/>
        <v>50.97</v>
      </c>
      <c r="V62" s="12">
        <f t="shared" si="78"/>
        <v>32.01</v>
      </c>
      <c r="W62" s="12">
        <f t="shared" si="78"/>
        <v>55.87</v>
      </c>
      <c r="X62" s="12">
        <f t="shared" si="78"/>
        <v>61.05</v>
      </c>
      <c r="Y62" s="12">
        <f t="shared" si="78"/>
        <v>0.26</v>
      </c>
      <c r="Z62" s="12">
        <f t="shared" si="78"/>
        <v>342.89</v>
      </c>
      <c r="AA62" s="24">
        <f t="shared" si="53"/>
        <v>7.7890847865128808E-3</v>
      </c>
      <c r="AC62" s="89">
        <f t="shared" si="3"/>
        <v>142.72999999999999</v>
      </c>
      <c r="AD62" s="89">
        <f t="shared" si="4"/>
        <v>199.89999999999998</v>
      </c>
      <c r="AE62" s="89">
        <f t="shared" si="5"/>
        <v>0.26</v>
      </c>
      <c r="AF62" s="89">
        <f t="shared" ref="AF62" si="79">SUM(AC62:AE62)</f>
        <v>342.89</v>
      </c>
      <c r="AG62" s="24">
        <f t="shared" ref="AG62" si="80">AD62/AF62</f>
        <v>0.58298579719443544</v>
      </c>
      <c r="AI62" s="182" t="s">
        <v>49</v>
      </c>
      <c r="AJ62" s="89">
        <v>30.69</v>
      </c>
      <c r="AK62" s="89">
        <v>62.400000000000006</v>
      </c>
      <c r="AL62" s="382">
        <f t="shared" si="37"/>
        <v>0.49182692307692305</v>
      </c>
    </row>
    <row r="63" spans="1:38" x14ac:dyDescent="0.35">
      <c r="A63" s="116" t="s">
        <v>22</v>
      </c>
      <c r="B63" s="117">
        <f t="shared" ref="B63:Z63" si="81">B369+B216</f>
        <v>0</v>
      </c>
      <c r="C63" s="117">
        <f t="shared" si="81"/>
        <v>0</v>
      </c>
      <c r="D63" s="117">
        <f t="shared" si="81"/>
        <v>0</v>
      </c>
      <c r="E63" s="117">
        <f t="shared" si="81"/>
        <v>0</v>
      </c>
      <c r="F63" s="117">
        <f t="shared" si="81"/>
        <v>0</v>
      </c>
      <c r="G63" s="117">
        <f t="shared" si="81"/>
        <v>0</v>
      </c>
      <c r="H63" s="117">
        <f t="shared" si="81"/>
        <v>0</v>
      </c>
      <c r="I63" s="117">
        <f t="shared" si="81"/>
        <v>0</v>
      </c>
      <c r="J63" s="117">
        <f t="shared" si="81"/>
        <v>0</v>
      </c>
      <c r="K63" s="117">
        <f t="shared" si="81"/>
        <v>0</v>
      </c>
      <c r="L63" s="117">
        <f t="shared" si="81"/>
        <v>0</v>
      </c>
      <c r="M63" s="117">
        <f t="shared" si="81"/>
        <v>1.07</v>
      </c>
      <c r="N63" s="117">
        <f t="shared" si="81"/>
        <v>0.71</v>
      </c>
      <c r="O63" s="117">
        <f t="shared" si="81"/>
        <v>0.04</v>
      </c>
      <c r="P63" s="117">
        <f t="shared" si="81"/>
        <v>8.56</v>
      </c>
      <c r="Q63" s="117">
        <f t="shared" si="81"/>
        <v>38.22</v>
      </c>
      <c r="R63" s="117">
        <f t="shared" si="81"/>
        <v>138.39000000000001</v>
      </c>
      <c r="S63" s="117">
        <f t="shared" si="81"/>
        <v>43.980000000000004</v>
      </c>
      <c r="T63" s="117">
        <f t="shared" si="81"/>
        <v>63.87</v>
      </c>
      <c r="U63" s="117">
        <f t="shared" si="81"/>
        <v>43.5</v>
      </c>
      <c r="V63" s="117">
        <f t="shared" si="81"/>
        <v>78.570000000000007</v>
      </c>
      <c r="W63" s="117">
        <f t="shared" si="81"/>
        <v>58.7</v>
      </c>
      <c r="X63" s="117">
        <f t="shared" si="81"/>
        <v>72.22999999999999</v>
      </c>
      <c r="Y63" s="117">
        <f t="shared" si="81"/>
        <v>0.04</v>
      </c>
      <c r="Z63" s="117">
        <f t="shared" si="81"/>
        <v>547.87999999999988</v>
      </c>
      <c r="AA63" s="185">
        <f t="shared" si="53"/>
        <v>1.2445634964083747E-2</v>
      </c>
      <c r="AC63" s="117">
        <f t="shared" si="3"/>
        <v>294.84000000000003</v>
      </c>
      <c r="AD63" s="117">
        <f t="shared" si="4"/>
        <v>253</v>
      </c>
      <c r="AE63" s="117">
        <f t="shared" si="5"/>
        <v>0.04</v>
      </c>
      <c r="AF63" s="117">
        <f>SUM(AC63:AE63)</f>
        <v>547.88</v>
      </c>
      <c r="AG63" s="185">
        <f>AD63/AF63</f>
        <v>0.4617799518142659</v>
      </c>
    </row>
    <row r="64" spans="1:38" x14ac:dyDescent="0.35">
      <c r="A64" s="6" t="s">
        <v>22</v>
      </c>
      <c r="B64" s="12">
        <f t="shared" ref="B64:Z64" si="82">B370+B217</f>
        <v>0</v>
      </c>
      <c r="C64" s="12">
        <f t="shared" si="82"/>
        <v>0</v>
      </c>
      <c r="D64" s="12">
        <f t="shared" si="82"/>
        <v>0</v>
      </c>
      <c r="E64" s="12">
        <f t="shared" si="82"/>
        <v>0</v>
      </c>
      <c r="F64" s="12">
        <f t="shared" si="82"/>
        <v>0</v>
      </c>
      <c r="G64" s="12">
        <f t="shared" si="82"/>
        <v>0</v>
      </c>
      <c r="H64" s="12">
        <f t="shared" si="82"/>
        <v>0</v>
      </c>
      <c r="I64" s="12">
        <f t="shared" si="82"/>
        <v>0</v>
      </c>
      <c r="J64" s="12">
        <f t="shared" si="82"/>
        <v>0</v>
      </c>
      <c r="K64" s="12">
        <f t="shared" si="82"/>
        <v>0</v>
      </c>
      <c r="L64" s="12">
        <f t="shared" si="82"/>
        <v>0</v>
      </c>
      <c r="M64" s="12">
        <f t="shared" si="82"/>
        <v>1.07</v>
      </c>
      <c r="N64" s="12">
        <f t="shared" si="82"/>
        <v>0.71</v>
      </c>
      <c r="O64" s="12">
        <f t="shared" si="82"/>
        <v>0.04</v>
      </c>
      <c r="P64" s="12">
        <f t="shared" si="82"/>
        <v>8.56</v>
      </c>
      <c r="Q64" s="12">
        <f t="shared" si="82"/>
        <v>38.22</v>
      </c>
      <c r="R64" s="12">
        <f t="shared" si="82"/>
        <v>138.39000000000001</v>
      </c>
      <c r="S64" s="12">
        <f t="shared" si="82"/>
        <v>43.980000000000004</v>
      </c>
      <c r="T64" s="12">
        <f t="shared" si="82"/>
        <v>63.87</v>
      </c>
      <c r="U64" s="12">
        <f t="shared" si="82"/>
        <v>43.5</v>
      </c>
      <c r="V64" s="12">
        <f t="shared" si="82"/>
        <v>78.570000000000007</v>
      </c>
      <c r="W64" s="12">
        <f t="shared" si="82"/>
        <v>58.7</v>
      </c>
      <c r="X64" s="12">
        <f t="shared" si="82"/>
        <v>72.22999999999999</v>
      </c>
      <c r="Y64" s="12">
        <f t="shared" si="82"/>
        <v>0.04</v>
      </c>
      <c r="Z64" s="12">
        <f t="shared" si="82"/>
        <v>547.87999999999988</v>
      </c>
      <c r="AA64" s="24">
        <f t="shared" si="53"/>
        <v>1.2445634964083747E-2</v>
      </c>
      <c r="AC64" s="89">
        <f t="shared" si="3"/>
        <v>294.84000000000003</v>
      </c>
      <c r="AD64" s="89">
        <f t="shared" si="4"/>
        <v>253</v>
      </c>
      <c r="AE64" s="89">
        <f t="shared" si="5"/>
        <v>0.04</v>
      </c>
      <c r="AF64" s="89">
        <f t="shared" ref="AF64" si="83">SUM(AC64:AE64)</f>
        <v>547.88</v>
      </c>
      <c r="AG64" s="24">
        <f t="shared" ref="AG64" si="84">AD64/AF64</f>
        <v>0.4617799518142659</v>
      </c>
    </row>
    <row r="65" spans="1:33" x14ac:dyDescent="0.35">
      <c r="A65" s="116" t="s">
        <v>23</v>
      </c>
      <c r="B65" s="117">
        <f t="shared" ref="B65:Z65" si="85">B371+B218</f>
        <v>0</v>
      </c>
      <c r="C65" s="117">
        <f t="shared" si="85"/>
        <v>0</v>
      </c>
      <c r="D65" s="117">
        <f t="shared" si="85"/>
        <v>0</v>
      </c>
      <c r="E65" s="117">
        <f t="shared" si="85"/>
        <v>0</v>
      </c>
      <c r="F65" s="117">
        <f t="shared" si="85"/>
        <v>0</v>
      </c>
      <c r="G65" s="117">
        <f t="shared" si="85"/>
        <v>0</v>
      </c>
      <c r="H65" s="117">
        <f t="shared" si="85"/>
        <v>0</v>
      </c>
      <c r="I65" s="117">
        <f t="shared" si="85"/>
        <v>0</v>
      </c>
      <c r="J65" s="117">
        <f t="shared" si="85"/>
        <v>0</v>
      </c>
      <c r="K65" s="117">
        <f t="shared" si="85"/>
        <v>0</v>
      </c>
      <c r="L65" s="117">
        <f t="shared" si="85"/>
        <v>0</v>
      </c>
      <c r="M65" s="117">
        <f t="shared" si="85"/>
        <v>0</v>
      </c>
      <c r="N65" s="117">
        <f t="shared" si="85"/>
        <v>0</v>
      </c>
      <c r="O65" s="117">
        <f t="shared" si="85"/>
        <v>0</v>
      </c>
      <c r="P65" s="117">
        <f t="shared" si="85"/>
        <v>0</v>
      </c>
      <c r="Q65" s="117">
        <f t="shared" si="85"/>
        <v>0</v>
      </c>
      <c r="R65" s="117">
        <f t="shared" si="85"/>
        <v>0</v>
      </c>
      <c r="S65" s="117">
        <f t="shared" si="85"/>
        <v>0.46</v>
      </c>
      <c r="T65" s="117">
        <f t="shared" si="85"/>
        <v>0</v>
      </c>
      <c r="U65" s="117">
        <f t="shared" si="85"/>
        <v>2.41</v>
      </c>
      <c r="V65" s="117">
        <f t="shared" si="85"/>
        <v>0</v>
      </c>
      <c r="W65" s="117">
        <f t="shared" si="85"/>
        <v>10.62</v>
      </c>
      <c r="X65" s="117">
        <f t="shared" si="85"/>
        <v>1.48</v>
      </c>
      <c r="Y65" s="117">
        <f t="shared" si="85"/>
        <v>0.14000000000000001</v>
      </c>
      <c r="Z65" s="117">
        <f t="shared" si="85"/>
        <v>15.11</v>
      </c>
      <c r="AA65" s="185">
        <f t="shared" si="53"/>
        <v>3.432385637499187E-4</v>
      </c>
      <c r="AC65" s="117">
        <f t="shared" si="3"/>
        <v>0.46</v>
      </c>
      <c r="AD65" s="117">
        <f t="shared" si="4"/>
        <v>14.51</v>
      </c>
      <c r="AE65" s="117">
        <f t="shared" si="5"/>
        <v>0.14000000000000001</v>
      </c>
      <c r="AF65" s="117">
        <f>SUM(AC65:AE65)</f>
        <v>15.110000000000001</v>
      </c>
      <c r="AG65" s="185">
        <f>AD65/AF65</f>
        <v>0.96029119788219708</v>
      </c>
    </row>
    <row r="66" spans="1:33" x14ac:dyDescent="0.35">
      <c r="A66" s="6" t="s">
        <v>23</v>
      </c>
      <c r="B66" s="12">
        <f t="shared" ref="B66:Z66" si="86">B372+B219</f>
        <v>0</v>
      </c>
      <c r="C66" s="12">
        <f t="shared" si="86"/>
        <v>0</v>
      </c>
      <c r="D66" s="12">
        <f t="shared" si="86"/>
        <v>0</v>
      </c>
      <c r="E66" s="12">
        <f t="shared" si="86"/>
        <v>0</v>
      </c>
      <c r="F66" s="12">
        <f t="shared" si="86"/>
        <v>0</v>
      </c>
      <c r="G66" s="12">
        <f t="shared" si="86"/>
        <v>0</v>
      </c>
      <c r="H66" s="12">
        <f t="shared" si="86"/>
        <v>0</v>
      </c>
      <c r="I66" s="12">
        <f t="shared" si="86"/>
        <v>0</v>
      </c>
      <c r="J66" s="12">
        <f t="shared" si="86"/>
        <v>0</v>
      </c>
      <c r="K66" s="12">
        <f t="shared" si="86"/>
        <v>0</v>
      </c>
      <c r="L66" s="12">
        <f t="shared" si="86"/>
        <v>0</v>
      </c>
      <c r="M66" s="12">
        <f t="shared" si="86"/>
        <v>0</v>
      </c>
      <c r="N66" s="12">
        <f t="shared" si="86"/>
        <v>0</v>
      </c>
      <c r="O66" s="12">
        <f t="shared" si="86"/>
        <v>0</v>
      </c>
      <c r="P66" s="12">
        <f t="shared" si="86"/>
        <v>0</v>
      </c>
      <c r="Q66" s="12">
        <f t="shared" si="86"/>
        <v>0</v>
      </c>
      <c r="R66" s="12">
        <f t="shared" si="86"/>
        <v>0</v>
      </c>
      <c r="S66" s="12">
        <f t="shared" si="86"/>
        <v>0.46</v>
      </c>
      <c r="T66" s="12">
        <f t="shared" si="86"/>
        <v>0</v>
      </c>
      <c r="U66" s="12">
        <f t="shared" si="86"/>
        <v>2.41</v>
      </c>
      <c r="V66" s="12">
        <f t="shared" si="86"/>
        <v>0</v>
      </c>
      <c r="W66" s="12">
        <f t="shared" si="86"/>
        <v>10.62</v>
      </c>
      <c r="X66" s="12">
        <f t="shared" si="86"/>
        <v>1.48</v>
      </c>
      <c r="Y66" s="12">
        <f t="shared" si="86"/>
        <v>0.14000000000000001</v>
      </c>
      <c r="Z66" s="12">
        <f t="shared" si="86"/>
        <v>15.11</v>
      </c>
      <c r="AA66" s="24">
        <f t="shared" si="53"/>
        <v>3.432385637499187E-4</v>
      </c>
      <c r="AC66" s="89">
        <f t="shared" si="3"/>
        <v>0.46</v>
      </c>
      <c r="AD66" s="89">
        <f t="shared" si="4"/>
        <v>14.51</v>
      </c>
      <c r="AE66" s="89">
        <f t="shared" si="5"/>
        <v>0.14000000000000001</v>
      </c>
      <c r="AF66" s="89">
        <f t="shared" ref="AF66" si="87">SUM(AC66:AE66)</f>
        <v>15.110000000000001</v>
      </c>
      <c r="AG66" s="24">
        <f t="shared" ref="AG66:AG67" si="88">AD66/AF66</f>
        <v>0.96029119788219708</v>
      </c>
    </row>
    <row r="67" spans="1:33" ht="15.5" x14ac:dyDescent="0.35">
      <c r="A67" s="179" t="s">
        <v>25</v>
      </c>
      <c r="B67" s="213">
        <f t="shared" ref="B67:Z67" si="89">B373+B220</f>
        <v>414.82</v>
      </c>
      <c r="C67" s="213">
        <f t="shared" si="89"/>
        <v>293.38</v>
      </c>
      <c r="D67" s="213">
        <f t="shared" si="89"/>
        <v>103.53</v>
      </c>
      <c r="E67" s="213">
        <f t="shared" si="89"/>
        <v>115.07000000000001</v>
      </c>
      <c r="F67" s="213">
        <f t="shared" si="89"/>
        <v>109.20000000000002</v>
      </c>
      <c r="G67" s="213">
        <f t="shared" si="89"/>
        <v>169.69</v>
      </c>
      <c r="H67" s="213">
        <f t="shared" si="89"/>
        <v>161.26999999999998</v>
      </c>
      <c r="I67" s="213">
        <f t="shared" si="89"/>
        <v>237.02999999999997</v>
      </c>
      <c r="J67" s="213">
        <f t="shared" si="89"/>
        <v>169.35999999999999</v>
      </c>
      <c r="K67" s="213">
        <f t="shared" si="89"/>
        <v>128.08000000000001</v>
      </c>
      <c r="L67" s="213">
        <f t="shared" si="89"/>
        <v>280.43</v>
      </c>
      <c r="M67" s="213">
        <f t="shared" si="89"/>
        <v>439.27</v>
      </c>
      <c r="N67" s="213">
        <f t="shared" si="89"/>
        <v>417.75</v>
      </c>
      <c r="O67" s="213">
        <f t="shared" si="89"/>
        <v>556.34999999999991</v>
      </c>
      <c r="P67" s="213">
        <f t="shared" si="89"/>
        <v>728.01</v>
      </c>
      <c r="Q67" s="213">
        <f t="shared" si="89"/>
        <v>1195.8600000000001</v>
      </c>
      <c r="R67" s="213">
        <f t="shared" si="89"/>
        <v>2927.51</v>
      </c>
      <c r="S67" s="213">
        <f t="shared" si="89"/>
        <v>3405.59</v>
      </c>
      <c r="T67" s="213">
        <f t="shared" si="89"/>
        <v>4661.4500000000007</v>
      </c>
      <c r="U67" s="213">
        <f t="shared" si="89"/>
        <v>7099.94</v>
      </c>
      <c r="V67" s="213">
        <f t="shared" si="89"/>
        <v>7537.9000000000024</v>
      </c>
      <c r="W67" s="213">
        <f t="shared" si="89"/>
        <v>7324.9599999999991</v>
      </c>
      <c r="X67" s="213">
        <f t="shared" si="89"/>
        <v>5515.26</v>
      </c>
      <c r="Y67" s="213">
        <f t="shared" si="89"/>
        <v>30.150000000000002</v>
      </c>
      <c r="Z67" s="213">
        <f t="shared" si="89"/>
        <v>44021.860000000008</v>
      </c>
      <c r="AA67" s="213">
        <f t="shared" si="53"/>
        <v>1</v>
      </c>
      <c r="AC67" s="213">
        <f t="shared" si="3"/>
        <v>16513.650000000001</v>
      </c>
      <c r="AD67" s="213">
        <f t="shared" si="4"/>
        <v>27478.060000000005</v>
      </c>
      <c r="AE67" s="213">
        <f t="shared" si="5"/>
        <v>30.150000000000002</v>
      </c>
      <c r="AF67" s="213">
        <f>SUM(AC67:AE67)</f>
        <v>44021.860000000008</v>
      </c>
      <c r="AG67" s="204">
        <f t="shared" si="88"/>
        <v>0.62419125407240861</v>
      </c>
    </row>
    <row r="68" spans="1:33" x14ac:dyDescent="0.35">
      <c r="A68" s="378" t="s">
        <v>253</v>
      </c>
      <c r="B68" s="379"/>
      <c r="C68" s="379">
        <f>C67+B67</f>
        <v>708.2</v>
      </c>
      <c r="D68" s="379">
        <f>D67+C68</f>
        <v>811.73</v>
      </c>
      <c r="E68" s="379">
        <f>E67+D68</f>
        <v>926.80000000000007</v>
      </c>
      <c r="F68" s="379">
        <f t="shared" ref="F68" si="90">F67+E68</f>
        <v>1036</v>
      </c>
      <c r="G68" s="379">
        <f t="shared" ref="G68" si="91">G67+F68</f>
        <v>1205.69</v>
      </c>
      <c r="H68" s="379">
        <f t="shared" ref="H68" si="92">H67+G68</f>
        <v>1366.96</v>
      </c>
      <c r="I68" s="379">
        <f t="shared" ref="I68" si="93">I67+H68</f>
        <v>1603.99</v>
      </c>
      <c r="J68" s="379">
        <f t="shared" ref="J68" si="94">J67+I68</f>
        <v>1773.35</v>
      </c>
      <c r="K68" s="379">
        <f t="shared" ref="K68" si="95">K67+J68</f>
        <v>1901.4299999999998</v>
      </c>
      <c r="L68" s="379">
        <f t="shared" ref="L68" si="96">L67+K68</f>
        <v>2181.8599999999997</v>
      </c>
      <c r="M68" s="379">
        <f t="shared" ref="M68" si="97">M67+L68</f>
        <v>2621.1299999999997</v>
      </c>
      <c r="N68" s="379">
        <f t="shared" ref="N68" si="98">N67+M68</f>
        <v>3038.8799999999997</v>
      </c>
      <c r="O68" s="379">
        <f t="shared" ref="O68" si="99">O67+N68</f>
        <v>3595.2299999999996</v>
      </c>
      <c r="P68" s="379">
        <f t="shared" ref="P68" si="100">P67+O68</f>
        <v>4323.24</v>
      </c>
      <c r="Q68" s="379">
        <f t="shared" ref="Q68" si="101">Q67+P68</f>
        <v>5519.1</v>
      </c>
      <c r="R68" s="379">
        <f t="shared" ref="R68" si="102">R67+Q68</f>
        <v>8446.61</v>
      </c>
      <c r="S68" s="379">
        <f t="shared" ref="S68" si="103">S67+R68</f>
        <v>11852.2</v>
      </c>
      <c r="T68" s="379">
        <f t="shared" ref="T68" si="104">T67+S68</f>
        <v>16513.650000000001</v>
      </c>
      <c r="U68" s="379">
        <f t="shared" ref="U68" si="105">U67+T68</f>
        <v>23613.59</v>
      </c>
      <c r="V68" s="379">
        <f t="shared" ref="V68" si="106">V67+U68</f>
        <v>31151.49</v>
      </c>
      <c r="W68" s="379">
        <f t="shared" ref="W68" si="107">W67+V68</f>
        <v>38476.449999999997</v>
      </c>
      <c r="X68" s="379">
        <f t="shared" ref="X68" si="108">X67+W68</f>
        <v>43991.71</v>
      </c>
    </row>
    <row r="69" spans="1:33" x14ac:dyDescent="0.35">
      <c r="A69" s="380" t="s">
        <v>254</v>
      </c>
      <c r="B69" s="379"/>
      <c r="C69" s="381"/>
      <c r="D69" s="381">
        <f>D68/C68-1</f>
        <v>0.14618751765038129</v>
      </c>
      <c r="E69" s="381">
        <f t="shared" ref="E69" si="109">E68/D68-1</f>
        <v>0.14175895925985249</v>
      </c>
      <c r="F69" s="381">
        <f t="shared" ref="F69" si="110">F68/E68-1</f>
        <v>0.1178247734138973</v>
      </c>
      <c r="G69" s="381">
        <f t="shared" ref="G69" si="111">G68/F68-1</f>
        <v>0.16379343629343635</v>
      </c>
      <c r="H69" s="381">
        <f t="shared" ref="H69" si="112">H68/G68-1</f>
        <v>0.13375743350280755</v>
      </c>
      <c r="I69" s="381">
        <f t="shared" ref="I69" si="113">I68/H68-1</f>
        <v>0.17339936794053967</v>
      </c>
      <c r="J69" s="381">
        <f t="shared" ref="J69" si="114">J68/I68-1</f>
        <v>0.1055866931838727</v>
      </c>
      <c r="K69" s="381">
        <f t="shared" ref="K69" si="115">K68/J68-1</f>
        <v>7.2224885104463343E-2</v>
      </c>
      <c r="L69" s="381">
        <f t="shared" ref="L69" si="116">L68/K68-1</f>
        <v>0.14748373592506692</v>
      </c>
      <c r="M69" s="381">
        <f t="shared" ref="M69" si="117">M68/L68-1</f>
        <v>0.20132822454236288</v>
      </c>
      <c r="N69" s="381">
        <f t="shared" ref="N69" si="118">N68/M68-1</f>
        <v>0.1593778255943048</v>
      </c>
      <c r="O69" s="381">
        <f t="shared" ref="O69" si="119">O68/N68-1</f>
        <v>0.1830773179592482</v>
      </c>
      <c r="P69" s="381">
        <f t="shared" ref="P69" si="120">P68/O68-1</f>
        <v>0.20249330362730622</v>
      </c>
      <c r="Q69" s="381">
        <f t="shared" ref="Q69" si="121">Q68/P68-1</f>
        <v>0.27661198545535304</v>
      </c>
      <c r="R69" s="381">
        <f t="shared" ref="R69" si="122">R68/Q68-1</f>
        <v>0.53043249805221859</v>
      </c>
      <c r="S69" s="381">
        <f t="shared" ref="S69" si="123">S68/R68-1</f>
        <v>0.40319015557720794</v>
      </c>
      <c r="T69" s="381">
        <f t="shared" ref="T69" si="124">T68/S68-1</f>
        <v>0.39329829061271337</v>
      </c>
      <c r="U69" s="381">
        <f t="shared" ref="U69" si="125">U68/T68-1</f>
        <v>0.4299437132311752</v>
      </c>
      <c r="V69" s="381">
        <f t="shared" ref="V69" si="126">V68/U68-1</f>
        <v>0.31921872108391836</v>
      </c>
      <c r="W69" s="381">
        <f t="shared" ref="W69" si="127">W68/V68-1</f>
        <v>0.23513995638731866</v>
      </c>
      <c r="X69" s="381">
        <f t="shared" ref="X69" si="128">X68/W68-1</f>
        <v>0.14334118662194673</v>
      </c>
    </row>
    <row r="71" spans="1:33" ht="15.5" x14ac:dyDescent="0.35">
      <c r="A71" s="179" t="s">
        <v>99</v>
      </c>
      <c r="B71" s="122" t="s">
        <v>100</v>
      </c>
      <c r="C71" s="122">
        <v>2000</v>
      </c>
      <c r="D71" s="122">
        <v>2001</v>
      </c>
      <c r="E71" s="122">
        <v>2002</v>
      </c>
      <c r="F71" s="122">
        <v>2003</v>
      </c>
      <c r="G71" s="122">
        <v>2004</v>
      </c>
      <c r="H71" s="122">
        <v>2005</v>
      </c>
      <c r="I71" s="122">
        <v>2006</v>
      </c>
      <c r="J71" s="122">
        <v>2007</v>
      </c>
      <c r="K71" s="122">
        <v>2008</v>
      </c>
      <c r="L71" s="122">
        <v>2009</v>
      </c>
      <c r="M71" s="122">
        <v>2010</v>
      </c>
      <c r="N71" s="122">
        <v>2011</v>
      </c>
      <c r="O71" s="122">
        <v>2012</v>
      </c>
      <c r="P71" s="122">
        <v>2013</v>
      </c>
      <c r="Q71" s="122">
        <v>2014</v>
      </c>
      <c r="R71" s="122">
        <v>2015</v>
      </c>
      <c r="S71" s="122">
        <v>2016</v>
      </c>
      <c r="T71" s="122">
        <v>2017</v>
      </c>
      <c r="U71" s="122">
        <v>2018</v>
      </c>
      <c r="V71" s="122">
        <v>2019</v>
      </c>
      <c r="W71" s="122">
        <v>2020</v>
      </c>
      <c r="X71" s="123">
        <v>2021</v>
      </c>
      <c r="Y71" s="123" t="s">
        <v>90</v>
      </c>
    </row>
    <row r="72" spans="1:33" x14ac:dyDescent="0.35">
      <c r="A72" s="116" t="s">
        <v>5</v>
      </c>
      <c r="B72" s="22">
        <f t="shared" ref="B72:Y72" si="129">B13/$Z$13</f>
        <v>9.1459366013718901E-3</v>
      </c>
      <c r="C72" s="22">
        <f t="shared" si="129"/>
        <v>1.1309283801696393E-2</v>
      </c>
      <c r="D72" s="22">
        <f t="shared" si="129"/>
        <v>0</v>
      </c>
      <c r="E72" s="22">
        <f t="shared" si="129"/>
        <v>4.0804205006120633E-4</v>
      </c>
      <c r="F72" s="22">
        <f t="shared" si="129"/>
        <v>1.5862936502379443E-3</v>
      </c>
      <c r="G72" s="22">
        <f t="shared" si="129"/>
        <v>8.4505750012675872E-5</v>
      </c>
      <c r="H72" s="22">
        <f t="shared" si="129"/>
        <v>4.4522458006678372E-3</v>
      </c>
      <c r="I72" s="22">
        <f t="shared" si="129"/>
        <v>5.0341282507551195E-3</v>
      </c>
      <c r="J72" s="22">
        <f t="shared" si="129"/>
        <v>5.7439765508615973E-3</v>
      </c>
      <c r="K72" s="22">
        <f t="shared" si="129"/>
        <v>2.7210851504081627E-3</v>
      </c>
      <c r="L72" s="22">
        <f t="shared" si="129"/>
        <v>2.4506667503676003E-3</v>
      </c>
      <c r="M72" s="22">
        <f t="shared" si="129"/>
        <v>2.1573110753235966E-2</v>
      </c>
      <c r="N72" s="22">
        <f t="shared" si="129"/>
        <v>1.2946280901941944E-2</v>
      </c>
      <c r="O72" s="22">
        <f t="shared" si="129"/>
        <v>1.0773275901615992E-2</v>
      </c>
      <c r="P72" s="22">
        <f t="shared" si="129"/>
        <v>2.4600831053690129E-2</v>
      </c>
      <c r="Q72" s="22">
        <f t="shared" si="129"/>
        <v>3.1960074654794016E-2</v>
      </c>
      <c r="R72" s="22">
        <f t="shared" si="129"/>
        <v>6.1423608009213551E-2</v>
      </c>
      <c r="S72" s="22">
        <f t="shared" si="129"/>
        <v>9.052014496357802E-2</v>
      </c>
      <c r="T72" s="22">
        <f t="shared" si="129"/>
        <v>9.5716041364357421E-2</v>
      </c>
      <c r="U72" s="22">
        <f t="shared" si="129"/>
        <v>0.15466483812319973</v>
      </c>
      <c r="V72" s="22">
        <f t="shared" si="129"/>
        <v>9.1060981763659149E-2</v>
      </c>
      <c r="W72" s="22">
        <f t="shared" si="129"/>
        <v>0.22873774968431068</v>
      </c>
      <c r="X72" s="22">
        <f t="shared" si="129"/>
        <v>0.13269334311990399</v>
      </c>
      <c r="Y72" s="384">
        <f t="shared" si="129"/>
        <v>3.9355535005903343E-4</v>
      </c>
    </row>
    <row r="73" spans="1:33" x14ac:dyDescent="0.35">
      <c r="A73" s="116" t="s">
        <v>12</v>
      </c>
      <c r="B73" s="22">
        <f t="shared" ref="B73:Y73" si="130">B22/$Z$22</f>
        <v>7.4291166848418763E-3</v>
      </c>
      <c r="C73" s="22">
        <f t="shared" si="130"/>
        <v>1.0178117048346058E-2</v>
      </c>
      <c r="D73" s="22">
        <f t="shared" si="130"/>
        <v>0</v>
      </c>
      <c r="E73" s="22">
        <f t="shared" si="130"/>
        <v>0</v>
      </c>
      <c r="F73" s="22">
        <f t="shared" si="130"/>
        <v>0</v>
      </c>
      <c r="G73" s="22">
        <f t="shared" si="130"/>
        <v>0</v>
      </c>
      <c r="H73" s="22">
        <f t="shared" si="130"/>
        <v>0</v>
      </c>
      <c r="I73" s="22">
        <f t="shared" si="130"/>
        <v>0</v>
      </c>
      <c r="J73" s="22">
        <f t="shared" si="130"/>
        <v>2.1810250817884407E-3</v>
      </c>
      <c r="K73" s="22">
        <f t="shared" si="130"/>
        <v>0</v>
      </c>
      <c r="L73" s="22">
        <f t="shared" si="130"/>
        <v>5.5434387495456204E-3</v>
      </c>
      <c r="M73" s="22">
        <f t="shared" si="130"/>
        <v>1.7266448564158489E-3</v>
      </c>
      <c r="N73" s="22">
        <f t="shared" si="130"/>
        <v>1.0723373318793167E-2</v>
      </c>
      <c r="O73" s="22">
        <f t="shared" si="130"/>
        <v>6.770265358051618E-3</v>
      </c>
      <c r="P73" s="22">
        <f t="shared" si="130"/>
        <v>1.7993456924754635E-2</v>
      </c>
      <c r="Q73" s="22">
        <f t="shared" si="130"/>
        <v>8.7695383496910213E-3</v>
      </c>
      <c r="R73" s="22">
        <f t="shared" si="130"/>
        <v>4.2984369320247191E-2</v>
      </c>
      <c r="S73" s="22">
        <f t="shared" si="130"/>
        <v>4.4915485278080702E-2</v>
      </c>
      <c r="T73" s="22">
        <f t="shared" si="130"/>
        <v>0.1506952017448201</v>
      </c>
      <c r="U73" s="22">
        <f t="shared" si="130"/>
        <v>0.26279080334423849</v>
      </c>
      <c r="V73" s="22">
        <f t="shared" si="130"/>
        <v>0.2291212286441294</v>
      </c>
      <c r="W73" s="22">
        <f t="shared" si="130"/>
        <v>0.13794983642311887</v>
      </c>
      <c r="X73" s="22">
        <f t="shared" si="130"/>
        <v>5.8433296982915307E-2</v>
      </c>
      <c r="Y73" s="384">
        <f t="shared" si="130"/>
        <v>1.7948018902217379E-3</v>
      </c>
    </row>
    <row r="74" spans="1:33" x14ac:dyDescent="0.35">
      <c r="A74" s="116" t="s">
        <v>13</v>
      </c>
      <c r="B74" s="22">
        <f t="shared" ref="B74:Y74" si="131">B26/$Z$26</f>
        <v>1.8329105637836508E-2</v>
      </c>
      <c r="C74" s="22">
        <f t="shared" si="131"/>
        <v>0</v>
      </c>
      <c r="D74" s="22">
        <f t="shared" si="131"/>
        <v>0</v>
      </c>
      <c r="E74" s="22">
        <f t="shared" si="131"/>
        <v>0</v>
      </c>
      <c r="F74" s="22">
        <f t="shared" si="131"/>
        <v>0</v>
      </c>
      <c r="G74" s="22">
        <f t="shared" si="131"/>
        <v>0</v>
      </c>
      <c r="H74" s="22">
        <f t="shared" si="131"/>
        <v>0</v>
      </c>
      <c r="I74" s="22">
        <f t="shared" si="131"/>
        <v>6.4642827919155548E-3</v>
      </c>
      <c r="J74" s="22">
        <f t="shared" si="131"/>
        <v>2.6061697078798789E-2</v>
      </c>
      <c r="K74" s="22">
        <f t="shared" si="131"/>
        <v>8.8863431797725212E-2</v>
      </c>
      <c r="L74" s="22">
        <f t="shared" si="131"/>
        <v>1.3092218312740365E-3</v>
      </c>
      <c r="M74" s="22">
        <f t="shared" si="131"/>
        <v>0</v>
      </c>
      <c r="N74" s="22">
        <f t="shared" si="131"/>
        <v>5.2778005073234584E-3</v>
      </c>
      <c r="O74" s="22">
        <f t="shared" si="131"/>
        <v>2.3811472056296537E-2</v>
      </c>
      <c r="P74" s="22">
        <f t="shared" si="131"/>
        <v>1.5587922428606496E-2</v>
      </c>
      <c r="Q74" s="22">
        <f t="shared" si="131"/>
        <v>2.5202520252025202E-2</v>
      </c>
      <c r="R74" s="22">
        <f t="shared" si="131"/>
        <v>5.9733246051877908E-2</v>
      </c>
      <c r="S74" s="22">
        <f t="shared" si="131"/>
        <v>6.4888307012519422E-2</v>
      </c>
      <c r="T74" s="22">
        <f t="shared" si="131"/>
        <v>0.14446444644464446</v>
      </c>
      <c r="U74" s="22">
        <f t="shared" si="131"/>
        <v>6.4151869732427785E-2</v>
      </c>
      <c r="V74" s="22">
        <f t="shared" si="131"/>
        <v>9.9050814172326307E-2</v>
      </c>
      <c r="W74" s="22">
        <f t="shared" si="131"/>
        <v>0.14016856231077654</v>
      </c>
      <c r="X74" s="22">
        <f t="shared" si="131"/>
        <v>0.21553064397348828</v>
      </c>
      <c r="Y74" s="384">
        <f t="shared" si="131"/>
        <v>1.1046559201374683E-3</v>
      </c>
    </row>
    <row r="75" spans="1:33" x14ac:dyDescent="0.35">
      <c r="A75" s="116" t="s">
        <v>14</v>
      </c>
      <c r="B75" s="22">
        <f t="shared" ref="B75:Y75" si="132">B30/$Z$30</f>
        <v>0.51362303845490587</v>
      </c>
      <c r="C75" s="22">
        <f t="shared" si="132"/>
        <v>7.7772029660286235E-2</v>
      </c>
      <c r="D75" s="22">
        <f t="shared" si="132"/>
        <v>5.1733057423693721E-3</v>
      </c>
      <c r="E75" s="22">
        <f t="shared" si="132"/>
        <v>1.1251939989653384E-2</v>
      </c>
      <c r="F75" s="22">
        <f t="shared" si="132"/>
        <v>7.7599586135540586E-4</v>
      </c>
      <c r="G75" s="22">
        <f t="shared" si="132"/>
        <v>1.586480427659941E-2</v>
      </c>
      <c r="H75" s="22">
        <f t="shared" si="132"/>
        <v>0</v>
      </c>
      <c r="I75" s="22">
        <f t="shared" si="132"/>
        <v>1.7244352474564577E-4</v>
      </c>
      <c r="J75" s="22">
        <f t="shared" si="132"/>
        <v>3.4488704949129154E-4</v>
      </c>
      <c r="K75" s="22">
        <f t="shared" si="132"/>
        <v>0</v>
      </c>
      <c r="L75" s="22">
        <f t="shared" si="132"/>
        <v>1.258837730643214E-2</v>
      </c>
      <c r="M75" s="22">
        <f t="shared" si="132"/>
        <v>5.7897913433350552E-2</v>
      </c>
      <c r="N75" s="22">
        <f t="shared" si="132"/>
        <v>5.1301948611829611E-3</v>
      </c>
      <c r="O75" s="22">
        <f t="shared" si="132"/>
        <v>6.4666321779617152E-4</v>
      </c>
      <c r="P75" s="22">
        <f t="shared" si="132"/>
        <v>0</v>
      </c>
      <c r="Q75" s="22">
        <f t="shared" si="132"/>
        <v>0</v>
      </c>
      <c r="R75" s="22">
        <f t="shared" si="132"/>
        <v>0</v>
      </c>
      <c r="S75" s="22">
        <f t="shared" si="132"/>
        <v>1.6899465425073285E-2</v>
      </c>
      <c r="T75" s="22">
        <f t="shared" si="132"/>
        <v>1.8149680979479214E-2</v>
      </c>
      <c r="U75" s="22">
        <f t="shared" si="132"/>
        <v>0.11497672012415931</v>
      </c>
      <c r="V75" s="22">
        <f t="shared" si="132"/>
        <v>6.7123642007242607E-2</v>
      </c>
      <c r="W75" s="22">
        <f t="shared" si="132"/>
        <v>7.2512502155544042E-2</v>
      </c>
      <c r="X75" s="22">
        <f t="shared" si="132"/>
        <v>9.0963959303328127E-3</v>
      </c>
      <c r="Y75" s="385">
        <f t="shared" si="132"/>
        <v>0</v>
      </c>
    </row>
    <row r="76" spans="1:33" x14ac:dyDescent="0.35">
      <c r="A76" s="116" t="s">
        <v>15</v>
      </c>
      <c r="B76" s="22">
        <f t="shared" ref="B76:Y76" si="133">B35/$Z$35</f>
        <v>6.8395827704240348E-3</v>
      </c>
      <c r="C76" s="22">
        <f t="shared" si="133"/>
        <v>6.2645122231389317E-3</v>
      </c>
      <c r="D76" s="22">
        <f t="shared" si="133"/>
        <v>2.9571341258132987E-3</v>
      </c>
      <c r="E76" s="22">
        <f t="shared" si="133"/>
        <v>3.2010333931040661E-3</v>
      </c>
      <c r="F76" s="22">
        <f t="shared" si="133"/>
        <v>2.96060188790748E-3</v>
      </c>
      <c r="G76" s="22">
        <f t="shared" si="133"/>
        <v>4.7606593949622083E-3</v>
      </c>
      <c r="H76" s="22">
        <f t="shared" si="133"/>
        <v>3.6547322670928153E-3</v>
      </c>
      <c r="I76" s="22">
        <f t="shared" si="133"/>
        <v>6.0628040613273726E-3</v>
      </c>
      <c r="J76" s="22">
        <f t="shared" si="133"/>
        <v>3.9708765780123645E-3</v>
      </c>
      <c r="K76" s="22">
        <f t="shared" si="133"/>
        <v>2.5144164984561234E-3</v>
      </c>
      <c r="L76" s="22">
        <f t="shared" si="133"/>
        <v>7.2817224374321799E-3</v>
      </c>
      <c r="M76" s="22">
        <f t="shared" si="133"/>
        <v>8.8725582981379544E-3</v>
      </c>
      <c r="N76" s="22">
        <f t="shared" si="133"/>
        <v>9.3722050198746104E-3</v>
      </c>
      <c r="O76" s="22">
        <f t="shared" si="133"/>
        <v>1.1046845131189772E-2</v>
      </c>
      <c r="P76" s="22">
        <f t="shared" si="133"/>
        <v>1.4509694562404545E-2</v>
      </c>
      <c r="Q76" s="22">
        <f t="shared" si="133"/>
        <v>2.3951254824162788E-2</v>
      </c>
      <c r="R76" s="22">
        <f t="shared" si="133"/>
        <v>6.5125150089078127E-2</v>
      </c>
      <c r="S76" s="22">
        <f t="shared" si="133"/>
        <v>7.7855015756644011E-2</v>
      </c>
      <c r="T76" s="22">
        <f t="shared" si="133"/>
        <v>0.10770580084353312</v>
      </c>
      <c r="U76" s="22">
        <f t="shared" si="133"/>
        <v>0.16150495095283984</v>
      </c>
      <c r="V76" s="22">
        <f t="shared" si="133"/>
        <v>0.18275597502633334</v>
      </c>
      <c r="W76" s="22">
        <f t="shared" si="133"/>
        <v>0.15855186254946976</v>
      </c>
      <c r="X76" s="22">
        <f t="shared" si="133"/>
        <v>0.12770467382085249</v>
      </c>
      <c r="Y76" s="384">
        <f t="shared" si="133"/>
        <v>5.7593748780864883E-4</v>
      </c>
    </row>
    <row r="77" spans="1:33" x14ac:dyDescent="0.35">
      <c r="A77" s="116" t="s">
        <v>16</v>
      </c>
      <c r="B77" s="22">
        <f t="shared" ref="B77:Y77" si="134">B41/$Z$41</f>
        <v>3.4005430641705489E-3</v>
      </c>
      <c r="C77" s="22">
        <f t="shared" si="134"/>
        <v>4.397694789754394E-4</v>
      </c>
      <c r="D77" s="22">
        <f t="shared" si="134"/>
        <v>0</v>
      </c>
      <c r="E77" s="22">
        <f t="shared" si="134"/>
        <v>0</v>
      </c>
      <c r="F77" s="22">
        <f t="shared" si="134"/>
        <v>0</v>
      </c>
      <c r="G77" s="22">
        <f t="shared" si="134"/>
        <v>3.8351989445532505E-4</v>
      </c>
      <c r="H77" s="22">
        <f t="shared" si="134"/>
        <v>8.3556201005333484E-3</v>
      </c>
      <c r="I77" s="22">
        <f t="shared" si="134"/>
        <v>1.6363515496760537E-4</v>
      </c>
      <c r="J77" s="22">
        <f t="shared" si="134"/>
        <v>0</v>
      </c>
      <c r="K77" s="22">
        <f t="shared" si="134"/>
        <v>4.1317876629320353E-3</v>
      </c>
      <c r="L77" s="22">
        <f t="shared" si="134"/>
        <v>6.0238191422449716E-3</v>
      </c>
      <c r="M77" s="22">
        <f t="shared" si="134"/>
        <v>1.1628323199885457E-2</v>
      </c>
      <c r="N77" s="22">
        <f t="shared" si="134"/>
        <v>7.1079020439053569E-3</v>
      </c>
      <c r="O77" s="22">
        <f t="shared" si="134"/>
        <v>1.9206676314322681E-2</v>
      </c>
      <c r="P77" s="22">
        <f t="shared" si="134"/>
        <v>2.0372576793466868E-2</v>
      </c>
      <c r="Q77" s="22">
        <f t="shared" si="134"/>
        <v>2.8830468865854969E-2</v>
      </c>
      <c r="R77" s="22">
        <f t="shared" si="134"/>
        <v>4.6702495947473124E-2</v>
      </c>
      <c r="S77" s="22">
        <f t="shared" si="134"/>
        <v>5.8765475027741272E-2</v>
      </c>
      <c r="T77" s="22">
        <f t="shared" si="134"/>
        <v>0.11971445665458154</v>
      </c>
      <c r="U77" s="22">
        <f t="shared" si="134"/>
        <v>0.20599109211125144</v>
      </c>
      <c r="V77" s="22">
        <f t="shared" si="134"/>
        <v>0.15695168160689724</v>
      </c>
      <c r="W77" s="22">
        <f t="shared" si="134"/>
        <v>0.19385140905209225</v>
      </c>
      <c r="X77" s="22">
        <f t="shared" si="134"/>
        <v>0.106255465158496</v>
      </c>
      <c r="Y77" s="384">
        <f t="shared" si="134"/>
        <v>1.7232827257525939E-3</v>
      </c>
    </row>
    <row r="78" spans="1:33" x14ac:dyDescent="0.35">
      <c r="A78" s="116" t="s">
        <v>18</v>
      </c>
      <c r="B78" s="22">
        <f t="shared" ref="B78:Y78" si="135">B57/$Z$57</f>
        <v>0</v>
      </c>
      <c r="C78" s="22">
        <f t="shared" si="135"/>
        <v>0</v>
      </c>
      <c r="D78" s="22">
        <f t="shared" si="135"/>
        <v>0</v>
      </c>
      <c r="E78" s="22">
        <f t="shared" si="135"/>
        <v>0</v>
      </c>
      <c r="F78" s="22">
        <f t="shared" si="135"/>
        <v>0</v>
      </c>
      <c r="G78" s="22">
        <f t="shared" si="135"/>
        <v>0</v>
      </c>
      <c r="H78" s="22">
        <f t="shared" si="135"/>
        <v>0</v>
      </c>
      <c r="I78" s="22">
        <f t="shared" si="135"/>
        <v>0</v>
      </c>
      <c r="J78" s="22">
        <f t="shared" si="135"/>
        <v>0</v>
      </c>
      <c r="K78" s="22">
        <f t="shared" si="135"/>
        <v>0</v>
      </c>
      <c r="L78" s="22">
        <f t="shared" si="135"/>
        <v>0</v>
      </c>
      <c r="M78" s="22">
        <f t="shared" si="135"/>
        <v>0</v>
      </c>
      <c r="N78" s="22">
        <f t="shared" si="135"/>
        <v>0</v>
      </c>
      <c r="O78" s="22">
        <f t="shared" si="135"/>
        <v>1</v>
      </c>
      <c r="P78" s="22">
        <f t="shared" si="135"/>
        <v>0</v>
      </c>
      <c r="Q78" s="22">
        <f t="shared" si="135"/>
        <v>0</v>
      </c>
      <c r="R78" s="22">
        <f t="shared" si="135"/>
        <v>0</v>
      </c>
      <c r="S78" s="22">
        <f t="shared" si="135"/>
        <v>0</v>
      </c>
      <c r="T78" s="22">
        <f t="shared" si="135"/>
        <v>0</v>
      </c>
      <c r="U78" s="22">
        <f t="shared" si="135"/>
        <v>0</v>
      </c>
      <c r="V78" s="22">
        <f t="shared" si="135"/>
        <v>0</v>
      </c>
      <c r="W78" s="22">
        <f t="shared" si="135"/>
        <v>0</v>
      </c>
      <c r="X78" s="22">
        <f t="shared" si="135"/>
        <v>0</v>
      </c>
      <c r="Y78" s="385">
        <f t="shared" si="135"/>
        <v>0</v>
      </c>
    </row>
    <row r="79" spans="1:33" x14ac:dyDescent="0.35">
      <c r="A79" s="116" t="s">
        <v>17</v>
      </c>
      <c r="B79" s="22">
        <f t="shared" ref="B79:Y79" si="136">B51/$Z$51</f>
        <v>4.3132281621049116E-3</v>
      </c>
      <c r="C79" s="22">
        <f t="shared" si="136"/>
        <v>2.076481409220135E-3</v>
      </c>
      <c r="D79" s="22">
        <f t="shared" si="136"/>
        <v>0</v>
      </c>
      <c r="E79" s="22">
        <f t="shared" si="136"/>
        <v>0</v>
      </c>
      <c r="F79" s="22">
        <f t="shared" si="136"/>
        <v>0</v>
      </c>
      <c r="G79" s="22">
        <f t="shared" si="136"/>
        <v>0</v>
      </c>
      <c r="H79" s="22">
        <f t="shared" si="136"/>
        <v>1.3936116840403592E-5</v>
      </c>
      <c r="I79" s="22">
        <f t="shared" si="136"/>
        <v>3.0938179385695971E-3</v>
      </c>
      <c r="J79" s="22">
        <f t="shared" si="136"/>
        <v>4.1111544679190592E-4</v>
      </c>
      <c r="K79" s="22">
        <f t="shared" si="136"/>
        <v>0</v>
      </c>
      <c r="L79" s="22">
        <f t="shared" si="136"/>
        <v>3.76275154690897E-4</v>
      </c>
      <c r="M79" s="22">
        <f t="shared" si="136"/>
        <v>3.4073805674786784E-3</v>
      </c>
      <c r="N79" s="22">
        <f t="shared" si="136"/>
        <v>1.2542505156363232E-2</v>
      </c>
      <c r="O79" s="22">
        <f t="shared" si="136"/>
        <v>5.7667651485590062E-2</v>
      </c>
      <c r="P79" s="22">
        <f t="shared" si="136"/>
        <v>3.4582473939461511E-2</v>
      </c>
      <c r="Q79" s="22">
        <f t="shared" si="136"/>
        <v>8.5351747589051785E-2</v>
      </c>
      <c r="R79" s="22">
        <f t="shared" si="136"/>
        <v>6.5144378170466588E-2</v>
      </c>
      <c r="S79" s="22">
        <f t="shared" si="136"/>
        <v>6.8133675232733157E-2</v>
      </c>
      <c r="T79" s="22">
        <f t="shared" si="136"/>
        <v>7.4509448687217802E-2</v>
      </c>
      <c r="U79" s="22">
        <f t="shared" si="136"/>
        <v>0.14632225876581753</v>
      </c>
      <c r="V79" s="22">
        <f t="shared" si="136"/>
        <v>0.17761580913094374</v>
      </c>
      <c r="W79" s="22">
        <f t="shared" si="136"/>
        <v>0.18312057528290313</v>
      </c>
      <c r="X79" s="22">
        <f t="shared" si="136"/>
        <v>7.8766932381961086E-2</v>
      </c>
      <c r="Y79" s="384">
        <f t="shared" si="136"/>
        <v>2.5503093817938562E-3</v>
      </c>
    </row>
    <row r="80" spans="1:33" x14ac:dyDescent="0.35">
      <c r="A80" s="116" t="s">
        <v>20</v>
      </c>
      <c r="B80" s="22">
        <f t="shared" ref="B80:Y80" si="137">B59/$Z$59</f>
        <v>3.0135610246107484E-3</v>
      </c>
      <c r="C80" s="22">
        <f t="shared" si="137"/>
        <v>5.6922819353758584E-2</v>
      </c>
      <c r="D80" s="22">
        <f t="shared" si="137"/>
        <v>0</v>
      </c>
      <c r="E80" s="22">
        <f t="shared" si="137"/>
        <v>0</v>
      </c>
      <c r="F80" s="22">
        <f t="shared" si="137"/>
        <v>0</v>
      </c>
      <c r="G80" s="22">
        <f t="shared" si="137"/>
        <v>2.8461409676879294E-3</v>
      </c>
      <c r="H80" s="22">
        <f t="shared" si="137"/>
        <v>0</v>
      </c>
      <c r="I80" s="22">
        <f t="shared" si="137"/>
        <v>0</v>
      </c>
      <c r="J80" s="22">
        <f t="shared" si="137"/>
        <v>0</v>
      </c>
      <c r="K80" s="22">
        <f t="shared" si="137"/>
        <v>0</v>
      </c>
      <c r="L80" s="22">
        <f t="shared" si="137"/>
        <v>5.0226017076845809E-3</v>
      </c>
      <c r="M80" s="22">
        <f t="shared" si="137"/>
        <v>0</v>
      </c>
      <c r="N80" s="22">
        <f t="shared" si="137"/>
        <v>0</v>
      </c>
      <c r="O80" s="22">
        <f t="shared" si="137"/>
        <v>0</v>
      </c>
      <c r="P80" s="22">
        <f t="shared" si="137"/>
        <v>0</v>
      </c>
      <c r="Q80" s="22">
        <f t="shared" si="137"/>
        <v>0</v>
      </c>
      <c r="R80" s="22">
        <f t="shared" si="137"/>
        <v>5.0226017076845809E-3</v>
      </c>
      <c r="S80" s="22">
        <f t="shared" si="137"/>
        <v>9.4759752218315757E-2</v>
      </c>
      <c r="T80" s="22">
        <f t="shared" si="137"/>
        <v>5.2235057759919643E-2</v>
      </c>
      <c r="U80" s="22">
        <f t="shared" si="137"/>
        <v>4.7714716223003516E-2</v>
      </c>
      <c r="V80" s="22">
        <f t="shared" si="137"/>
        <v>0.39410681399631675</v>
      </c>
      <c r="W80" s="22">
        <f t="shared" si="137"/>
        <v>0.16691779675205093</v>
      </c>
      <c r="X80" s="22">
        <f t="shared" si="137"/>
        <v>0.17043361794743014</v>
      </c>
      <c r="Y80" s="384">
        <f t="shared" si="137"/>
        <v>1.0045203415369162E-3</v>
      </c>
    </row>
    <row r="81" spans="1:33" x14ac:dyDescent="0.35">
      <c r="A81" s="116" t="s">
        <v>21</v>
      </c>
      <c r="B81" s="22">
        <f t="shared" ref="B81:Y81" si="138">B61/$Z$61</f>
        <v>1.0207355128466855E-3</v>
      </c>
      <c r="C81" s="22">
        <f t="shared" si="138"/>
        <v>0</v>
      </c>
      <c r="D81" s="22">
        <f t="shared" si="138"/>
        <v>0</v>
      </c>
      <c r="E81" s="22">
        <f t="shared" si="138"/>
        <v>0</v>
      </c>
      <c r="F81" s="22">
        <f t="shared" si="138"/>
        <v>0</v>
      </c>
      <c r="G81" s="22">
        <f t="shared" si="138"/>
        <v>0</v>
      </c>
      <c r="H81" s="22">
        <f t="shared" si="138"/>
        <v>0</v>
      </c>
      <c r="I81" s="22">
        <f t="shared" si="138"/>
        <v>0</v>
      </c>
      <c r="J81" s="22">
        <f t="shared" si="138"/>
        <v>4.6662194872991339E-4</v>
      </c>
      <c r="K81" s="22">
        <f t="shared" si="138"/>
        <v>0</v>
      </c>
      <c r="L81" s="22">
        <f t="shared" si="138"/>
        <v>0</v>
      </c>
      <c r="M81" s="22">
        <f t="shared" si="138"/>
        <v>0</v>
      </c>
      <c r="N81" s="22">
        <f t="shared" si="138"/>
        <v>0</v>
      </c>
      <c r="O81" s="22">
        <f t="shared" si="138"/>
        <v>0</v>
      </c>
      <c r="P81" s="22">
        <f t="shared" si="138"/>
        <v>4.1587681180553532E-2</v>
      </c>
      <c r="Q81" s="22">
        <f t="shared" si="138"/>
        <v>2.2047887077488407E-2</v>
      </c>
      <c r="R81" s="22">
        <f t="shared" si="138"/>
        <v>0.18215754323543995</v>
      </c>
      <c r="S81" s="22">
        <f t="shared" si="138"/>
        <v>9.9740441541018993E-2</v>
      </c>
      <c r="T81" s="22">
        <f t="shared" si="138"/>
        <v>6.9235031642800912E-2</v>
      </c>
      <c r="U81" s="22">
        <f t="shared" si="138"/>
        <v>0.14864825454227304</v>
      </c>
      <c r="V81" s="22">
        <f t="shared" si="138"/>
        <v>9.3353553617778293E-2</v>
      </c>
      <c r="W81" s="22">
        <f t="shared" si="138"/>
        <v>0.16293855172212662</v>
      </c>
      <c r="X81" s="22">
        <f t="shared" si="138"/>
        <v>0.17804543731225758</v>
      </c>
      <c r="Y81" s="384">
        <f t="shared" si="138"/>
        <v>7.5826066668610928E-4</v>
      </c>
    </row>
    <row r="82" spans="1:33" x14ac:dyDescent="0.35">
      <c r="A82" s="116" t="s">
        <v>22</v>
      </c>
      <c r="B82" s="22">
        <f t="shared" ref="B82:Y82" si="139">B63/$Z$63</f>
        <v>0</v>
      </c>
      <c r="C82" s="22">
        <f t="shared" si="139"/>
        <v>0</v>
      </c>
      <c r="D82" s="22">
        <f t="shared" si="139"/>
        <v>0</v>
      </c>
      <c r="E82" s="22">
        <f t="shared" si="139"/>
        <v>0</v>
      </c>
      <c r="F82" s="22">
        <f t="shared" si="139"/>
        <v>0</v>
      </c>
      <c r="G82" s="22">
        <f t="shared" si="139"/>
        <v>0</v>
      </c>
      <c r="H82" s="22">
        <f t="shared" si="139"/>
        <v>0</v>
      </c>
      <c r="I82" s="22">
        <f t="shared" si="139"/>
        <v>0</v>
      </c>
      <c r="J82" s="22">
        <f t="shared" si="139"/>
        <v>0</v>
      </c>
      <c r="K82" s="22">
        <f t="shared" si="139"/>
        <v>0</v>
      </c>
      <c r="L82" s="22">
        <f t="shared" si="139"/>
        <v>0</v>
      </c>
      <c r="M82" s="22">
        <f t="shared" si="139"/>
        <v>1.9529824049061843E-3</v>
      </c>
      <c r="N82" s="22">
        <f t="shared" si="139"/>
        <v>1.2959042126012997E-3</v>
      </c>
      <c r="O82" s="22">
        <f t="shared" si="139"/>
        <v>7.3008688033876051E-5</v>
      </c>
      <c r="P82" s="22">
        <f t="shared" si="139"/>
        <v>1.5623859239249475E-2</v>
      </c>
      <c r="Q82" s="22">
        <f t="shared" si="139"/>
        <v>6.9759801416368561E-2</v>
      </c>
      <c r="R82" s="22">
        <f t="shared" si="139"/>
        <v>0.25259180842520268</v>
      </c>
      <c r="S82" s="22">
        <f t="shared" si="139"/>
        <v>8.0273052493246719E-2</v>
      </c>
      <c r="T82" s="22">
        <f t="shared" si="139"/>
        <v>0.11657662261809157</v>
      </c>
      <c r="U82" s="22">
        <f t="shared" si="139"/>
        <v>7.9396948236840195E-2</v>
      </c>
      <c r="V82" s="22">
        <f t="shared" si="139"/>
        <v>0.14340731547054103</v>
      </c>
      <c r="W82" s="22">
        <f t="shared" si="139"/>
        <v>0.1071402496897131</v>
      </c>
      <c r="X82" s="22">
        <f t="shared" si="139"/>
        <v>0.13183543841717166</v>
      </c>
      <c r="Y82" s="384">
        <f t="shared" si="139"/>
        <v>7.3008688033876051E-5</v>
      </c>
    </row>
    <row r="83" spans="1:33" x14ac:dyDescent="0.35">
      <c r="A83" s="116" t="s">
        <v>23</v>
      </c>
      <c r="B83" s="22">
        <f t="shared" ref="B83:Y83" si="140">B65/$Z$65</f>
        <v>0</v>
      </c>
      <c r="C83" s="22">
        <f t="shared" si="140"/>
        <v>0</v>
      </c>
      <c r="D83" s="22">
        <f t="shared" si="140"/>
        <v>0</v>
      </c>
      <c r="E83" s="22">
        <f t="shared" si="140"/>
        <v>0</v>
      </c>
      <c r="F83" s="22">
        <f t="shared" si="140"/>
        <v>0</v>
      </c>
      <c r="G83" s="22">
        <f t="shared" si="140"/>
        <v>0</v>
      </c>
      <c r="H83" s="22">
        <f t="shared" si="140"/>
        <v>0</v>
      </c>
      <c r="I83" s="22">
        <f t="shared" si="140"/>
        <v>0</v>
      </c>
      <c r="J83" s="22">
        <f t="shared" si="140"/>
        <v>0</v>
      </c>
      <c r="K83" s="22">
        <f t="shared" si="140"/>
        <v>0</v>
      </c>
      <c r="L83" s="22">
        <f t="shared" si="140"/>
        <v>0</v>
      </c>
      <c r="M83" s="22">
        <f t="shared" si="140"/>
        <v>0</v>
      </c>
      <c r="N83" s="22">
        <f t="shared" si="140"/>
        <v>0</v>
      </c>
      <c r="O83" s="22">
        <f t="shared" si="140"/>
        <v>0</v>
      </c>
      <c r="P83" s="22">
        <f t="shared" si="140"/>
        <v>0</v>
      </c>
      <c r="Q83" s="22">
        <f t="shared" si="140"/>
        <v>0</v>
      </c>
      <c r="R83" s="22">
        <f t="shared" si="140"/>
        <v>0</v>
      </c>
      <c r="S83" s="22">
        <f t="shared" si="140"/>
        <v>3.0443414956982134E-2</v>
      </c>
      <c r="T83" s="22">
        <f t="shared" si="140"/>
        <v>0</v>
      </c>
      <c r="U83" s="22">
        <f t="shared" si="140"/>
        <v>0.15949702183984119</v>
      </c>
      <c r="V83" s="22">
        <f t="shared" si="140"/>
        <v>0</v>
      </c>
      <c r="W83" s="22">
        <f t="shared" si="140"/>
        <v>0.70284579748510922</v>
      </c>
      <c r="X83" s="22">
        <f t="shared" si="140"/>
        <v>9.7948378557246862E-2</v>
      </c>
      <c r="Y83" s="384">
        <f t="shared" si="140"/>
        <v>9.2653871608206501E-3</v>
      </c>
    </row>
    <row r="84" spans="1:33" x14ac:dyDescent="0.35">
      <c r="A84" s="116" t="s">
        <v>25</v>
      </c>
      <c r="B84" s="22">
        <f t="shared" ref="B84:Y84" si="141">B67/$Z$67</f>
        <v>9.4230457322793705E-3</v>
      </c>
      <c r="C84" s="22">
        <f t="shared" si="141"/>
        <v>6.6644162695533521E-3</v>
      </c>
      <c r="D84" s="22">
        <f t="shared" si="141"/>
        <v>2.3517861353427589E-3</v>
      </c>
      <c r="E84" s="22">
        <f t="shared" si="141"/>
        <v>2.6139286254601686E-3</v>
      </c>
      <c r="F84" s="22">
        <f t="shared" si="141"/>
        <v>2.4805857817002735E-3</v>
      </c>
      <c r="G84" s="22">
        <f t="shared" si="141"/>
        <v>3.8546758360505431E-3</v>
      </c>
      <c r="H84" s="22">
        <f t="shared" si="141"/>
        <v>3.6634072254102838E-3</v>
      </c>
      <c r="I84" s="22">
        <f t="shared" si="141"/>
        <v>5.3843704014323781E-3</v>
      </c>
      <c r="J84" s="22">
        <f t="shared" si="141"/>
        <v>3.8471795603366135E-3</v>
      </c>
      <c r="K84" s="22">
        <f t="shared" si="141"/>
        <v>2.9094636164850823E-3</v>
      </c>
      <c r="L84" s="22">
        <f t="shared" si="141"/>
        <v>6.3702442377491534E-3</v>
      </c>
      <c r="M84" s="22">
        <f t="shared" si="141"/>
        <v>9.978451614720503E-3</v>
      </c>
      <c r="N84" s="22">
        <f t="shared" si="141"/>
        <v>9.4896035742242594E-3</v>
      </c>
      <c r="O84" s="22">
        <f t="shared" si="141"/>
        <v>1.2638039374074603E-2</v>
      </c>
      <c r="P84" s="22">
        <f t="shared" si="141"/>
        <v>1.6537465704538606E-2</v>
      </c>
      <c r="Q84" s="22">
        <f t="shared" si="141"/>
        <v>2.7165140228059423E-2</v>
      </c>
      <c r="R84" s="22">
        <f t="shared" si="141"/>
        <v>6.6501279137228628E-2</v>
      </c>
      <c r="S84" s="22">
        <f t="shared" si="141"/>
        <v>7.7361338207881256E-2</v>
      </c>
      <c r="T84" s="22">
        <f t="shared" si="141"/>
        <v>0.10588943765665512</v>
      </c>
      <c r="U84" s="22">
        <f t="shared" si="141"/>
        <v>0.16128214482532083</v>
      </c>
      <c r="V84" s="22">
        <f t="shared" si="141"/>
        <v>0.17123083849705581</v>
      </c>
      <c r="W84" s="22">
        <f t="shared" si="141"/>
        <v>0.1663936962227402</v>
      </c>
      <c r="X84" s="22">
        <f t="shared" si="141"/>
        <v>0.12528457452729166</v>
      </c>
      <c r="Y84" s="384">
        <f t="shared" si="141"/>
        <v>6.8488700840900398E-4</v>
      </c>
    </row>
    <row r="87" spans="1:33" ht="15" x14ac:dyDescent="0.35">
      <c r="A87" s="284" t="s">
        <v>67</v>
      </c>
      <c r="B87" s="284"/>
    </row>
    <row r="88" spans="1:33" ht="15.5" x14ac:dyDescent="0.35">
      <c r="A88" s="237" t="s">
        <v>136</v>
      </c>
      <c r="B88" s="237"/>
      <c r="AB88" s="111"/>
    </row>
    <row r="90" spans="1:33" ht="39" x14ac:dyDescent="0.35">
      <c r="A90" s="214" t="s">
        <v>88</v>
      </c>
      <c r="B90" s="214" t="s">
        <v>89</v>
      </c>
      <c r="C90" s="214">
        <v>2000</v>
      </c>
      <c r="D90" s="214">
        <v>2001</v>
      </c>
      <c r="E90" s="214">
        <v>2002</v>
      </c>
      <c r="F90" s="214">
        <v>2003</v>
      </c>
      <c r="G90" s="214">
        <v>2004</v>
      </c>
      <c r="H90" s="214">
        <v>2005</v>
      </c>
      <c r="I90" s="214">
        <v>2006</v>
      </c>
      <c r="J90" s="214">
        <v>2007</v>
      </c>
      <c r="K90" s="214">
        <v>2008</v>
      </c>
      <c r="L90" s="214">
        <v>2009</v>
      </c>
      <c r="M90" s="214">
        <v>2010</v>
      </c>
      <c r="N90" s="214">
        <v>2011</v>
      </c>
      <c r="O90" s="214">
        <v>2012</v>
      </c>
      <c r="P90" s="214">
        <v>2013</v>
      </c>
      <c r="Q90" s="214">
        <v>2014</v>
      </c>
      <c r="R90" s="214">
        <v>2015</v>
      </c>
      <c r="S90" s="214">
        <v>2016</v>
      </c>
      <c r="T90" s="214">
        <v>2017</v>
      </c>
      <c r="U90" s="214">
        <v>2018</v>
      </c>
      <c r="V90" s="214">
        <v>2019</v>
      </c>
      <c r="W90" s="214">
        <v>2020</v>
      </c>
      <c r="X90" s="214">
        <v>2021</v>
      </c>
      <c r="Y90" s="214" t="s">
        <v>90</v>
      </c>
      <c r="Z90" s="214" t="s">
        <v>91</v>
      </c>
      <c r="AA90" s="126" t="s">
        <v>92</v>
      </c>
      <c r="AC90" s="127" t="s">
        <v>110</v>
      </c>
      <c r="AD90" s="127" t="s">
        <v>108</v>
      </c>
      <c r="AE90" s="127" t="s">
        <v>94</v>
      </c>
      <c r="AF90" s="127" t="s">
        <v>96</v>
      </c>
      <c r="AG90" s="127" t="s">
        <v>97</v>
      </c>
    </row>
    <row r="91" spans="1:33" x14ac:dyDescent="0.35">
      <c r="A91" s="11" t="s">
        <v>5</v>
      </c>
      <c r="B91" s="119">
        <f t="shared" ref="B91:Z91" si="142">B395+B244</f>
        <v>70.22</v>
      </c>
      <c r="C91" s="119">
        <f t="shared" si="142"/>
        <v>1.76</v>
      </c>
      <c r="D91" s="119">
        <f t="shared" si="142"/>
        <v>0.52</v>
      </c>
      <c r="E91" s="119">
        <f t="shared" si="142"/>
        <v>4.16</v>
      </c>
      <c r="F91" s="119">
        <f t="shared" si="142"/>
        <v>3.06</v>
      </c>
      <c r="G91" s="119">
        <f t="shared" si="142"/>
        <v>2.7</v>
      </c>
      <c r="H91" s="119">
        <f t="shared" si="142"/>
        <v>15.79</v>
      </c>
      <c r="I91" s="119">
        <f t="shared" si="142"/>
        <v>2.16</v>
      </c>
      <c r="J91" s="119">
        <f t="shared" si="142"/>
        <v>0</v>
      </c>
      <c r="K91" s="119">
        <f t="shared" si="142"/>
        <v>2.04</v>
      </c>
      <c r="L91" s="119">
        <f t="shared" si="142"/>
        <v>14.700000000000001</v>
      </c>
      <c r="M91" s="119">
        <f t="shared" si="142"/>
        <v>3.84</v>
      </c>
      <c r="N91" s="119">
        <f t="shared" si="142"/>
        <v>21.54</v>
      </c>
      <c r="O91" s="119">
        <f t="shared" si="142"/>
        <v>21.84</v>
      </c>
      <c r="P91" s="119">
        <f t="shared" si="142"/>
        <v>57.22</v>
      </c>
      <c r="Q91" s="119">
        <f t="shared" si="142"/>
        <v>132.17000000000002</v>
      </c>
      <c r="R91" s="119">
        <f t="shared" si="142"/>
        <v>84.97</v>
      </c>
      <c r="S91" s="119">
        <f t="shared" si="142"/>
        <v>88.350000000000009</v>
      </c>
      <c r="T91" s="119">
        <f t="shared" si="142"/>
        <v>131.78</v>
      </c>
      <c r="U91" s="119">
        <f t="shared" si="142"/>
        <v>202.95999999999998</v>
      </c>
      <c r="V91" s="119">
        <f t="shared" si="142"/>
        <v>113.50999999999999</v>
      </c>
      <c r="W91" s="119">
        <f t="shared" si="142"/>
        <v>227.01999999999998</v>
      </c>
      <c r="X91" s="119">
        <f t="shared" si="142"/>
        <v>182.01</v>
      </c>
      <c r="Y91" s="119">
        <f t="shared" si="142"/>
        <v>0.48</v>
      </c>
      <c r="Z91" s="119">
        <f t="shared" si="142"/>
        <v>1385.08</v>
      </c>
      <c r="AA91" s="144">
        <f t="shared" ref="AA91:AA122" si="143">Z91/$Z$142</f>
        <v>8.8581794646642981E-2</v>
      </c>
      <c r="AC91" s="119">
        <f t="shared" ref="AC91:AC122" si="144">SUM(B91:U91)</f>
        <v>861.78</v>
      </c>
      <c r="AD91" s="119">
        <f t="shared" ref="AD91:AD122" si="145">SUM(V91:X91)</f>
        <v>522.54</v>
      </c>
      <c r="AE91" s="131">
        <f>Y91</f>
        <v>0.48</v>
      </c>
      <c r="AF91" s="119">
        <f>SUM(AC91:AE91)</f>
        <v>1384.8</v>
      </c>
      <c r="AG91" s="143">
        <f>AD91/AF91</f>
        <v>0.37733968804159446</v>
      </c>
    </row>
    <row r="92" spans="1:33" x14ac:dyDescent="0.35">
      <c r="A92" s="15" t="s">
        <v>6</v>
      </c>
      <c r="B92" s="12">
        <f t="shared" ref="B92:Z92" si="146">B396+B245</f>
        <v>0</v>
      </c>
      <c r="C92" s="12">
        <f t="shared" si="146"/>
        <v>0</v>
      </c>
      <c r="D92" s="12">
        <f t="shared" si="146"/>
        <v>0</v>
      </c>
      <c r="E92" s="12">
        <f t="shared" si="146"/>
        <v>0</v>
      </c>
      <c r="F92" s="12">
        <f t="shared" si="146"/>
        <v>0</v>
      </c>
      <c r="G92" s="12">
        <f t="shared" si="146"/>
        <v>0</v>
      </c>
      <c r="H92" s="12">
        <f t="shared" si="146"/>
        <v>0</v>
      </c>
      <c r="I92" s="12">
        <f t="shared" si="146"/>
        <v>0</v>
      </c>
      <c r="J92" s="12">
        <f t="shared" si="146"/>
        <v>0</v>
      </c>
      <c r="K92" s="12">
        <f t="shared" si="146"/>
        <v>0</v>
      </c>
      <c r="L92" s="12">
        <f t="shared" si="146"/>
        <v>0</v>
      </c>
      <c r="M92" s="12">
        <f t="shared" si="146"/>
        <v>0</v>
      </c>
      <c r="N92" s="12">
        <f t="shared" si="146"/>
        <v>0</v>
      </c>
      <c r="O92" s="12">
        <f t="shared" si="146"/>
        <v>0</v>
      </c>
      <c r="P92" s="12">
        <f t="shared" si="146"/>
        <v>0</v>
      </c>
      <c r="Q92" s="12">
        <f t="shared" si="146"/>
        <v>0</v>
      </c>
      <c r="R92" s="54">
        <f t="shared" si="146"/>
        <v>1.2600000000000002</v>
      </c>
      <c r="S92" s="12">
        <f t="shared" si="146"/>
        <v>0.39</v>
      </c>
      <c r="T92" s="12">
        <f t="shared" si="146"/>
        <v>0.97</v>
      </c>
      <c r="U92" s="12">
        <f t="shared" si="146"/>
        <v>0.76</v>
      </c>
      <c r="V92" s="12">
        <f t="shared" si="146"/>
        <v>2.12</v>
      </c>
      <c r="W92" s="12">
        <f t="shared" si="146"/>
        <v>0.1</v>
      </c>
      <c r="X92" s="12">
        <f t="shared" si="146"/>
        <v>3.02</v>
      </c>
      <c r="Y92" s="12">
        <f t="shared" si="146"/>
        <v>0</v>
      </c>
      <c r="Z92" s="12">
        <f t="shared" si="146"/>
        <v>8.620000000000001</v>
      </c>
      <c r="AA92" s="150">
        <f t="shared" si="143"/>
        <v>5.5128589673813979E-4</v>
      </c>
      <c r="AC92" s="12">
        <f t="shared" si="144"/>
        <v>3.38</v>
      </c>
      <c r="AD92" s="12">
        <f t="shared" si="145"/>
        <v>5.24</v>
      </c>
      <c r="AE92" s="12">
        <f t="shared" ref="AE92:AE142" si="147">Y92</f>
        <v>0</v>
      </c>
      <c r="AF92" s="12">
        <f>SUM(AC92:AE92)</f>
        <v>8.620000000000001</v>
      </c>
      <c r="AG92" s="150">
        <f>AD92/AF92</f>
        <v>0.60788863109048719</v>
      </c>
    </row>
    <row r="93" spans="1:33" x14ac:dyDescent="0.35">
      <c r="A93" s="16" t="s">
        <v>7</v>
      </c>
      <c r="B93" s="12">
        <f t="shared" ref="B93:Z93" si="148">B397+B246</f>
        <v>0</v>
      </c>
      <c r="C93" s="12">
        <f t="shared" si="148"/>
        <v>0</v>
      </c>
      <c r="D93" s="12">
        <f t="shared" si="148"/>
        <v>0</v>
      </c>
      <c r="E93" s="12">
        <f t="shared" si="148"/>
        <v>0</v>
      </c>
      <c r="F93" s="12">
        <f t="shared" si="148"/>
        <v>0</v>
      </c>
      <c r="G93" s="12">
        <f t="shared" si="148"/>
        <v>0</v>
      </c>
      <c r="H93" s="12">
        <f t="shared" si="148"/>
        <v>0</v>
      </c>
      <c r="I93" s="12">
        <f t="shared" si="148"/>
        <v>0</v>
      </c>
      <c r="J93" s="12">
        <f t="shared" si="148"/>
        <v>0</v>
      </c>
      <c r="K93" s="12">
        <f t="shared" si="148"/>
        <v>0</v>
      </c>
      <c r="L93" s="12">
        <f t="shared" si="148"/>
        <v>0</v>
      </c>
      <c r="M93" s="12">
        <f t="shared" si="148"/>
        <v>0</v>
      </c>
      <c r="N93" s="12">
        <f t="shared" si="148"/>
        <v>0</v>
      </c>
      <c r="O93" s="12">
        <f t="shared" si="148"/>
        <v>0</v>
      </c>
      <c r="P93" s="12">
        <f t="shared" si="148"/>
        <v>0</v>
      </c>
      <c r="Q93" s="12">
        <f t="shared" si="148"/>
        <v>0</v>
      </c>
      <c r="R93" s="54">
        <f t="shared" si="148"/>
        <v>0</v>
      </c>
      <c r="S93" s="12">
        <f t="shared" si="148"/>
        <v>1.67</v>
      </c>
      <c r="T93" s="12">
        <f t="shared" si="148"/>
        <v>0</v>
      </c>
      <c r="U93" s="12">
        <f t="shared" si="148"/>
        <v>0</v>
      </c>
      <c r="V93" s="12">
        <f t="shared" si="148"/>
        <v>0</v>
      </c>
      <c r="W93" s="12">
        <f t="shared" si="148"/>
        <v>1.26</v>
      </c>
      <c r="X93" s="12">
        <f t="shared" si="148"/>
        <v>7.07</v>
      </c>
      <c r="Y93" s="12">
        <f t="shared" si="148"/>
        <v>0</v>
      </c>
      <c r="Z93" s="12">
        <f t="shared" si="148"/>
        <v>10</v>
      </c>
      <c r="AA93" s="150">
        <f t="shared" si="143"/>
        <v>6.3954280364053335E-4</v>
      </c>
      <c r="AB93" s="133"/>
      <c r="AC93" s="12">
        <f t="shared" si="144"/>
        <v>1.67</v>
      </c>
      <c r="AD93" s="12">
        <f t="shared" si="145"/>
        <v>8.33</v>
      </c>
      <c r="AE93" s="12">
        <f t="shared" si="147"/>
        <v>0</v>
      </c>
      <c r="AF93" s="12">
        <f t="shared" ref="AF93:AF99" si="149">SUM(AC93:AE93)</f>
        <v>10</v>
      </c>
      <c r="AG93" s="150">
        <f t="shared" ref="AG93:AG95" si="150">AD93/AF93</f>
        <v>0.83299999999999996</v>
      </c>
    </row>
    <row r="94" spans="1:33" x14ac:dyDescent="0.35">
      <c r="A94" s="16" t="s">
        <v>8</v>
      </c>
      <c r="B94" s="12">
        <f t="shared" ref="B94:Z94" si="151">B398+B247</f>
        <v>9.83</v>
      </c>
      <c r="C94" s="12">
        <f t="shared" si="151"/>
        <v>0</v>
      </c>
      <c r="D94" s="12">
        <f t="shared" si="151"/>
        <v>0</v>
      </c>
      <c r="E94" s="12">
        <f t="shared" si="151"/>
        <v>0</v>
      </c>
      <c r="F94" s="12">
        <f t="shared" si="151"/>
        <v>0</v>
      </c>
      <c r="G94" s="12">
        <f t="shared" si="151"/>
        <v>0</v>
      </c>
      <c r="H94" s="12">
        <f t="shared" si="151"/>
        <v>0</v>
      </c>
      <c r="I94" s="12">
        <f t="shared" si="151"/>
        <v>0</v>
      </c>
      <c r="J94" s="12">
        <f t="shared" si="151"/>
        <v>0</v>
      </c>
      <c r="K94" s="12">
        <f t="shared" si="151"/>
        <v>0</v>
      </c>
      <c r="L94" s="12">
        <f t="shared" si="151"/>
        <v>0</v>
      </c>
      <c r="M94" s="12">
        <f t="shared" si="151"/>
        <v>1.3</v>
      </c>
      <c r="N94" s="12">
        <f t="shared" si="151"/>
        <v>0</v>
      </c>
      <c r="O94" s="12">
        <f t="shared" si="151"/>
        <v>11.33</v>
      </c>
      <c r="P94" s="12">
        <f t="shared" si="151"/>
        <v>35.47</v>
      </c>
      <c r="Q94" s="12">
        <f t="shared" si="151"/>
        <v>0</v>
      </c>
      <c r="R94" s="54">
        <f t="shared" si="151"/>
        <v>33.81</v>
      </c>
      <c r="S94" s="12">
        <f t="shared" si="151"/>
        <v>23.6</v>
      </c>
      <c r="T94" s="12">
        <f t="shared" si="151"/>
        <v>75.11999999999999</v>
      </c>
      <c r="U94" s="12">
        <f t="shared" si="151"/>
        <v>81.98</v>
      </c>
      <c r="V94" s="12">
        <f t="shared" si="151"/>
        <v>17.669999999999998</v>
      </c>
      <c r="W94" s="12">
        <f t="shared" si="151"/>
        <v>70.66</v>
      </c>
      <c r="X94" s="12">
        <f t="shared" si="151"/>
        <v>50.52000000000001</v>
      </c>
      <c r="Y94" s="12">
        <f t="shared" si="151"/>
        <v>0</v>
      </c>
      <c r="Z94" s="12">
        <f t="shared" si="151"/>
        <v>411.29</v>
      </c>
      <c r="AA94" s="150">
        <f t="shared" si="143"/>
        <v>2.6303755970931497E-2</v>
      </c>
      <c r="AB94" s="136"/>
      <c r="AC94" s="12">
        <f t="shared" si="144"/>
        <v>272.44</v>
      </c>
      <c r="AD94" s="12">
        <f t="shared" si="145"/>
        <v>138.85000000000002</v>
      </c>
      <c r="AE94" s="12">
        <f t="shared" si="147"/>
        <v>0</v>
      </c>
      <c r="AF94" s="12">
        <f t="shared" si="149"/>
        <v>411.29</v>
      </c>
      <c r="AG94" s="150">
        <f t="shared" si="150"/>
        <v>0.33759634321281823</v>
      </c>
    </row>
    <row r="95" spans="1:33" x14ac:dyDescent="0.35">
      <c r="A95" s="16" t="s">
        <v>26</v>
      </c>
      <c r="B95" s="12">
        <f t="shared" ref="B95:Z95" si="152">B399+B248</f>
        <v>26.5</v>
      </c>
      <c r="C95" s="12">
        <f t="shared" si="152"/>
        <v>1.76</v>
      </c>
      <c r="D95" s="12">
        <f t="shared" si="152"/>
        <v>0</v>
      </c>
      <c r="E95" s="12">
        <f t="shared" si="152"/>
        <v>4.16</v>
      </c>
      <c r="F95" s="12">
        <f t="shared" si="152"/>
        <v>3.06</v>
      </c>
      <c r="G95" s="12">
        <f t="shared" si="152"/>
        <v>0</v>
      </c>
      <c r="H95" s="12">
        <f t="shared" si="152"/>
        <v>0.72</v>
      </c>
      <c r="I95" s="12">
        <f t="shared" si="152"/>
        <v>0.89</v>
      </c>
      <c r="J95" s="12">
        <f t="shared" si="152"/>
        <v>0</v>
      </c>
      <c r="K95" s="12">
        <f t="shared" si="152"/>
        <v>2.3200000000000003</v>
      </c>
      <c r="L95" s="12">
        <f t="shared" si="152"/>
        <v>11.97</v>
      </c>
      <c r="M95" s="12">
        <f t="shared" si="152"/>
        <v>1.9600000000000002</v>
      </c>
      <c r="N95" s="12">
        <f t="shared" si="152"/>
        <v>6.38</v>
      </c>
      <c r="O95" s="12">
        <f t="shared" si="152"/>
        <v>5.98</v>
      </c>
      <c r="P95" s="12">
        <f t="shared" si="152"/>
        <v>9.08</v>
      </c>
      <c r="Q95" s="12">
        <f t="shared" si="152"/>
        <v>114.3</v>
      </c>
      <c r="R95" s="54">
        <f t="shared" si="152"/>
        <v>11.350000000000001</v>
      </c>
      <c r="S95" s="12">
        <f t="shared" si="152"/>
        <v>24.770000000000003</v>
      </c>
      <c r="T95" s="12">
        <f t="shared" si="152"/>
        <v>20.020000000000003</v>
      </c>
      <c r="U95" s="12">
        <f t="shared" si="152"/>
        <v>54.579999999999991</v>
      </c>
      <c r="V95" s="12">
        <f t="shared" si="152"/>
        <v>57.21</v>
      </c>
      <c r="W95" s="12">
        <f t="shared" si="152"/>
        <v>111.64999999999999</v>
      </c>
      <c r="X95" s="12">
        <f t="shared" si="152"/>
        <v>41.940000000000005</v>
      </c>
      <c r="Y95" s="12">
        <f t="shared" si="152"/>
        <v>0.36000000000000004</v>
      </c>
      <c r="Z95" s="12">
        <f t="shared" si="152"/>
        <v>510.96000000000004</v>
      </c>
      <c r="AA95" s="150">
        <f t="shared" si="143"/>
        <v>3.2678079094816695E-2</v>
      </c>
      <c r="AB95" s="136"/>
      <c r="AC95" s="12">
        <f t="shared" si="144"/>
        <v>299.8</v>
      </c>
      <c r="AD95" s="12">
        <f t="shared" si="145"/>
        <v>210.79999999999998</v>
      </c>
      <c r="AE95" s="54">
        <f t="shared" si="147"/>
        <v>0.36000000000000004</v>
      </c>
      <c r="AF95" s="12">
        <f t="shared" si="149"/>
        <v>510.96000000000004</v>
      </c>
      <c r="AG95" s="150">
        <f t="shared" si="150"/>
        <v>0.41255675591044305</v>
      </c>
    </row>
    <row r="96" spans="1:33" x14ac:dyDescent="0.35">
      <c r="A96" s="16" t="s">
        <v>27</v>
      </c>
      <c r="B96" s="12">
        <f t="shared" ref="B96:Z96" si="153">B400+B249</f>
        <v>0</v>
      </c>
      <c r="C96" s="12">
        <f t="shared" si="153"/>
        <v>0</v>
      </c>
      <c r="D96" s="12">
        <f t="shared" si="153"/>
        <v>0</v>
      </c>
      <c r="E96" s="12">
        <f t="shared" si="153"/>
        <v>0</v>
      </c>
      <c r="F96" s="12">
        <f t="shared" si="153"/>
        <v>0</v>
      </c>
      <c r="G96" s="12">
        <f t="shared" si="153"/>
        <v>0</v>
      </c>
      <c r="H96" s="12">
        <f t="shared" si="153"/>
        <v>0</v>
      </c>
      <c r="I96" s="12">
        <f t="shared" si="153"/>
        <v>0</v>
      </c>
      <c r="J96" s="12">
        <f t="shared" si="153"/>
        <v>0</v>
      </c>
      <c r="K96" s="12">
        <f t="shared" si="153"/>
        <v>0</v>
      </c>
      <c r="L96" s="12">
        <f t="shared" si="153"/>
        <v>0</v>
      </c>
      <c r="M96" s="12">
        <f t="shared" si="153"/>
        <v>0</v>
      </c>
      <c r="N96" s="12">
        <f t="shared" si="153"/>
        <v>0</v>
      </c>
      <c r="O96" s="12">
        <f t="shared" si="153"/>
        <v>0</v>
      </c>
      <c r="P96" s="12">
        <f t="shared" si="153"/>
        <v>0</v>
      </c>
      <c r="Q96" s="12">
        <f t="shared" si="153"/>
        <v>0</v>
      </c>
      <c r="R96" s="54">
        <f t="shared" si="153"/>
        <v>0</v>
      </c>
      <c r="S96" s="12">
        <f t="shared" si="153"/>
        <v>0.02</v>
      </c>
      <c r="T96" s="12">
        <f t="shared" si="153"/>
        <v>0</v>
      </c>
      <c r="U96" s="12">
        <f t="shared" si="153"/>
        <v>0</v>
      </c>
      <c r="V96" s="12">
        <f t="shared" si="153"/>
        <v>0</v>
      </c>
      <c r="W96" s="12">
        <f t="shared" si="153"/>
        <v>11.2</v>
      </c>
      <c r="X96" s="12">
        <f t="shared" si="153"/>
        <v>0</v>
      </c>
      <c r="Y96" s="12">
        <f t="shared" si="153"/>
        <v>0</v>
      </c>
      <c r="Z96" s="12">
        <f t="shared" si="153"/>
        <v>11.219999999999999</v>
      </c>
      <c r="AA96" s="150">
        <f t="shared" si="143"/>
        <v>7.1756702568467824E-4</v>
      </c>
      <c r="AB96" s="136"/>
      <c r="AC96" s="12">
        <f t="shared" si="144"/>
        <v>0.02</v>
      </c>
      <c r="AD96" s="12">
        <f t="shared" si="145"/>
        <v>11.2</v>
      </c>
      <c r="AE96" s="12">
        <f t="shared" si="147"/>
        <v>0</v>
      </c>
      <c r="AF96" s="12">
        <f t="shared" si="149"/>
        <v>11.219999999999999</v>
      </c>
      <c r="AG96" s="150"/>
    </row>
    <row r="97" spans="1:43" x14ac:dyDescent="0.35">
      <c r="A97" s="16" t="s">
        <v>28</v>
      </c>
      <c r="B97" s="12">
        <f t="shared" ref="B97:Z97" si="154">B401+B250</f>
        <v>33.89</v>
      </c>
      <c r="C97" s="12">
        <f t="shared" si="154"/>
        <v>0</v>
      </c>
      <c r="D97" s="12">
        <f t="shared" si="154"/>
        <v>0.52</v>
      </c>
      <c r="E97" s="12">
        <f t="shared" si="154"/>
        <v>0</v>
      </c>
      <c r="F97" s="12">
        <f t="shared" si="154"/>
        <v>0</v>
      </c>
      <c r="G97" s="12">
        <f t="shared" si="154"/>
        <v>0</v>
      </c>
      <c r="H97" s="12">
        <f t="shared" si="154"/>
        <v>5.01</v>
      </c>
      <c r="I97" s="12">
        <f t="shared" si="154"/>
        <v>0</v>
      </c>
      <c r="J97" s="12">
        <f t="shared" si="154"/>
        <v>0</v>
      </c>
      <c r="K97" s="12">
        <f t="shared" si="154"/>
        <v>0</v>
      </c>
      <c r="L97" s="12">
        <f t="shared" si="154"/>
        <v>0</v>
      </c>
      <c r="M97" s="12">
        <f t="shared" si="154"/>
        <v>0.09</v>
      </c>
      <c r="N97" s="12">
        <f t="shared" si="154"/>
        <v>9.0500000000000007</v>
      </c>
      <c r="O97" s="12">
        <f t="shared" si="154"/>
        <v>2.34</v>
      </c>
      <c r="P97" s="12">
        <f t="shared" si="154"/>
        <v>12.67</v>
      </c>
      <c r="Q97" s="12">
        <f t="shared" si="154"/>
        <v>17.869999999999997</v>
      </c>
      <c r="R97" s="54">
        <f t="shared" si="154"/>
        <v>19.64</v>
      </c>
      <c r="S97" s="12">
        <f t="shared" si="154"/>
        <v>12.82</v>
      </c>
      <c r="T97" s="12">
        <f t="shared" si="154"/>
        <v>9.3699999999999992</v>
      </c>
      <c r="U97" s="12">
        <f t="shared" si="154"/>
        <v>17.920000000000002</v>
      </c>
      <c r="V97" s="12">
        <f t="shared" si="154"/>
        <v>25.509999999999998</v>
      </c>
      <c r="W97" s="12">
        <f t="shared" si="154"/>
        <v>28.61</v>
      </c>
      <c r="X97" s="12">
        <f t="shared" si="154"/>
        <v>31.14</v>
      </c>
      <c r="Y97" s="12">
        <f t="shared" si="154"/>
        <v>0.03</v>
      </c>
      <c r="Z97" s="12">
        <f t="shared" si="154"/>
        <v>226.48</v>
      </c>
      <c r="AA97" s="150">
        <f t="shared" si="143"/>
        <v>1.4484365416850798E-2</v>
      </c>
      <c r="AB97" s="133"/>
      <c r="AC97" s="12">
        <f t="shared" si="144"/>
        <v>141.19</v>
      </c>
      <c r="AD97" s="12">
        <f t="shared" si="145"/>
        <v>85.259999999999991</v>
      </c>
      <c r="AE97" s="12">
        <f t="shared" si="147"/>
        <v>0.03</v>
      </c>
      <c r="AF97" s="12">
        <f t="shared" si="149"/>
        <v>226.48</v>
      </c>
      <c r="AG97" s="150">
        <f t="shared" ref="AG97" si="155">AD97/AF97</f>
        <v>0.37645708230307312</v>
      </c>
    </row>
    <row r="98" spans="1:43" x14ac:dyDescent="0.35">
      <c r="A98" s="16" t="s">
        <v>29</v>
      </c>
      <c r="B98" s="12">
        <f t="shared" ref="B98:Z98" si="156">B402+B251</f>
        <v>0</v>
      </c>
      <c r="C98" s="12">
        <f t="shared" si="156"/>
        <v>0</v>
      </c>
      <c r="D98" s="12">
        <f t="shared" si="156"/>
        <v>0</v>
      </c>
      <c r="E98" s="12">
        <f t="shared" si="156"/>
        <v>0</v>
      </c>
      <c r="F98" s="12">
        <f t="shared" si="156"/>
        <v>0</v>
      </c>
      <c r="G98" s="12">
        <f t="shared" si="156"/>
        <v>0.22</v>
      </c>
      <c r="H98" s="12">
        <f t="shared" si="156"/>
        <v>0</v>
      </c>
      <c r="I98" s="12">
        <f t="shared" si="156"/>
        <v>0</v>
      </c>
      <c r="J98" s="12">
        <f t="shared" si="156"/>
        <v>0</v>
      </c>
      <c r="K98" s="12">
        <f t="shared" si="156"/>
        <v>0</v>
      </c>
      <c r="L98" s="12">
        <f t="shared" si="156"/>
        <v>0</v>
      </c>
      <c r="M98" s="12">
        <f t="shared" si="156"/>
        <v>0</v>
      </c>
      <c r="N98" s="12">
        <f t="shared" si="156"/>
        <v>4.17</v>
      </c>
      <c r="O98" s="12">
        <f t="shared" si="156"/>
        <v>0</v>
      </c>
      <c r="P98" s="12">
        <f t="shared" si="156"/>
        <v>0</v>
      </c>
      <c r="Q98" s="12">
        <f t="shared" si="156"/>
        <v>0</v>
      </c>
      <c r="R98" s="54">
        <f t="shared" si="156"/>
        <v>16.73</v>
      </c>
      <c r="S98" s="12">
        <f t="shared" si="156"/>
        <v>20.309999999999999</v>
      </c>
      <c r="T98" s="12">
        <f t="shared" si="156"/>
        <v>1.47</v>
      </c>
      <c r="U98" s="12">
        <f t="shared" si="156"/>
        <v>23.96</v>
      </c>
      <c r="V98" s="12">
        <f t="shared" si="156"/>
        <v>6.74</v>
      </c>
      <c r="W98" s="12">
        <f t="shared" si="156"/>
        <v>0</v>
      </c>
      <c r="X98" s="12">
        <f t="shared" si="156"/>
        <v>1.83</v>
      </c>
      <c r="Y98" s="12">
        <f t="shared" si="156"/>
        <v>0</v>
      </c>
      <c r="Z98" s="12">
        <f t="shared" si="156"/>
        <v>75.429999999999993</v>
      </c>
      <c r="AA98" s="150">
        <f t="shared" si="143"/>
        <v>4.8240713678605425E-3</v>
      </c>
      <c r="AB98" s="136"/>
      <c r="AC98" s="12">
        <f t="shared" si="144"/>
        <v>66.86</v>
      </c>
      <c r="AD98" s="12">
        <f t="shared" si="145"/>
        <v>8.57</v>
      </c>
      <c r="AE98" s="12">
        <f t="shared" si="147"/>
        <v>0</v>
      </c>
      <c r="AF98" s="12">
        <f t="shared" si="149"/>
        <v>75.430000000000007</v>
      </c>
      <c r="AG98" s="150"/>
    </row>
    <row r="99" spans="1:43" x14ac:dyDescent="0.35">
      <c r="A99" s="16" t="s">
        <v>30</v>
      </c>
      <c r="B99" s="12">
        <f t="shared" ref="B99:Z99" si="157">B403+B252</f>
        <v>0</v>
      </c>
      <c r="C99" s="12">
        <f t="shared" si="157"/>
        <v>0</v>
      </c>
      <c r="D99" s="12">
        <f t="shared" si="157"/>
        <v>0</v>
      </c>
      <c r="E99" s="12">
        <f t="shared" si="157"/>
        <v>0</v>
      </c>
      <c r="F99" s="12">
        <f t="shared" si="157"/>
        <v>0</v>
      </c>
      <c r="G99" s="12">
        <f t="shared" si="157"/>
        <v>2.48</v>
      </c>
      <c r="H99" s="12">
        <f t="shared" si="157"/>
        <v>10.06</v>
      </c>
      <c r="I99" s="12">
        <f t="shared" si="157"/>
        <v>1.27</v>
      </c>
      <c r="J99" s="12">
        <f t="shared" si="157"/>
        <v>0</v>
      </c>
      <c r="K99" s="12">
        <f t="shared" si="157"/>
        <v>0</v>
      </c>
      <c r="L99" s="12">
        <f t="shared" si="157"/>
        <v>2.73</v>
      </c>
      <c r="M99" s="12">
        <f t="shared" si="157"/>
        <v>0.49</v>
      </c>
      <c r="N99" s="12">
        <f t="shared" si="157"/>
        <v>1.94</v>
      </c>
      <c r="O99" s="12">
        <f t="shared" si="157"/>
        <v>2.19</v>
      </c>
      <c r="P99" s="12">
        <f t="shared" si="157"/>
        <v>0</v>
      </c>
      <c r="Q99" s="12">
        <f t="shared" si="157"/>
        <v>0</v>
      </c>
      <c r="R99" s="54">
        <f t="shared" si="157"/>
        <v>2.1799999999999997</v>
      </c>
      <c r="S99" s="12">
        <f t="shared" si="157"/>
        <v>4.7699999999999996</v>
      </c>
      <c r="T99" s="12">
        <f t="shared" si="157"/>
        <v>24.83</v>
      </c>
      <c r="U99" s="12">
        <f t="shared" si="157"/>
        <v>23.76</v>
      </c>
      <c r="V99" s="12">
        <f t="shared" si="157"/>
        <v>4.26</v>
      </c>
      <c r="W99" s="12">
        <f t="shared" si="157"/>
        <v>3.54</v>
      </c>
      <c r="X99" s="12">
        <f t="shared" si="157"/>
        <v>46.489999999999995</v>
      </c>
      <c r="Y99" s="12">
        <f t="shared" si="157"/>
        <v>0.09</v>
      </c>
      <c r="Z99" s="12">
        <f t="shared" si="157"/>
        <v>131.08000000000001</v>
      </c>
      <c r="AA99" s="150">
        <f t="shared" si="143"/>
        <v>8.3831270701201117E-3</v>
      </c>
      <c r="AB99" s="136"/>
      <c r="AC99" s="12">
        <f t="shared" si="144"/>
        <v>76.7</v>
      </c>
      <c r="AD99" s="12">
        <f t="shared" si="145"/>
        <v>54.289999999999992</v>
      </c>
      <c r="AE99" s="12">
        <f t="shared" si="147"/>
        <v>0.09</v>
      </c>
      <c r="AF99" s="12">
        <f t="shared" si="149"/>
        <v>131.08000000000001</v>
      </c>
      <c r="AG99" s="150">
        <f t="shared" ref="AG99" si="158">AD99/AF99</f>
        <v>0.41417454989319491</v>
      </c>
    </row>
    <row r="100" spans="1:43" x14ac:dyDescent="0.35">
      <c r="A100" s="11" t="s">
        <v>12</v>
      </c>
      <c r="B100" s="119">
        <f t="shared" ref="B100:Z100" si="159">B404+B253</f>
        <v>2.2799999999999998</v>
      </c>
      <c r="C100" s="119">
        <f t="shared" si="159"/>
        <v>0</v>
      </c>
      <c r="D100" s="119">
        <f t="shared" si="159"/>
        <v>0</v>
      </c>
      <c r="E100" s="119">
        <f t="shared" si="159"/>
        <v>0</v>
      </c>
      <c r="F100" s="119">
        <f t="shared" si="159"/>
        <v>0</v>
      </c>
      <c r="G100" s="119">
        <f t="shared" si="159"/>
        <v>0</v>
      </c>
      <c r="H100" s="119">
        <f t="shared" si="159"/>
        <v>0</v>
      </c>
      <c r="I100" s="119">
        <f t="shared" si="159"/>
        <v>0</v>
      </c>
      <c r="J100" s="119">
        <f t="shared" si="159"/>
        <v>0</v>
      </c>
      <c r="K100" s="119">
        <f t="shared" si="159"/>
        <v>0</v>
      </c>
      <c r="L100" s="119">
        <f t="shared" si="159"/>
        <v>0</v>
      </c>
      <c r="M100" s="119">
        <f t="shared" si="159"/>
        <v>0</v>
      </c>
      <c r="N100" s="119">
        <f t="shared" si="159"/>
        <v>0</v>
      </c>
      <c r="O100" s="119">
        <f t="shared" si="159"/>
        <v>0</v>
      </c>
      <c r="P100" s="119">
        <f t="shared" si="159"/>
        <v>4.71</v>
      </c>
      <c r="Q100" s="119">
        <f t="shared" si="159"/>
        <v>4.93</v>
      </c>
      <c r="R100" s="119">
        <f t="shared" si="159"/>
        <v>3.4699999999999998</v>
      </c>
      <c r="S100" s="119">
        <f t="shared" si="159"/>
        <v>30.849999999999998</v>
      </c>
      <c r="T100" s="119">
        <f t="shared" si="159"/>
        <v>78.42</v>
      </c>
      <c r="U100" s="119">
        <f t="shared" si="159"/>
        <v>160.71</v>
      </c>
      <c r="V100" s="119">
        <f t="shared" si="159"/>
        <v>68.2</v>
      </c>
      <c r="W100" s="119">
        <f t="shared" si="159"/>
        <v>103.53999999999999</v>
      </c>
      <c r="X100" s="119">
        <f t="shared" si="159"/>
        <v>30.910000000000004</v>
      </c>
      <c r="Y100" s="119">
        <f t="shared" si="159"/>
        <v>0.4</v>
      </c>
      <c r="Z100" s="119">
        <f t="shared" si="159"/>
        <v>488.42</v>
      </c>
      <c r="AA100" s="144">
        <f t="shared" si="143"/>
        <v>3.1236549615410929E-2</v>
      </c>
      <c r="AB100" s="136"/>
      <c r="AC100" s="119">
        <f t="shared" si="144"/>
        <v>285.37</v>
      </c>
      <c r="AD100" s="119">
        <f t="shared" si="145"/>
        <v>202.65</v>
      </c>
      <c r="AE100" s="119">
        <f t="shared" si="147"/>
        <v>0.4</v>
      </c>
      <c r="AF100" s="119">
        <f>SUM(AC100:AE100)</f>
        <v>488.41999999999996</v>
      </c>
      <c r="AG100" s="143">
        <f>AD100/AF100</f>
        <v>0.41490929937349008</v>
      </c>
    </row>
    <row r="101" spans="1:43" x14ac:dyDescent="0.35">
      <c r="A101" s="6" t="s">
        <v>31</v>
      </c>
      <c r="B101" s="12">
        <f t="shared" ref="B101:Z101" si="160">B405+B254</f>
        <v>0</v>
      </c>
      <c r="C101" s="12">
        <f t="shared" si="160"/>
        <v>0</v>
      </c>
      <c r="D101" s="12">
        <f t="shared" si="160"/>
        <v>0</v>
      </c>
      <c r="E101" s="12">
        <f t="shared" si="160"/>
        <v>0</v>
      </c>
      <c r="F101" s="12">
        <f t="shared" si="160"/>
        <v>0</v>
      </c>
      <c r="G101" s="12">
        <f t="shared" si="160"/>
        <v>0</v>
      </c>
      <c r="H101" s="12">
        <f t="shared" si="160"/>
        <v>0</v>
      </c>
      <c r="I101" s="12">
        <f t="shared" si="160"/>
        <v>0</v>
      </c>
      <c r="J101" s="12">
        <f t="shared" si="160"/>
        <v>0</v>
      </c>
      <c r="K101" s="12">
        <f t="shared" si="160"/>
        <v>0</v>
      </c>
      <c r="L101" s="12">
        <f t="shared" si="160"/>
        <v>0</v>
      </c>
      <c r="M101" s="12">
        <f t="shared" si="160"/>
        <v>0</v>
      </c>
      <c r="N101" s="12">
        <f t="shared" si="160"/>
        <v>0</v>
      </c>
      <c r="O101" s="12">
        <f t="shared" si="160"/>
        <v>0</v>
      </c>
      <c r="P101" s="12">
        <f t="shared" si="160"/>
        <v>0</v>
      </c>
      <c r="Q101" s="12">
        <f t="shared" si="160"/>
        <v>2.76</v>
      </c>
      <c r="R101" s="54">
        <f t="shared" si="160"/>
        <v>2.02</v>
      </c>
      <c r="S101" s="12">
        <f t="shared" si="160"/>
        <v>0.46</v>
      </c>
      <c r="T101" s="12">
        <f t="shared" si="160"/>
        <v>7.17</v>
      </c>
      <c r="U101" s="12">
        <f t="shared" si="160"/>
        <v>42.15</v>
      </c>
      <c r="V101" s="12">
        <f t="shared" si="160"/>
        <v>23.71</v>
      </c>
      <c r="W101" s="12">
        <f t="shared" si="160"/>
        <v>40.49</v>
      </c>
      <c r="X101" s="12">
        <f t="shared" si="160"/>
        <v>4.16</v>
      </c>
      <c r="Y101" s="12">
        <f t="shared" si="160"/>
        <v>0.16</v>
      </c>
      <c r="Z101" s="12">
        <f t="shared" si="160"/>
        <v>123.08000000000001</v>
      </c>
      <c r="AA101" s="150">
        <f t="shared" si="143"/>
        <v>7.8714928272076851E-3</v>
      </c>
      <c r="AB101" s="133"/>
      <c r="AC101" s="12">
        <f t="shared" si="144"/>
        <v>54.56</v>
      </c>
      <c r="AD101" s="12">
        <f t="shared" si="145"/>
        <v>68.36</v>
      </c>
      <c r="AE101" s="12">
        <f t="shared" si="147"/>
        <v>0.16</v>
      </c>
      <c r="AF101" s="12">
        <f t="shared" ref="AF101:AF103" si="161">SUM(AC101:AE101)</f>
        <v>123.08</v>
      </c>
      <c r="AG101" s="150"/>
    </row>
    <row r="102" spans="1:43" x14ac:dyDescent="0.35">
      <c r="A102" s="6" t="s">
        <v>32</v>
      </c>
      <c r="B102" s="12">
        <f t="shared" ref="B102:Z102" si="162">B406+B255</f>
        <v>0</v>
      </c>
      <c r="C102" s="12">
        <f t="shared" si="162"/>
        <v>0</v>
      </c>
      <c r="D102" s="12">
        <f t="shared" si="162"/>
        <v>0</v>
      </c>
      <c r="E102" s="12">
        <f t="shared" si="162"/>
        <v>0</v>
      </c>
      <c r="F102" s="12">
        <f t="shared" si="162"/>
        <v>0</v>
      </c>
      <c r="G102" s="12">
        <f t="shared" si="162"/>
        <v>0</v>
      </c>
      <c r="H102" s="12">
        <f t="shared" si="162"/>
        <v>0</v>
      </c>
      <c r="I102" s="12">
        <f t="shared" si="162"/>
        <v>0</v>
      </c>
      <c r="J102" s="12">
        <f t="shared" si="162"/>
        <v>0</v>
      </c>
      <c r="K102" s="12">
        <f t="shared" si="162"/>
        <v>0</v>
      </c>
      <c r="L102" s="12">
        <f t="shared" si="162"/>
        <v>0</v>
      </c>
      <c r="M102" s="12">
        <f t="shared" si="162"/>
        <v>0</v>
      </c>
      <c r="N102" s="12">
        <f t="shared" si="162"/>
        <v>0</v>
      </c>
      <c r="O102" s="12">
        <f t="shared" si="162"/>
        <v>0</v>
      </c>
      <c r="P102" s="12">
        <f t="shared" si="162"/>
        <v>4.71</v>
      </c>
      <c r="Q102" s="12">
        <f t="shared" si="162"/>
        <v>0.27</v>
      </c>
      <c r="R102" s="54">
        <f t="shared" si="162"/>
        <v>0.31</v>
      </c>
      <c r="S102" s="12">
        <f t="shared" si="162"/>
        <v>9.93</v>
      </c>
      <c r="T102" s="12">
        <f t="shared" si="162"/>
        <v>3.44</v>
      </c>
      <c r="U102" s="12">
        <f t="shared" si="162"/>
        <v>13.11</v>
      </c>
      <c r="V102" s="12">
        <f t="shared" si="162"/>
        <v>5.6400000000000006</v>
      </c>
      <c r="W102" s="12">
        <f t="shared" si="162"/>
        <v>10.130000000000001</v>
      </c>
      <c r="X102" s="12">
        <f t="shared" si="162"/>
        <v>5.85</v>
      </c>
      <c r="Y102" s="12">
        <f t="shared" si="162"/>
        <v>0.16</v>
      </c>
      <c r="Z102" s="12">
        <f t="shared" si="162"/>
        <v>53.55</v>
      </c>
      <c r="AA102" s="150">
        <f t="shared" si="143"/>
        <v>3.4247517134950558E-3</v>
      </c>
      <c r="AB102" s="136"/>
      <c r="AC102" s="12">
        <f t="shared" si="144"/>
        <v>31.77</v>
      </c>
      <c r="AD102" s="12">
        <f t="shared" si="145"/>
        <v>21.62</v>
      </c>
      <c r="AE102" s="12">
        <f t="shared" si="147"/>
        <v>0.16</v>
      </c>
      <c r="AF102" s="12">
        <f t="shared" si="161"/>
        <v>53.55</v>
      </c>
      <c r="AG102" s="150">
        <f t="shared" ref="AG102:AG103" si="163">AD102/AF102</f>
        <v>0.40373482726423909</v>
      </c>
    </row>
    <row r="103" spans="1:43" x14ac:dyDescent="0.35">
      <c r="A103" s="6" t="s">
        <v>33</v>
      </c>
      <c r="B103" s="12">
        <f t="shared" ref="B103:Z103" si="164">B407+B256</f>
        <v>2.2799999999999998</v>
      </c>
      <c r="C103" s="12">
        <f t="shared" si="164"/>
        <v>0</v>
      </c>
      <c r="D103" s="12">
        <f t="shared" si="164"/>
        <v>0</v>
      </c>
      <c r="E103" s="12">
        <f t="shared" si="164"/>
        <v>0</v>
      </c>
      <c r="F103" s="12">
        <f t="shared" si="164"/>
        <v>0</v>
      </c>
      <c r="G103" s="12">
        <f t="shared" si="164"/>
        <v>0</v>
      </c>
      <c r="H103" s="12">
        <f t="shared" si="164"/>
        <v>0</v>
      </c>
      <c r="I103" s="12">
        <f t="shared" si="164"/>
        <v>0</v>
      </c>
      <c r="J103" s="12">
        <f t="shared" si="164"/>
        <v>0</v>
      </c>
      <c r="K103" s="12">
        <f t="shared" si="164"/>
        <v>0</v>
      </c>
      <c r="L103" s="12">
        <f t="shared" si="164"/>
        <v>0</v>
      </c>
      <c r="M103" s="12">
        <f t="shared" si="164"/>
        <v>0</v>
      </c>
      <c r="N103" s="12">
        <f t="shared" si="164"/>
        <v>0</v>
      </c>
      <c r="O103" s="12">
        <f t="shared" si="164"/>
        <v>0</v>
      </c>
      <c r="P103" s="12">
        <f t="shared" si="164"/>
        <v>0</v>
      </c>
      <c r="Q103" s="12">
        <f t="shared" si="164"/>
        <v>1.9</v>
      </c>
      <c r="R103" s="54">
        <f t="shared" si="164"/>
        <v>1.1399999999999999</v>
      </c>
      <c r="S103" s="12">
        <f t="shared" si="164"/>
        <v>20.459999999999997</v>
      </c>
      <c r="T103" s="12">
        <f t="shared" si="164"/>
        <v>67.81</v>
      </c>
      <c r="U103" s="12">
        <f t="shared" si="164"/>
        <v>105.45000000000002</v>
      </c>
      <c r="V103" s="12">
        <f t="shared" si="164"/>
        <v>38.85</v>
      </c>
      <c r="W103" s="12">
        <f t="shared" si="164"/>
        <v>52.919999999999987</v>
      </c>
      <c r="X103" s="12">
        <f t="shared" si="164"/>
        <v>20.9</v>
      </c>
      <c r="Y103" s="12">
        <f t="shared" si="164"/>
        <v>0.08</v>
      </c>
      <c r="Z103" s="12">
        <f t="shared" si="164"/>
        <v>311.78999999999996</v>
      </c>
      <c r="AA103" s="150">
        <f t="shared" si="143"/>
        <v>1.9940305074708186E-2</v>
      </c>
      <c r="AB103" s="136"/>
      <c r="AC103" s="12">
        <f t="shared" si="144"/>
        <v>199.04000000000002</v>
      </c>
      <c r="AD103" s="12">
        <f t="shared" si="145"/>
        <v>112.66999999999999</v>
      </c>
      <c r="AE103" s="12">
        <f t="shared" si="147"/>
        <v>0.08</v>
      </c>
      <c r="AF103" s="12">
        <f t="shared" si="161"/>
        <v>311.79000000000002</v>
      </c>
      <c r="AG103" s="150">
        <f t="shared" si="163"/>
        <v>0.36136502132845821</v>
      </c>
    </row>
    <row r="104" spans="1:43" x14ac:dyDescent="0.35">
      <c r="A104" s="11" t="s">
        <v>13</v>
      </c>
      <c r="B104" s="119">
        <f t="shared" ref="B104:Z104" si="165">B408+B257</f>
        <v>0.88</v>
      </c>
      <c r="C104" s="119">
        <f t="shared" si="165"/>
        <v>0.05</v>
      </c>
      <c r="D104" s="119">
        <f t="shared" si="165"/>
        <v>0</v>
      </c>
      <c r="E104" s="119">
        <f t="shared" si="165"/>
        <v>0</v>
      </c>
      <c r="F104" s="119">
        <f t="shared" si="165"/>
        <v>0</v>
      </c>
      <c r="G104" s="119">
        <f t="shared" si="165"/>
        <v>0</v>
      </c>
      <c r="H104" s="119">
        <f t="shared" si="165"/>
        <v>0.93</v>
      </c>
      <c r="I104" s="119">
        <f t="shared" si="165"/>
        <v>0</v>
      </c>
      <c r="J104" s="119">
        <f t="shared" si="165"/>
        <v>0</v>
      </c>
      <c r="K104" s="119">
        <f t="shared" si="165"/>
        <v>0</v>
      </c>
      <c r="L104" s="119">
        <f t="shared" si="165"/>
        <v>0</v>
      </c>
      <c r="M104" s="119">
        <f t="shared" si="165"/>
        <v>0</v>
      </c>
      <c r="N104" s="119">
        <f t="shared" si="165"/>
        <v>0</v>
      </c>
      <c r="O104" s="119">
        <f t="shared" si="165"/>
        <v>0</v>
      </c>
      <c r="P104" s="119">
        <f t="shared" si="165"/>
        <v>0</v>
      </c>
      <c r="Q104" s="119">
        <f t="shared" si="165"/>
        <v>5.84</v>
      </c>
      <c r="R104" s="119">
        <f t="shared" si="165"/>
        <v>0.73</v>
      </c>
      <c r="S104" s="119">
        <f t="shared" si="165"/>
        <v>16.47</v>
      </c>
      <c r="T104" s="119">
        <f t="shared" si="165"/>
        <v>6.6300000000000008</v>
      </c>
      <c r="U104" s="119">
        <f t="shared" si="165"/>
        <v>1.52</v>
      </c>
      <c r="V104" s="119">
        <f t="shared" si="165"/>
        <v>1.73</v>
      </c>
      <c r="W104" s="119">
        <f t="shared" si="165"/>
        <v>9.16</v>
      </c>
      <c r="X104" s="119">
        <f t="shared" si="165"/>
        <v>0</v>
      </c>
      <c r="Y104" s="119">
        <f t="shared" si="165"/>
        <v>0.01</v>
      </c>
      <c r="Z104" s="119">
        <f t="shared" si="165"/>
        <v>43.95</v>
      </c>
      <c r="AA104" s="144">
        <f t="shared" si="143"/>
        <v>2.8107906220001442E-3</v>
      </c>
      <c r="AC104" s="119">
        <f t="shared" si="144"/>
        <v>33.050000000000004</v>
      </c>
      <c r="AD104" s="119">
        <f t="shared" si="145"/>
        <v>10.89</v>
      </c>
      <c r="AE104" s="119">
        <f t="shared" si="147"/>
        <v>0.01</v>
      </c>
      <c r="AF104" s="119">
        <f>SUM(AC104:AE104)</f>
        <v>43.95</v>
      </c>
      <c r="AG104" s="143">
        <f>AD104/AF104</f>
        <v>0.24778156996587031</v>
      </c>
    </row>
    <row r="105" spans="1:43" x14ac:dyDescent="0.35">
      <c r="A105" s="6" t="s">
        <v>34</v>
      </c>
      <c r="B105" s="12">
        <f t="shared" ref="B105:Z105" si="166">B409+B258</f>
        <v>0</v>
      </c>
      <c r="C105" s="12">
        <f t="shared" si="166"/>
        <v>0</v>
      </c>
      <c r="D105" s="12">
        <f t="shared" si="166"/>
        <v>0</v>
      </c>
      <c r="E105" s="12">
        <f t="shared" si="166"/>
        <v>0</v>
      </c>
      <c r="F105" s="12">
        <f t="shared" si="166"/>
        <v>0</v>
      </c>
      <c r="G105" s="12">
        <f t="shared" si="166"/>
        <v>0</v>
      </c>
      <c r="H105" s="12">
        <f t="shared" si="166"/>
        <v>0.93</v>
      </c>
      <c r="I105" s="12">
        <f t="shared" si="166"/>
        <v>0</v>
      </c>
      <c r="J105" s="12">
        <f t="shared" si="166"/>
        <v>0</v>
      </c>
      <c r="K105" s="12">
        <f t="shared" si="166"/>
        <v>0</v>
      </c>
      <c r="L105" s="12">
        <f t="shared" si="166"/>
        <v>0</v>
      </c>
      <c r="M105" s="12">
        <f t="shared" si="166"/>
        <v>0</v>
      </c>
      <c r="N105" s="12">
        <f t="shared" si="166"/>
        <v>0</v>
      </c>
      <c r="O105" s="12">
        <f t="shared" si="166"/>
        <v>0</v>
      </c>
      <c r="P105" s="12">
        <f t="shared" si="166"/>
        <v>0</v>
      </c>
      <c r="Q105" s="12">
        <f t="shared" si="166"/>
        <v>5.84</v>
      </c>
      <c r="R105" s="54">
        <f t="shared" si="166"/>
        <v>0</v>
      </c>
      <c r="S105" s="12">
        <f t="shared" si="166"/>
        <v>1.1599999999999999</v>
      </c>
      <c r="T105" s="12">
        <f t="shared" si="166"/>
        <v>5.03</v>
      </c>
      <c r="U105" s="12">
        <f t="shared" si="166"/>
        <v>1.45</v>
      </c>
      <c r="V105" s="12">
        <f t="shared" si="166"/>
        <v>1.73</v>
      </c>
      <c r="W105" s="12">
        <f t="shared" si="166"/>
        <v>0</v>
      </c>
      <c r="X105" s="12">
        <f t="shared" si="166"/>
        <v>0</v>
      </c>
      <c r="Y105" s="12">
        <f t="shared" si="166"/>
        <v>0</v>
      </c>
      <c r="Z105" s="12">
        <f t="shared" si="166"/>
        <v>16.14</v>
      </c>
      <c r="AA105" s="150">
        <f t="shared" si="143"/>
        <v>1.0322220850758207E-3</v>
      </c>
      <c r="AC105" s="12">
        <f t="shared" si="144"/>
        <v>14.41</v>
      </c>
      <c r="AD105" s="12">
        <f t="shared" si="145"/>
        <v>1.73</v>
      </c>
      <c r="AE105" s="12">
        <f t="shared" si="147"/>
        <v>0</v>
      </c>
      <c r="AF105" s="12">
        <f>SUM(AC105:AE105)</f>
        <v>16.14</v>
      </c>
      <c r="AG105" s="150">
        <f t="shared" ref="AG105" si="167">AD105/AF105</f>
        <v>0.10718711276332094</v>
      </c>
    </row>
    <row r="106" spans="1:43" x14ac:dyDescent="0.35">
      <c r="A106" s="6" t="s">
        <v>61</v>
      </c>
      <c r="B106" s="12">
        <f t="shared" ref="B106:Z106" si="168">B410+B259</f>
        <v>0</v>
      </c>
      <c r="C106" s="12">
        <f t="shared" si="168"/>
        <v>0.05</v>
      </c>
      <c r="D106" s="12">
        <f t="shared" si="168"/>
        <v>0</v>
      </c>
      <c r="E106" s="12">
        <f t="shared" si="168"/>
        <v>0</v>
      </c>
      <c r="F106" s="12">
        <f t="shared" si="168"/>
        <v>0</v>
      </c>
      <c r="G106" s="12">
        <f t="shared" si="168"/>
        <v>0</v>
      </c>
      <c r="H106" s="12">
        <f t="shared" si="168"/>
        <v>0</v>
      </c>
      <c r="I106" s="12">
        <f t="shared" si="168"/>
        <v>0</v>
      </c>
      <c r="J106" s="12">
        <f t="shared" si="168"/>
        <v>0</v>
      </c>
      <c r="K106" s="12">
        <f t="shared" si="168"/>
        <v>0</v>
      </c>
      <c r="L106" s="12">
        <f t="shared" si="168"/>
        <v>0</v>
      </c>
      <c r="M106" s="12">
        <f t="shared" si="168"/>
        <v>0</v>
      </c>
      <c r="N106" s="12">
        <f t="shared" si="168"/>
        <v>0</v>
      </c>
      <c r="O106" s="12">
        <f t="shared" si="168"/>
        <v>0</v>
      </c>
      <c r="P106" s="12">
        <f t="shared" si="168"/>
        <v>0</v>
      </c>
      <c r="Q106" s="12">
        <f t="shared" si="168"/>
        <v>0</v>
      </c>
      <c r="R106" s="54">
        <f t="shared" si="168"/>
        <v>0</v>
      </c>
      <c r="S106" s="12">
        <f t="shared" si="168"/>
        <v>0</v>
      </c>
      <c r="T106" s="12">
        <f t="shared" si="168"/>
        <v>0.93</v>
      </c>
      <c r="U106" s="12">
        <f t="shared" si="168"/>
        <v>0</v>
      </c>
      <c r="V106" s="12">
        <f t="shared" si="168"/>
        <v>0</v>
      </c>
      <c r="W106" s="12">
        <f t="shared" si="168"/>
        <v>0</v>
      </c>
      <c r="X106" s="12">
        <f t="shared" si="168"/>
        <v>0</v>
      </c>
      <c r="Y106" s="12">
        <f t="shared" si="168"/>
        <v>0</v>
      </c>
      <c r="Z106" s="12">
        <f t="shared" si="168"/>
        <v>0.98000000000000009</v>
      </c>
      <c r="AA106" s="150">
        <f t="shared" si="143"/>
        <v>6.2675194756772265E-5</v>
      </c>
      <c r="AC106" s="12">
        <f t="shared" si="144"/>
        <v>0.98000000000000009</v>
      </c>
      <c r="AD106" s="12">
        <f t="shared" si="145"/>
        <v>0</v>
      </c>
      <c r="AE106" s="12">
        <f t="shared" si="147"/>
        <v>0</v>
      </c>
      <c r="AF106" s="12">
        <f>SUM(AC106:AE106)</f>
        <v>0.98000000000000009</v>
      </c>
      <c r="AG106" s="150"/>
    </row>
    <row r="107" spans="1:43" x14ac:dyDescent="0.35">
      <c r="A107" s="6" t="s">
        <v>36</v>
      </c>
      <c r="B107" s="12">
        <f t="shared" ref="B107:Z107" si="169">B411+B260</f>
        <v>0.88</v>
      </c>
      <c r="C107" s="12">
        <f t="shared" si="169"/>
        <v>0</v>
      </c>
      <c r="D107" s="12">
        <f t="shared" si="169"/>
        <v>0</v>
      </c>
      <c r="E107" s="12">
        <f t="shared" si="169"/>
        <v>0</v>
      </c>
      <c r="F107" s="12">
        <f t="shared" si="169"/>
        <v>0</v>
      </c>
      <c r="G107" s="12">
        <f t="shared" si="169"/>
        <v>0</v>
      </c>
      <c r="H107" s="12">
        <f t="shared" si="169"/>
        <v>0</v>
      </c>
      <c r="I107" s="12">
        <f t="shared" si="169"/>
        <v>0</v>
      </c>
      <c r="J107" s="12">
        <f t="shared" si="169"/>
        <v>0</v>
      </c>
      <c r="K107" s="12">
        <f t="shared" si="169"/>
        <v>0</v>
      </c>
      <c r="L107" s="12">
        <f t="shared" si="169"/>
        <v>0</v>
      </c>
      <c r="M107" s="12">
        <f t="shared" si="169"/>
        <v>0</v>
      </c>
      <c r="N107" s="12">
        <f t="shared" si="169"/>
        <v>0</v>
      </c>
      <c r="O107" s="12">
        <f t="shared" si="169"/>
        <v>0</v>
      </c>
      <c r="P107" s="12">
        <f t="shared" si="169"/>
        <v>0</v>
      </c>
      <c r="Q107" s="12">
        <f t="shared" si="169"/>
        <v>0</v>
      </c>
      <c r="R107" s="54">
        <f t="shared" si="169"/>
        <v>0.73</v>
      </c>
      <c r="S107" s="12">
        <f t="shared" si="169"/>
        <v>15.31</v>
      </c>
      <c r="T107" s="12">
        <f t="shared" si="169"/>
        <v>0.67</v>
      </c>
      <c r="U107" s="12">
        <f t="shared" si="169"/>
        <v>7.0000000000000007E-2</v>
      </c>
      <c r="V107" s="12">
        <f t="shared" si="169"/>
        <v>0</v>
      </c>
      <c r="W107" s="12">
        <f t="shared" si="169"/>
        <v>9.16</v>
      </c>
      <c r="X107" s="12">
        <f t="shared" si="169"/>
        <v>0</v>
      </c>
      <c r="Y107" s="12">
        <f t="shared" si="169"/>
        <v>0.01</v>
      </c>
      <c r="Z107" s="12">
        <f t="shared" si="169"/>
        <v>26.830000000000005</v>
      </c>
      <c r="AA107" s="150">
        <f t="shared" si="143"/>
        <v>1.7158933421675513E-3</v>
      </c>
      <c r="AC107" s="12">
        <f t="shared" si="144"/>
        <v>17.660000000000004</v>
      </c>
      <c r="AD107" s="12">
        <f t="shared" si="145"/>
        <v>9.16</v>
      </c>
      <c r="AE107" s="12">
        <f t="shared" si="147"/>
        <v>0.01</v>
      </c>
      <c r="AF107" s="12">
        <f>SUM(AC107:AE107)</f>
        <v>26.830000000000005</v>
      </c>
      <c r="AG107" s="150"/>
      <c r="AN107" s="342"/>
      <c r="AO107" s="342" t="s">
        <v>256</v>
      </c>
      <c r="AP107" s="342" t="s">
        <v>96</v>
      </c>
      <c r="AQ107" s="342" t="s">
        <v>257</v>
      </c>
    </row>
    <row r="108" spans="1:43" x14ac:dyDescent="0.35">
      <c r="A108" s="11" t="s">
        <v>14</v>
      </c>
      <c r="B108" s="119">
        <f t="shared" ref="B108:Z108" si="170">B412+B261</f>
        <v>120.97</v>
      </c>
      <c r="C108" s="119">
        <f t="shared" si="170"/>
        <v>4.7</v>
      </c>
      <c r="D108" s="119">
        <f t="shared" si="170"/>
        <v>0</v>
      </c>
      <c r="E108" s="119">
        <f t="shared" si="170"/>
        <v>0</v>
      </c>
      <c r="F108" s="119">
        <f t="shared" si="170"/>
        <v>0</v>
      </c>
      <c r="G108" s="119">
        <f t="shared" si="170"/>
        <v>0</v>
      </c>
      <c r="H108" s="119">
        <f t="shared" si="170"/>
        <v>1.04</v>
      </c>
      <c r="I108" s="119">
        <f t="shared" si="170"/>
        <v>0</v>
      </c>
      <c r="J108" s="119">
        <f t="shared" si="170"/>
        <v>1.01</v>
      </c>
      <c r="K108" s="119">
        <f t="shared" si="170"/>
        <v>0.39</v>
      </c>
      <c r="L108" s="119">
        <f t="shared" si="170"/>
        <v>0</v>
      </c>
      <c r="M108" s="119">
        <f t="shared" si="170"/>
        <v>0</v>
      </c>
      <c r="N108" s="119">
        <f t="shared" si="170"/>
        <v>0</v>
      </c>
      <c r="O108" s="119">
        <f t="shared" si="170"/>
        <v>1.77</v>
      </c>
      <c r="P108" s="119">
        <f t="shared" si="170"/>
        <v>0.36</v>
      </c>
      <c r="Q108" s="119">
        <f t="shared" si="170"/>
        <v>0</v>
      </c>
      <c r="R108" s="119">
        <f t="shared" si="170"/>
        <v>18.509999999999998</v>
      </c>
      <c r="S108" s="119">
        <f t="shared" si="170"/>
        <v>39.57</v>
      </c>
      <c r="T108" s="119">
        <f t="shared" si="170"/>
        <v>23.880000000000003</v>
      </c>
      <c r="U108" s="119">
        <f t="shared" si="170"/>
        <v>40.33</v>
      </c>
      <c r="V108" s="119">
        <f t="shared" si="170"/>
        <v>30.990000000000002</v>
      </c>
      <c r="W108" s="119">
        <f t="shared" si="170"/>
        <v>70.490000000000009</v>
      </c>
      <c r="X108" s="119">
        <f t="shared" si="170"/>
        <v>103.08000000000001</v>
      </c>
      <c r="Y108" s="119">
        <f t="shared" si="170"/>
        <v>0</v>
      </c>
      <c r="Z108" s="119">
        <f t="shared" si="170"/>
        <v>457.09000000000003</v>
      </c>
      <c r="AA108" s="144">
        <f t="shared" si="143"/>
        <v>2.9232862011605139E-2</v>
      </c>
      <c r="AC108" s="119">
        <f t="shared" si="144"/>
        <v>252.53000000000003</v>
      </c>
      <c r="AD108" s="119">
        <f t="shared" si="145"/>
        <v>204.56000000000003</v>
      </c>
      <c r="AE108" s="119">
        <f t="shared" si="147"/>
        <v>0</v>
      </c>
      <c r="AF108" s="119">
        <f>SUM(AC108:AE108)</f>
        <v>457.09000000000003</v>
      </c>
      <c r="AG108" s="143">
        <f>AD108/AF108</f>
        <v>0.44752674527992303</v>
      </c>
      <c r="AI108" s="210" t="s">
        <v>255</v>
      </c>
      <c r="AN108" s="118" t="s">
        <v>15</v>
      </c>
      <c r="AO108" s="343">
        <v>5740.67</v>
      </c>
      <c r="AP108" s="343">
        <v>11399.79</v>
      </c>
      <c r="AQ108" s="190">
        <f t="shared" ref="AQ108" si="171">AO108/AP108</f>
        <v>0.50357682027475936</v>
      </c>
    </row>
    <row r="109" spans="1:43" x14ac:dyDescent="0.35">
      <c r="A109" s="6" t="s">
        <v>37</v>
      </c>
      <c r="B109" s="12">
        <f t="shared" ref="B109:Z109" si="172">B413+B262</f>
        <v>0</v>
      </c>
      <c r="C109" s="12">
        <f t="shared" si="172"/>
        <v>0</v>
      </c>
      <c r="D109" s="12">
        <f t="shared" si="172"/>
        <v>0</v>
      </c>
      <c r="E109" s="12">
        <f t="shared" si="172"/>
        <v>0</v>
      </c>
      <c r="F109" s="12">
        <f t="shared" si="172"/>
        <v>0</v>
      </c>
      <c r="G109" s="12">
        <f t="shared" si="172"/>
        <v>0</v>
      </c>
      <c r="H109" s="12">
        <f t="shared" si="172"/>
        <v>0</v>
      </c>
      <c r="I109" s="12">
        <f t="shared" si="172"/>
        <v>0</v>
      </c>
      <c r="J109" s="12">
        <f t="shared" si="172"/>
        <v>0</v>
      </c>
      <c r="K109" s="12">
        <f t="shared" si="172"/>
        <v>0</v>
      </c>
      <c r="L109" s="12">
        <f t="shared" si="172"/>
        <v>0</v>
      </c>
      <c r="M109" s="12">
        <f t="shared" si="172"/>
        <v>0</v>
      </c>
      <c r="N109" s="12">
        <f t="shared" si="172"/>
        <v>0</v>
      </c>
      <c r="O109" s="12">
        <f t="shared" si="172"/>
        <v>0</v>
      </c>
      <c r="P109" s="12">
        <f t="shared" si="172"/>
        <v>0</v>
      </c>
      <c r="Q109" s="12">
        <f t="shared" si="172"/>
        <v>0</v>
      </c>
      <c r="R109" s="54">
        <f t="shared" si="172"/>
        <v>0</v>
      </c>
      <c r="S109" s="12">
        <f t="shared" si="172"/>
        <v>0</v>
      </c>
      <c r="T109" s="12">
        <f t="shared" si="172"/>
        <v>0.25</v>
      </c>
      <c r="U109" s="12">
        <f t="shared" si="172"/>
        <v>1.58</v>
      </c>
      <c r="V109" s="12">
        <f t="shared" si="172"/>
        <v>0</v>
      </c>
      <c r="W109" s="12">
        <f t="shared" si="172"/>
        <v>0.81</v>
      </c>
      <c r="X109" s="12">
        <f t="shared" si="172"/>
        <v>0</v>
      </c>
      <c r="Y109" s="12">
        <f t="shared" si="172"/>
        <v>0</v>
      </c>
      <c r="Z109" s="12">
        <f t="shared" si="172"/>
        <v>2.64</v>
      </c>
      <c r="AA109" s="150">
        <f t="shared" si="143"/>
        <v>1.6883930016110081E-4</v>
      </c>
      <c r="AC109" s="12">
        <f t="shared" si="144"/>
        <v>1.83</v>
      </c>
      <c r="AD109" s="12">
        <f t="shared" si="145"/>
        <v>0.81</v>
      </c>
      <c r="AE109" s="12">
        <f t="shared" si="147"/>
        <v>0</v>
      </c>
      <c r="AF109" s="12">
        <f t="shared" ref="AF109:AF112" si="173">SUM(AC109:AE109)</f>
        <v>2.64</v>
      </c>
      <c r="AG109" s="150"/>
      <c r="AJ109" t="s">
        <v>256</v>
      </c>
      <c r="AK109" t="s">
        <v>96</v>
      </c>
      <c r="AL109" t="s">
        <v>257</v>
      </c>
      <c r="AN109" s="118" t="s">
        <v>5</v>
      </c>
      <c r="AO109" s="343">
        <v>522.54</v>
      </c>
      <c r="AP109" s="343">
        <v>1384.8</v>
      </c>
      <c r="AQ109" s="190">
        <f t="shared" ref="AQ109:AQ114" si="174">AO109/AP109</f>
        <v>0.37733968804159446</v>
      </c>
    </row>
    <row r="110" spans="1:43" x14ac:dyDescent="0.35">
      <c r="A110" s="6" t="s">
        <v>38</v>
      </c>
      <c r="B110" s="12">
        <f t="shared" ref="B110:Z110" si="175">B414+B263</f>
        <v>0</v>
      </c>
      <c r="C110" s="12">
        <f t="shared" si="175"/>
        <v>0</v>
      </c>
      <c r="D110" s="12">
        <f t="shared" si="175"/>
        <v>0</v>
      </c>
      <c r="E110" s="12">
        <f t="shared" si="175"/>
        <v>0</v>
      </c>
      <c r="F110" s="12">
        <f t="shared" si="175"/>
        <v>0</v>
      </c>
      <c r="G110" s="12">
        <f t="shared" si="175"/>
        <v>0</v>
      </c>
      <c r="H110" s="12">
        <f t="shared" si="175"/>
        <v>0</v>
      </c>
      <c r="I110" s="12">
        <f t="shared" si="175"/>
        <v>0</v>
      </c>
      <c r="J110" s="12">
        <f t="shared" si="175"/>
        <v>0</v>
      </c>
      <c r="K110" s="12">
        <f t="shared" si="175"/>
        <v>0</v>
      </c>
      <c r="L110" s="12">
        <f t="shared" si="175"/>
        <v>0</v>
      </c>
      <c r="M110" s="12">
        <f t="shared" si="175"/>
        <v>0</v>
      </c>
      <c r="N110" s="12">
        <f t="shared" si="175"/>
        <v>0</v>
      </c>
      <c r="O110" s="12">
        <f t="shared" si="175"/>
        <v>0</v>
      </c>
      <c r="P110" s="12">
        <f t="shared" si="175"/>
        <v>0</v>
      </c>
      <c r="Q110" s="12">
        <f t="shared" si="175"/>
        <v>0</v>
      </c>
      <c r="R110" s="54">
        <f t="shared" si="175"/>
        <v>0</v>
      </c>
      <c r="S110" s="12">
        <f t="shared" si="175"/>
        <v>0</v>
      </c>
      <c r="T110" s="12">
        <f t="shared" si="175"/>
        <v>1.07</v>
      </c>
      <c r="U110" s="12">
        <f t="shared" si="175"/>
        <v>0</v>
      </c>
      <c r="V110" s="12">
        <f t="shared" si="175"/>
        <v>0</v>
      </c>
      <c r="W110" s="12">
        <f t="shared" si="175"/>
        <v>0</v>
      </c>
      <c r="X110" s="12">
        <f t="shared" si="175"/>
        <v>0</v>
      </c>
      <c r="Y110" s="12">
        <f t="shared" si="175"/>
        <v>0</v>
      </c>
      <c r="Z110" s="12">
        <f t="shared" si="175"/>
        <v>1.07</v>
      </c>
      <c r="AA110" s="150">
        <f t="shared" si="143"/>
        <v>6.8431079989537071E-5</v>
      </c>
      <c r="AC110" s="12">
        <f t="shared" si="144"/>
        <v>1.07</v>
      </c>
      <c r="AD110" s="12">
        <f t="shared" si="145"/>
        <v>0</v>
      </c>
      <c r="AE110" s="12">
        <f t="shared" si="147"/>
        <v>0</v>
      </c>
      <c r="AF110" s="12">
        <f t="shared" si="173"/>
        <v>1.07</v>
      </c>
      <c r="AG110" s="150"/>
      <c r="AI110" s="16" t="s">
        <v>42</v>
      </c>
      <c r="AJ110" s="12">
        <v>1861.9</v>
      </c>
      <c r="AK110" s="12">
        <v>4242.66</v>
      </c>
      <c r="AL110" s="382">
        <f>AJ110/AK110</f>
        <v>0.43885204093658225</v>
      </c>
      <c r="AN110" s="118" t="s">
        <v>17</v>
      </c>
      <c r="AO110" s="343">
        <v>257.77999999999997</v>
      </c>
      <c r="AP110" s="343">
        <v>565.07999999999993</v>
      </c>
      <c r="AQ110" s="190">
        <f t="shared" si="174"/>
        <v>0.45618319529978058</v>
      </c>
    </row>
    <row r="111" spans="1:43" x14ac:dyDescent="0.35">
      <c r="A111" s="6" t="s">
        <v>39</v>
      </c>
      <c r="B111" s="12">
        <f t="shared" ref="B111:Z111" si="176">B415+B264</f>
        <v>118.34</v>
      </c>
      <c r="C111" s="12">
        <f t="shared" si="176"/>
        <v>4.7</v>
      </c>
      <c r="D111" s="12">
        <f t="shared" si="176"/>
        <v>0</v>
      </c>
      <c r="E111" s="12">
        <f t="shared" si="176"/>
        <v>0</v>
      </c>
      <c r="F111" s="12">
        <f t="shared" si="176"/>
        <v>0</v>
      </c>
      <c r="G111" s="12">
        <f t="shared" si="176"/>
        <v>0</v>
      </c>
      <c r="H111" s="12">
        <f t="shared" si="176"/>
        <v>1.04</v>
      </c>
      <c r="I111" s="12">
        <f t="shared" si="176"/>
        <v>0</v>
      </c>
      <c r="J111" s="12">
        <f t="shared" si="176"/>
        <v>1.01</v>
      </c>
      <c r="K111" s="12">
        <f t="shared" si="176"/>
        <v>0.39</v>
      </c>
      <c r="L111" s="12">
        <f t="shared" si="176"/>
        <v>0</v>
      </c>
      <c r="M111" s="12">
        <f t="shared" si="176"/>
        <v>0</v>
      </c>
      <c r="N111" s="12">
        <f t="shared" si="176"/>
        <v>0</v>
      </c>
      <c r="O111" s="12">
        <f t="shared" si="176"/>
        <v>1.77</v>
      </c>
      <c r="P111" s="12">
        <f t="shared" si="176"/>
        <v>0</v>
      </c>
      <c r="Q111" s="12">
        <f t="shared" si="176"/>
        <v>0</v>
      </c>
      <c r="R111" s="54">
        <f t="shared" si="176"/>
        <v>18.509999999999998</v>
      </c>
      <c r="S111" s="12">
        <f t="shared" si="176"/>
        <v>30.94</v>
      </c>
      <c r="T111" s="12">
        <f t="shared" si="176"/>
        <v>17.899999999999999</v>
      </c>
      <c r="U111" s="12">
        <f t="shared" si="176"/>
        <v>36.07</v>
      </c>
      <c r="V111" s="12">
        <f t="shared" si="176"/>
        <v>26.040000000000003</v>
      </c>
      <c r="W111" s="12">
        <f t="shared" si="176"/>
        <v>69.62</v>
      </c>
      <c r="X111" s="12">
        <f t="shared" si="176"/>
        <v>103.08000000000001</v>
      </c>
      <c r="Y111" s="12">
        <f t="shared" si="176"/>
        <v>0</v>
      </c>
      <c r="Z111" s="12">
        <f t="shared" si="176"/>
        <v>429.41</v>
      </c>
      <c r="AA111" s="150">
        <f t="shared" si="143"/>
        <v>2.7462607531128141E-2</v>
      </c>
      <c r="AC111" s="12">
        <f t="shared" si="144"/>
        <v>230.67000000000002</v>
      </c>
      <c r="AD111" s="12">
        <f t="shared" si="145"/>
        <v>198.74</v>
      </c>
      <c r="AE111" s="12">
        <f t="shared" si="147"/>
        <v>0</v>
      </c>
      <c r="AF111" s="12">
        <f t="shared" si="173"/>
        <v>429.41</v>
      </c>
      <c r="AG111" s="150">
        <f t="shared" ref="AG111:AG112" si="177">AD111/AF111</f>
        <v>0.46282108008663048</v>
      </c>
      <c r="AI111" s="16" t="s">
        <v>41</v>
      </c>
      <c r="AJ111" s="12">
        <v>1603.31</v>
      </c>
      <c r="AK111" s="12">
        <v>2708.44</v>
      </c>
      <c r="AL111" s="382">
        <f t="shared" ref="AL111:AL129" si="178">AJ111/AK111</f>
        <v>0.59196807018062059</v>
      </c>
      <c r="AN111" s="118" t="s">
        <v>14</v>
      </c>
      <c r="AO111" s="343">
        <v>204.56000000000003</v>
      </c>
      <c r="AP111" s="343">
        <v>457.09000000000003</v>
      </c>
      <c r="AQ111" s="190">
        <f t="shared" si="174"/>
        <v>0.44752674527992303</v>
      </c>
    </row>
    <row r="112" spans="1:43" x14ac:dyDescent="0.35">
      <c r="A112" s="6" t="s">
        <v>40</v>
      </c>
      <c r="B112" s="12">
        <f t="shared" ref="B112:Z112" si="179">B416+B265</f>
        <v>2.63</v>
      </c>
      <c r="C112" s="12">
        <f t="shared" si="179"/>
        <v>0</v>
      </c>
      <c r="D112" s="12">
        <f t="shared" si="179"/>
        <v>0</v>
      </c>
      <c r="E112" s="12">
        <f t="shared" si="179"/>
        <v>0</v>
      </c>
      <c r="F112" s="12">
        <f t="shared" si="179"/>
        <v>0</v>
      </c>
      <c r="G112" s="12">
        <f t="shared" si="179"/>
        <v>0</v>
      </c>
      <c r="H112" s="12">
        <f t="shared" si="179"/>
        <v>0</v>
      </c>
      <c r="I112" s="12">
        <f t="shared" si="179"/>
        <v>0</v>
      </c>
      <c r="J112" s="12">
        <f t="shared" si="179"/>
        <v>0</v>
      </c>
      <c r="K112" s="12">
        <f t="shared" si="179"/>
        <v>0</v>
      </c>
      <c r="L112" s="12">
        <f t="shared" si="179"/>
        <v>0</v>
      </c>
      <c r="M112" s="12">
        <f t="shared" si="179"/>
        <v>0</v>
      </c>
      <c r="N112" s="12">
        <f t="shared" si="179"/>
        <v>0</v>
      </c>
      <c r="O112" s="12">
        <f t="shared" si="179"/>
        <v>0</v>
      </c>
      <c r="P112" s="12">
        <f t="shared" si="179"/>
        <v>0.36</v>
      </c>
      <c r="Q112" s="12">
        <f t="shared" si="179"/>
        <v>0</v>
      </c>
      <c r="R112" s="54">
        <f t="shared" si="179"/>
        <v>0</v>
      </c>
      <c r="S112" s="12">
        <f t="shared" si="179"/>
        <v>8.629999999999999</v>
      </c>
      <c r="T112" s="12">
        <f t="shared" si="179"/>
        <v>4.6599999999999993</v>
      </c>
      <c r="U112" s="12">
        <f t="shared" si="179"/>
        <v>2.68</v>
      </c>
      <c r="V112" s="12">
        <f t="shared" si="179"/>
        <v>4.95</v>
      </c>
      <c r="W112" s="12">
        <f t="shared" si="179"/>
        <v>0.06</v>
      </c>
      <c r="X112" s="12">
        <f t="shared" si="179"/>
        <v>0</v>
      </c>
      <c r="Y112" s="12">
        <f t="shared" si="179"/>
        <v>0</v>
      </c>
      <c r="Z112" s="12">
        <f t="shared" si="179"/>
        <v>23.97</v>
      </c>
      <c r="AA112" s="150">
        <f t="shared" si="143"/>
        <v>1.5329841003263582E-3</v>
      </c>
      <c r="AC112" s="12">
        <f t="shared" si="144"/>
        <v>18.959999999999997</v>
      </c>
      <c r="AD112" s="12">
        <f t="shared" si="145"/>
        <v>5.01</v>
      </c>
      <c r="AE112" s="12">
        <f t="shared" si="147"/>
        <v>0</v>
      </c>
      <c r="AF112" s="12">
        <f t="shared" si="173"/>
        <v>23.97</v>
      </c>
      <c r="AG112" s="150">
        <f t="shared" si="177"/>
        <v>0.20901126408010012</v>
      </c>
      <c r="AI112" s="16" t="s">
        <v>45</v>
      </c>
      <c r="AJ112" s="12">
        <v>1591.83</v>
      </c>
      <c r="AK112" s="12">
        <v>3306.6800000000003</v>
      </c>
      <c r="AL112" s="382">
        <f t="shared" si="178"/>
        <v>0.48139826049088508</v>
      </c>
      <c r="AN112" s="118" t="s">
        <v>12</v>
      </c>
      <c r="AO112" s="343">
        <v>202.65</v>
      </c>
      <c r="AP112" s="343">
        <v>488.41999999999996</v>
      </c>
      <c r="AQ112" s="190">
        <f t="shared" si="174"/>
        <v>0.41490929937349008</v>
      </c>
    </row>
    <row r="113" spans="1:43" x14ac:dyDescent="0.35">
      <c r="A113" s="11" t="s">
        <v>15</v>
      </c>
      <c r="B113" s="119">
        <f t="shared" ref="B113:Z113" si="180">B417+B266</f>
        <v>69.990000000000009</v>
      </c>
      <c r="C113" s="119">
        <f t="shared" si="180"/>
        <v>173.75</v>
      </c>
      <c r="D113" s="119">
        <f t="shared" si="180"/>
        <v>38.79</v>
      </c>
      <c r="E113" s="119">
        <f t="shared" si="180"/>
        <v>9.58</v>
      </c>
      <c r="F113" s="119">
        <f t="shared" si="180"/>
        <v>85.02</v>
      </c>
      <c r="G113" s="119">
        <f t="shared" si="180"/>
        <v>76.599999999999994</v>
      </c>
      <c r="H113" s="119">
        <f t="shared" si="180"/>
        <v>46.09</v>
      </c>
      <c r="I113" s="119">
        <f t="shared" si="180"/>
        <v>47.2</v>
      </c>
      <c r="J113" s="119">
        <f t="shared" si="180"/>
        <v>41.849999999999994</v>
      </c>
      <c r="K113" s="119">
        <f t="shared" si="180"/>
        <v>48.370000000000005</v>
      </c>
      <c r="L113" s="119">
        <f t="shared" si="180"/>
        <v>97.09</v>
      </c>
      <c r="M113" s="119">
        <f t="shared" si="180"/>
        <v>127.88</v>
      </c>
      <c r="N113" s="119">
        <f t="shared" si="180"/>
        <v>68.150000000000006</v>
      </c>
      <c r="O113" s="119">
        <f t="shared" si="180"/>
        <v>123.71000000000001</v>
      </c>
      <c r="P113" s="119">
        <f t="shared" si="180"/>
        <v>175.48000000000002</v>
      </c>
      <c r="Q113" s="119">
        <f t="shared" si="180"/>
        <v>314.62</v>
      </c>
      <c r="R113" s="119">
        <f t="shared" si="180"/>
        <v>673.36</v>
      </c>
      <c r="S113" s="119">
        <f t="shared" si="180"/>
        <v>596.6</v>
      </c>
      <c r="T113" s="119">
        <f t="shared" si="180"/>
        <v>1103.1400000000001</v>
      </c>
      <c r="U113" s="119">
        <f t="shared" si="180"/>
        <v>1737.42</v>
      </c>
      <c r="V113" s="119">
        <f t="shared" si="180"/>
        <v>1790</v>
      </c>
      <c r="W113" s="119">
        <f t="shared" si="180"/>
        <v>2156.58</v>
      </c>
      <c r="X113" s="119">
        <f t="shared" si="180"/>
        <v>1794.0900000000001</v>
      </c>
      <c r="Y113" s="119">
        <f t="shared" si="180"/>
        <v>4.43</v>
      </c>
      <c r="Z113" s="119">
        <f t="shared" si="180"/>
        <v>11399.789999999999</v>
      </c>
      <c r="AA113" s="144">
        <f t="shared" si="143"/>
        <v>0.72906536575133141</v>
      </c>
      <c r="AC113" s="119">
        <f t="shared" si="144"/>
        <v>5654.6900000000005</v>
      </c>
      <c r="AD113" s="119">
        <f t="shared" si="145"/>
        <v>5740.67</v>
      </c>
      <c r="AE113" s="131">
        <f t="shared" si="147"/>
        <v>4.43</v>
      </c>
      <c r="AF113" s="119">
        <f>SUM(AC113:AE113)</f>
        <v>11399.79</v>
      </c>
      <c r="AG113" s="143">
        <f>AD113/AF113</f>
        <v>0.50357682027475936</v>
      </c>
      <c r="AH113" s="190">
        <f>AF113/AF142</f>
        <v>0.72907842150334901</v>
      </c>
      <c r="AI113" s="16" t="s">
        <v>43</v>
      </c>
      <c r="AJ113" s="12">
        <v>661.03</v>
      </c>
      <c r="AK113" s="12">
        <v>994.76</v>
      </c>
      <c r="AL113" s="382">
        <f t="shared" si="178"/>
        <v>0.66451204310587475</v>
      </c>
      <c r="AN113" s="118" t="s">
        <v>16</v>
      </c>
      <c r="AO113" s="343">
        <v>185.47</v>
      </c>
      <c r="AP113" s="343">
        <v>589.13</v>
      </c>
      <c r="AQ113" s="190">
        <f t="shared" si="174"/>
        <v>0.31482015853886242</v>
      </c>
    </row>
    <row r="114" spans="1:43" x14ac:dyDescent="0.35">
      <c r="A114" s="6" t="s">
        <v>41</v>
      </c>
      <c r="B114" s="12">
        <f t="shared" ref="B114:Z114" si="181">B418+B267</f>
        <v>14.46</v>
      </c>
      <c r="C114" s="12">
        <f t="shared" si="181"/>
        <v>46.42</v>
      </c>
      <c r="D114" s="12">
        <f t="shared" si="181"/>
        <v>0</v>
      </c>
      <c r="E114" s="12">
        <f t="shared" si="181"/>
        <v>0</v>
      </c>
      <c r="F114" s="12">
        <f t="shared" si="181"/>
        <v>25.72</v>
      </c>
      <c r="G114" s="12">
        <f t="shared" si="181"/>
        <v>14.86</v>
      </c>
      <c r="H114" s="12">
        <f t="shared" si="181"/>
        <v>2.46</v>
      </c>
      <c r="I114" s="12">
        <f t="shared" si="181"/>
        <v>1.4100000000000001</v>
      </c>
      <c r="J114" s="12">
        <f t="shared" si="181"/>
        <v>21.060000000000002</v>
      </c>
      <c r="K114" s="12">
        <f t="shared" si="181"/>
        <v>0.42</v>
      </c>
      <c r="L114" s="12">
        <f t="shared" si="181"/>
        <v>4.29</v>
      </c>
      <c r="M114" s="12">
        <f t="shared" si="181"/>
        <v>14.24</v>
      </c>
      <c r="N114" s="12">
        <f t="shared" si="181"/>
        <v>22.310000000000002</v>
      </c>
      <c r="O114" s="12">
        <f t="shared" si="181"/>
        <v>30.119999999999997</v>
      </c>
      <c r="P114" s="12">
        <f t="shared" si="181"/>
        <v>43.87</v>
      </c>
      <c r="Q114" s="12">
        <f t="shared" si="181"/>
        <v>85.3</v>
      </c>
      <c r="R114" s="54">
        <f t="shared" si="181"/>
        <v>71.459999999999994</v>
      </c>
      <c r="S114" s="12">
        <f t="shared" si="181"/>
        <v>120.31</v>
      </c>
      <c r="T114" s="12">
        <f t="shared" si="181"/>
        <v>219.43</v>
      </c>
      <c r="U114" s="12">
        <f t="shared" si="181"/>
        <v>366.21000000000004</v>
      </c>
      <c r="V114" s="12">
        <f t="shared" si="181"/>
        <v>496.31</v>
      </c>
      <c r="W114" s="12">
        <f t="shared" si="181"/>
        <v>631.52</v>
      </c>
      <c r="X114" s="12">
        <f t="shared" si="181"/>
        <v>475.47999999999996</v>
      </c>
      <c r="Y114" s="12">
        <f t="shared" si="181"/>
        <v>0.78</v>
      </c>
      <c r="Z114" s="12">
        <f t="shared" si="181"/>
        <v>2708.4399999999996</v>
      </c>
      <c r="AA114" s="150">
        <f t="shared" si="143"/>
        <v>0.17321633110921658</v>
      </c>
      <c r="AC114" s="12">
        <f t="shared" si="144"/>
        <v>1104.3500000000001</v>
      </c>
      <c r="AD114" s="12">
        <f t="shared" si="145"/>
        <v>1603.31</v>
      </c>
      <c r="AE114" s="54">
        <f t="shared" si="147"/>
        <v>0.78</v>
      </c>
      <c r="AF114" s="12">
        <f t="shared" ref="AF114:AF118" si="182">SUM(AC114:AE114)</f>
        <v>2708.44</v>
      </c>
      <c r="AG114" s="150">
        <f t="shared" ref="AG114:AG118" si="183">AD114/AF114</f>
        <v>0.59196807018062059</v>
      </c>
      <c r="AH114" s="190">
        <f>AD113/AD142</f>
        <v>0.78423275060074227</v>
      </c>
      <c r="AI114" s="16" t="s">
        <v>26</v>
      </c>
      <c r="AJ114" s="12">
        <v>210.79999999999998</v>
      </c>
      <c r="AK114" s="12">
        <v>510.96000000000004</v>
      </c>
      <c r="AL114" s="382">
        <f t="shared" si="178"/>
        <v>0.41255675591044305</v>
      </c>
      <c r="AN114" s="118" t="s">
        <v>21</v>
      </c>
      <c r="AO114" s="343">
        <v>132.76</v>
      </c>
      <c r="AP114" s="343">
        <v>225.36</v>
      </c>
      <c r="AQ114" s="190">
        <f t="shared" si="174"/>
        <v>0.58910188143414977</v>
      </c>
    </row>
    <row r="115" spans="1:43" x14ac:dyDescent="0.35">
      <c r="A115" s="6" t="s">
        <v>42</v>
      </c>
      <c r="B115" s="12">
        <f t="shared" ref="B115:Z115" si="184">B419+B268</f>
        <v>52.900000000000006</v>
      </c>
      <c r="C115" s="12">
        <f t="shared" si="184"/>
        <v>74.7</v>
      </c>
      <c r="D115" s="12">
        <f t="shared" si="184"/>
        <v>8.8699999999999992</v>
      </c>
      <c r="E115" s="12">
        <f t="shared" si="184"/>
        <v>0.28000000000000003</v>
      </c>
      <c r="F115" s="12">
        <f t="shared" si="184"/>
        <v>11.39</v>
      </c>
      <c r="G115" s="12">
        <f t="shared" si="184"/>
        <v>48.769999999999996</v>
      </c>
      <c r="H115" s="12">
        <f t="shared" si="184"/>
        <v>26.53</v>
      </c>
      <c r="I115" s="12">
        <f t="shared" si="184"/>
        <v>24.270000000000003</v>
      </c>
      <c r="J115" s="12">
        <f t="shared" si="184"/>
        <v>16.53</v>
      </c>
      <c r="K115" s="12">
        <f t="shared" si="184"/>
        <v>18.96</v>
      </c>
      <c r="L115" s="12">
        <f t="shared" si="184"/>
        <v>17.89</v>
      </c>
      <c r="M115" s="12">
        <f t="shared" si="184"/>
        <v>26.71</v>
      </c>
      <c r="N115" s="12">
        <f t="shared" si="184"/>
        <v>33.730000000000004</v>
      </c>
      <c r="O115" s="12">
        <f t="shared" si="184"/>
        <v>58.43</v>
      </c>
      <c r="P115" s="12">
        <f t="shared" si="184"/>
        <v>75.400000000000006</v>
      </c>
      <c r="Q115" s="12">
        <f t="shared" si="184"/>
        <v>121.54999999999998</v>
      </c>
      <c r="R115" s="54">
        <f t="shared" si="184"/>
        <v>310.49</v>
      </c>
      <c r="S115" s="12">
        <f t="shared" si="184"/>
        <v>256.63</v>
      </c>
      <c r="T115" s="12">
        <f t="shared" si="184"/>
        <v>465.40000000000015</v>
      </c>
      <c r="U115" s="12">
        <f t="shared" si="184"/>
        <v>728.48</v>
      </c>
      <c r="V115" s="12">
        <f t="shared" si="184"/>
        <v>646.54000000000008</v>
      </c>
      <c r="W115" s="12">
        <f t="shared" si="184"/>
        <v>641.34000000000015</v>
      </c>
      <c r="X115" s="12">
        <f t="shared" si="184"/>
        <v>574.0200000000001</v>
      </c>
      <c r="Y115" s="12">
        <f t="shared" si="184"/>
        <v>2.8499999999999996</v>
      </c>
      <c r="Z115" s="12">
        <f t="shared" si="184"/>
        <v>4242.6600000000008</v>
      </c>
      <c r="AA115" s="150">
        <f t="shared" si="143"/>
        <v>0.27133626712935455</v>
      </c>
      <c r="AC115" s="12">
        <f t="shared" si="144"/>
        <v>2377.91</v>
      </c>
      <c r="AD115" s="12">
        <f t="shared" si="145"/>
        <v>1861.9</v>
      </c>
      <c r="AE115" s="54">
        <f t="shared" si="147"/>
        <v>2.8499999999999996</v>
      </c>
      <c r="AF115" s="12">
        <f t="shared" si="182"/>
        <v>4242.66</v>
      </c>
      <c r="AG115" s="150">
        <f t="shared" si="183"/>
        <v>0.43885204093658225</v>
      </c>
      <c r="AI115" s="6" t="s">
        <v>39</v>
      </c>
      <c r="AJ115" s="12">
        <v>198.74</v>
      </c>
      <c r="AK115" s="12">
        <v>429.41</v>
      </c>
      <c r="AL115" s="382">
        <f t="shared" si="178"/>
        <v>0.46282108008663048</v>
      </c>
      <c r="AQ115" s="190"/>
    </row>
    <row r="116" spans="1:43" x14ac:dyDescent="0.35">
      <c r="A116" s="6" t="s">
        <v>43</v>
      </c>
      <c r="B116" s="12">
        <f t="shared" ref="B116:Z116" si="185">B420+B269</f>
        <v>0</v>
      </c>
      <c r="C116" s="12">
        <f t="shared" si="185"/>
        <v>0</v>
      </c>
      <c r="D116" s="12">
        <f t="shared" si="185"/>
        <v>0</v>
      </c>
      <c r="E116" s="12">
        <f t="shared" si="185"/>
        <v>0</v>
      </c>
      <c r="F116" s="12">
        <f t="shared" si="185"/>
        <v>2.37</v>
      </c>
      <c r="G116" s="12">
        <f t="shared" si="185"/>
        <v>0</v>
      </c>
      <c r="H116" s="12">
        <f t="shared" si="185"/>
        <v>0.91</v>
      </c>
      <c r="I116" s="12">
        <f t="shared" si="185"/>
        <v>8.66</v>
      </c>
      <c r="J116" s="12">
        <f t="shared" si="185"/>
        <v>0</v>
      </c>
      <c r="K116" s="12">
        <f t="shared" si="185"/>
        <v>0</v>
      </c>
      <c r="L116" s="12">
        <f t="shared" si="185"/>
        <v>2.17</v>
      </c>
      <c r="M116" s="12">
        <f t="shared" si="185"/>
        <v>0</v>
      </c>
      <c r="N116" s="12">
        <f t="shared" si="185"/>
        <v>0</v>
      </c>
      <c r="O116" s="12">
        <f t="shared" si="185"/>
        <v>7.89</v>
      </c>
      <c r="P116" s="12">
        <f t="shared" si="185"/>
        <v>2.76</v>
      </c>
      <c r="Q116" s="12">
        <f t="shared" si="185"/>
        <v>11.46</v>
      </c>
      <c r="R116" s="54">
        <f t="shared" si="185"/>
        <v>33.75</v>
      </c>
      <c r="S116" s="12">
        <f t="shared" si="185"/>
        <v>37.230000000000004</v>
      </c>
      <c r="T116" s="12">
        <f t="shared" si="185"/>
        <v>91.22</v>
      </c>
      <c r="U116" s="12">
        <f t="shared" si="185"/>
        <v>135.16</v>
      </c>
      <c r="V116" s="12">
        <f t="shared" si="185"/>
        <v>128.48999999999998</v>
      </c>
      <c r="W116" s="12">
        <f t="shared" si="185"/>
        <v>315.76</v>
      </c>
      <c r="X116" s="12">
        <f t="shared" si="185"/>
        <v>216.78000000000003</v>
      </c>
      <c r="Y116" s="12">
        <f t="shared" si="185"/>
        <v>0.15000000000000002</v>
      </c>
      <c r="Z116" s="12">
        <f t="shared" si="185"/>
        <v>994.76</v>
      </c>
      <c r="AA116" s="150">
        <f t="shared" si="143"/>
        <v>6.3619159934945685E-2</v>
      </c>
      <c r="AC116" s="12">
        <f t="shared" si="144"/>
        <v>333.58000000000004</v>
      </c>
      <c r="AD116" s="12">
        <f t="shared" si="145"/>
        <v>661.03</v>
      </c>
      <c r="AE116" s="12">
        <f t="shared" si="147"/>
        <v>0.15000000000000002</v>
      </c>
      <c r="AF116" s="12">
        <f t="shared" si="182"/>
        <v>994.76</v>
      </c>
      <c r="AG116" s="150">
        <f t="shared" si="183"/>
        <v>0.66451204310587475</v>
      </c>
      <c r="AI116" s="6" t="s">
        <v>8</v>
      </c>
      <c r="AJ116" s="12">
        <v>138.85000000000002</v>
      </c>
      <c r="AK116" s="12">
        <v>411.29</v>
      </c>
      <c r="AL116" s="382">
        <f t="shared" si="178"/>
        <v>0.33759634321281823</v>
      </c>
    </row>
    <row r="117" spans="1:43" x14ac:dyDescent="0.35">
      <c r="A117" s="6" t="s">
        <v>44</v>
      </c>
      <c r="B117" s="12">
        <f t="shared" ref="B117:Z117" si="186">B421+B270</f>
        <v>0</v>
      </c>
      <c r="C117" s="12">
        <f t="shared" si="186"/>
        <v>0</v>
      </c>
      <c r="D117" s="12">
        <f t="shared" si="186"/>
        <v>0</v>
      </c>
      <c r="E117" s="12">
        <f t="shared" si="186"/>
        <v>0</v>
      </c>
      <c r="F117" s="12">
        <f t="shared" si="186"/>
        <v>0</v>
      </c>
      <c r="G117" s="12">
        <f t="shared" si="186"/>
        <v>0</v>
      </c>
      <c r="H117" s="12">
        <f t="shared" si="186"/>
        <v>0</v>
      </c>
      <c r="I117" s="12">
        <f t="shared" si="186"/>
        <v>6.35</v>
      </c>
      <c r="J117" s="12">
        <f t="shared" si="186"/>
        <v>0</v>
      </c>
      <c r="K117" s="12">
        <f t="shared" si="186"/>
        <v>0</v>
      </c>
      <c r="L117" s="12">
        <f t="shared" si="186"/>
        <v>0</v>
      </c>
      <c r="M117" s="12">
        <f t="shared" si="186"/>
        <v>0</v>
      </c>
      <c r="N117" s="12">
        <f t="shared" si="186"/>
        <v>0</v>
      </c>
      <c r="O117" s="12">
        <f t="shared" si="186"/>
        <v>0</v>
      </c>
      <c r="P117" s="12">
        <f t="shared" si="186"/>
        <v>0</v>
      </c>
      <c r="Q117" s="12">
        <f t="shared" si="186"/>
        <v>0.83</v>
      </c>
      <c r="R117" s="54">
        <f t="shared" si="186"/>
        <v>12.719999999999999</v>
      </c>
      <c r="S117" s="12">
        <f t="shared" si="186"/>
        <v>0</v>
      </c>
      <c r="T117" s="12">
        <f t="shared" si="186"/>
        <v>34.619999999999997</v>
      </c>
      <c r="U117" s="12">
        <f t="shared" si="186"/>
        <v>70.03</v>
      </c>
      <c r="V117" s="12">
        <f t="shared" si="186"/>
        <v>17.72</v>
      </c>
      <c r="W117" s="12">
        <f t="shared" si="186"/>
        <v>4.8599999999999994</v>
      </c>
      <c r="X117" s="12">
        <f t="shared" si="186"/>
        <v>0.02</v>
      </c>
      <c r="Y117" s="12">
        <f t="shared" si="186"/>
        <v>0.1</v>
      </c>
      <c r="Z117" s="12">
        <f t="shared" si="186"/>
        <v>147.24999999999997</v>
      </c>
      <c r="AA117" s="150">
        <f t="shared" si="143"/>
        <v>9.4172677836068513E-3</v>
      </c>
      <c r="AC117" s="12">
        <f t="shared" si="144"/>
        <v>124.55</v>
      </c>
      <c r="AD117" s="12">
        <f t="shared" si="145"/>
        <v>22.599999999999998</v>
      </c>
      <c r="AE117" s="12">
        <f t="shared" si="147"/>
        <v>0.1</v>
      </c>
      <c r="AF117" s="12">
        <f t="shared" si="182"/>
        <v>147.25</v>
      </c>
      <c r="AG117" s="150">
        <f t="shared" si="183"/>
        <v>0.15348047538200338</v>
      </c>
      <c r="AI117" s="6" t="s">
        <v>21</v>
      </c>
      <c r="AJ117" s="12">
        <v>132.76</v>
      </c>
      <c r="AK117" s="12">
        <v>225.36</v>
      </c>
      <c r="AL117" s="382">
        <f t="shared" si="178"/>
        <v>0.58910188143414977</v>
      </c>
    </row>
    <row r="118" spans="1:43" x14ac:dyDescent="0.35">
      <c r="A118" s="6" t="s">
        <v>45</v>
      </c>
      <c r="B118" s="12">
        <f t="shared" ref="B118:Z118" si="187">B422+B271</f>
        <v>2.63</v>
      </c>
      <c r="C118" s="12">
        <f t="shared" si="187"/>
        <v>52.629999999999995</v>
      </c>
      <c r="D118" s="12">
        <f t="shared" si="187"/>
        <v>29.919999999999998</v>
      </c>
      <c r="E118" s="12">
        <f t="shared" si="187"/>
        <v>9.3000000000000007</v>
      </c>
      <c r="F118" s="12">
        <f t="shared" si="187"/>
        <v>45.54</v>
      </c>
      <c r="G118" s="12">
        <f t="shared" si="187"/>
        <v>12.969999999999999</v>
      </c>
      <c r="H118" s="12">
        <f t="shared" si="187"/>
        <v>16.189999999999998</v>
      </c>
      <c r="I118" s="12">
        <f t="shared" si="187"/>
        <v>6.51</v>
      </c>
      <c r="J118" s="12">
        <f t="shared" si="187"/>
        <v>4.26</v>
      </c>
      <c r="K118" s="12">
        <f t="shared" si="187"/>
        <v>28.990000000000002</v>
      </c>
      <c r="L118" s="12">
        <f t="shared" si="187"/>
        <v>72.739999999999995</v>
      </c>
      <c r="M118" s="12">
        <f t="shared" si="187"/>
        <v>86.929999999999993</v>
      </c>
      <c r="N118" s="12">
        <f t="shared" si="187"/>
        <v>12.11</v>
      </c>
      <c r="O118" s="12">
        <f t="shared" si="187"/>
        <v>27.270000000000003</v>
      </c>
      <c r="P118" s="12">
        <f t="shared" si="187"/>
        <v>53.449999999999996</v>
      </c>
      <c r="Q118" s="12">
        <f t="shared" si="187"/>
        <v>95.47999999999999</v>
      </c>
      <c r="R118" s="54">
        <f t="shared" si="187"/>
        <v>244.94000000000003</v>
      </c>
      <c r="S118" s="12">
        <f t="shared" si="187"/>
        <v>182.43000000000004</v>
      </c>
      <c r="T118" s="12">
        <f t="shared" si="187"/>
        <v>292.47000000000003</v>
      </c>
      <c r="U118" s="12">
        <f t="shared" si="187"/>
        <v>437.53999999999996</v>
      </c>
      <c r="V118" s="12">
        <f t="shared" si="187"/>
        <v>500.93999999999994</v>
      </c>
      <c r="W118" s="12">
        <f t="shared" si="187"/>
        <v>563.1</v>
      </c>
      <c r="X118" s="12">
        <f t="shared" si="187"/>
        <v>527.79</v>
      </c>
      <c r="Y118" s="12">
        <f t="shared" si="187"/>
        <v>0.55000000000000004</v>
      </c>
      <c r="Z118" s="12">
        <f t="shared" si="187"/>
        <v>3306.6800000000003</v>
      </c>
      <c r="AA118" s="150">
        <f t="shared" si="143"/>
        <v>0.21147633979420788</v>
      </c>
      <c r="AC118" s="12">
        <f t="shared" si="144"/>
        <v>1714.3000000000002</v>
      </c>
      <c r="AD118" s="12">
        <f t="shared" si="145"/>
        <v>1591.83</v>
      </c>
      <c r="AE118" s="54">
        <f t="shared" si="147"/>
        <v>0.55000000000000004</v>
      </c>
      <c r="AF118" s="12">
        <f t="shared" si="182"/>
        <v>3306.6800000000003</v>
      </c>
      <c r="AG118" s="150">
        <f t="shared" si="183"/>
        <v>0.48139826049088508</v>
      </c>
      <c r="AI118" s="6" t="s">
        <v>55</v>
      </c>
      <c r="AJ118" s="12">
        <v>128.99</v>
      </c>
      <c r="AK118" s="12">
        <v>247.58</v>
      </c>
      <c r="AL118" s="382">
        <f t="shared" si="178"/>
        <v>0.52100331206074801</v>
      </c>
    </row>
    <row r="119" spans="1:43" x14ac:dyDescent="0.35">
      <c r="A119" s="11" t="s">
        <v>16</v>
      </c>
      <c r="B119" s="119">
        <f t="shared" ref="B119:Z119" si="188">B423+B272</f>
        <v>0</v>
      </c>
      <c r="C119" s="119">
        <f t="shared" si="188"/>
        <v>4.08</v>
      </c>
      <c r="D119" s="119">
        <f t="shared" si="188"/>
        <v>0</v>
      </c>
      <c r="E119" s="119">
        <f t="shared" si="188"/>
        <v>0</v>
      </c>
      <c r="F119" s="119">
        <f t="shared" si="188"/>
        <v>4.18</v>
      </c>
      <c r="G119" s="119">
        <f t="shared" si="188"/>
        <v>0</v>
      </c>
      <c r="H119" s="119">
        <f t="shared" si="188"/>
        <v>0</v>
      </c>
      <c r="I119" s="119">
        <f t="shared" si="188"/>
        <v>0</v>
      </c>
      <c r="J119" s="119">
        <f t="shared" si="188"/>
        <v>0</v>
      </c>
      <c r="K119" s="119">
        <f t="shared" si="188"/>
        <v>13.19</v>
      </c>
      <c r="L119" s="119">
        <f t="shared" si="188"/>
        <v>0.74</v>
      </c>
      <c r="M119" s="119">
        <f t="shared" si="188"/>
        <v>14.950000000000001</v>
      </c>
      <c r="N119" s="119">
        <f t="shared" si="188"/>
        <v>6.1</v>
      </c>
      <c r="O119" s="119">
        <f t="shared" si="188"/>
        <v>16.84</v>
      </c>
      <c r="P119" s="119">
        <f t="shared" si="188"/>
        <v>10.85</v>
      </c>
      <c r="Q119" s="119">
        <f t="shared" si="188"/>
        <v>24.22</v>
      </c>
      <c r="R119" s="119">
        <f t="shared" si="188"/>
        <v>50.97999999999999</v>
      </c>
      <c r="S119" s="119">
        <f t="shared" si="188"/>
        <v>49.53</v>
      </c>
      <c r="T119" s="119">
        <f t="shared" si="188"/>
        <v>54.83</v>
      </c>
      <c r="U119" s="119">
        <f t="shared" si="188"/>
        <v>153.17000000000002</v>
      </c>
      <c r="V119" s="119">
        <f t="shared" si="188"/>
        <v>94.89</v>
      </c>
      <c r="W119" s="119">
        <f t="shared" si="188"/>
        <v>74.83</v>
      </c>
      <c r="X119" s="119">
        <f t="shared" si="188"/>
        <v>15.75</v>
      </c>
      <c r="Y119" s="119">
        <f t="shared" si="188"/>
        <v>0</v>
      </c>
      <c r="Z119" s="119">
        <f t="shared" si="188"/>
        <v>589.13</v>
      </c>
      <c r="AA119" s="144">
        <f t="shared" si="143"/>
        <v>3.767738519087474E-2</v>
      </c>
      <c r="AC119" s="119">
        <f t="shared" si="144"/>
        <v>403.66</v>
      </c>
      <c r="AD119" s="119">
        <f t="shared" si="145"/>
        <v>185.47</v>
      </c>
      <c r="AE119" s="119">
        <f t="shared" si="147"/>
        <v>0</v>
      </c>
      <c r="AF119" s="119">
        <f>SUM(AC119:AE119)</f>
        <v>589.13</v>
      </c>
      <c r="AG119" s="143">
        <f>AD119/AF119</f>
        <v>0.31482015853886242</v>
      </c>
      <c r="AI119" s="6" t="s">
        <v>56</v>
      </c>
      <c r="AJ119" s="12">
        <v>128.79000000000002</v>
      </c>
      <c r="AK119" s="12">
        <v>317.50000000000006</v>
      </c>
      <c r="AL119" s="382">
        <f t="shared" si="178"/>
        <v>0.40563779527559052</v>
      </c>
    </row>
    <row r="120" spans="1:43" x14ac:dyDescent="0.35">
      <c r="A120" s="6" t="s">
        <v>46</v>
      </c>
      <c r="B120" s="12">
        <f t="shared" ref="B120:Z120" si="189">B424+B273</f>
        <v>0</v>
      </c>
      <c r="C120" s="12">
        <f t="shared" si="189"/>
        <v>0</v>
      </c>
      <c r="D120" s="12">
        <f t="shared" si="189"/>
        <v>0</v>
      </c>
      <c r="E120" s="12">
        <f t="shared" si="189"/>
        <v>0</v>
      </c>
      <c r="F120" s="12">
        <f t="shared" si="189"/>
        <v>0</v>
      </c>
      <c r="G120" s="12">
        <f t="shared" si="189"/>
        <v>0</v>
      </c>
      <c r="H120" s="12">
        <f t="shared" si="189"/>
        <v>0</v>
      </c>
      <c r="I120" s="12">
        <f t="shared" si="189"/>
        <v>0</v>
      </c>
      <c r="J120" s="12">
        <f t="shared" si="189"/>
        <v>0</v>
      </c>
      <c r="K120" s="12">
        <f t="shared" si="189"/>
        <v>0</v>
      </c>
      <c r="L120" s="12">
        <f t="shared" si="189"/>
        <v>0</v>
      </c>
      <c r="M120" s="12">
        <f t="shared" si="189"/>
        <v>0</v>
      </c>
      <c r="N120" s="12">
        <f t="shared" si="189"/>
        <v>0</v>
      </c>
      <c r="O120" s="12">
        <f t="shared" si="189"/>
        <v>0</v>
      </c>
      <c r="P120" s="12">
        <f t="shared" si="189"/>
        <v>0</v>
      </c>
      <c r="Q120" s="12">
        <f t="shared" si="189"/>
        <v>0.49</v>
      </c>
      <c r="R120" s="54">
        <f t="shared" si="189"/>
        <v>0</v>
      </c>
      <c r="S120" s="12">
        <f t="shared" si="189"/>
        <v>6.7299999999999995</v>
      </c>
      <c r="T120" s="12">
        <f t="shared" si="189"/>
        <v>1.79</v>
      </c>
      <c r="U120" s="12">
        <f t="shared" si="189"/>
        <v>0</v>
      </c>
      <c r="V120" s="12">
        <f t="shared" si="189"/>
        <v>2.8</v>
      </c>
      <c r="W120" s="12">
        <f t="shared" si="189"/>
        <v>0</v>
      </c>
      <c r="X120" s="12">
        <f t="shared" si="189"/>
        <v>1.54</v>
      </c>
      <c r="Y120" s="12">
        <f t="shared" si="189"/>
        <v>0</v>
      </c>
      <c r="Z120" s="12">
        <f t="shared" si="189"/>
        <v>13.349999999999998</v>
      </c>
      <c r="AA120" s="150">
        <f t="shared" si="143"/>
        <v>8.537896428601118E-4</v>
      </c>
      <c r="AC120" s="12">
        <f t="shared" si="144"/>
        <v>9.01</v>
      </c>
      <c r="AD120" s="12">
        <f t="shared" si="145"/>
        <v>4.34</v>
      </c>
      <c r="AE120" s="12">
        <f t="shared" si="147"/>
        <v>0</v>
      </c>
      <c r="AF120" s="12">
        <f t="shared" ref="AF120:AF128" si="190">SUM(AC120:AE120)</f>
        <v>13.35</v>
      </c>
      <c r="AG120" s="150">
        <f t="shared" ref="AG120:AG121" si="191">AD120/AF120</f>
        <v>0.3250936329588015</v>
      </c>
      <c r="AI120" s="6" t="s">
        <v>33</v>
      </c>
      <c r="AJ120" s="12">
        <v>112.66999999999999</v>
      </c>
      <c r="AK120" s="12">
        <v>311.79000000000002</v>
      </c>
      <c r="AL120" s="382">
        <f t="shared" si="178"/>
        <v>0.36136502132845821</v>
      </c>
    </row>
    <row r="121" spans="1:43" x14ac:dyDescent="0.35">
      <c r="A121" s="6" t="s">
        <v>47</v>
      </c>
      <c r="B121" s="12">
        <f t="shared" ref="B121:Z121" si="192">B425+B274</f>
        <v>0</v>
      </c>
      <c r="C121" s="12">
        <f t="shared" si="192"/>
        <v>0</v>
      </c>
      <c r="D121" s="12">
        <f t="shared" si="192"/>
        <v>0</v>
      </c>
      <c r="E121" s="12">
        <f t="shared" si="192"/>
        <v>0</v>
      </c>
      <c r="F121" s="12">
        <f t="shared" si="192"/>
        <v>0</v>
      </c>
      <c r="G121" s="12">
        <f t="shared" si="192"/>
        <v>0</v>
      </c>
      <c r="H121" s="12">
        <f t="shared" si="192"/>
        <v>0</v>
      </c>
      <c r="I121" s="12">
        <f t="shared" si="192"/>
        <v>0</v>
      </c>
      <c r="J121" s="12">
        <f t="shared" si="192"/>
        <v>0</v>
      </c>
      <c r="K121" s="12">
        <f t="shared" si="192"/>
        <v>0</v>
      </c>
      <c r="L121" s="12">
        <f t="shared" si="192"/>
        <v>0</v>
      </c>
      <c r="M121" s="12">
        <f t="shared" si="192"/>
        <v>0</v>
      </c>
      <c r="N121" s="12">
        <f t="shared" si="192"/>
        <v>0</v>
      </c>
      <c r="O121" s="12">
        <f t="shared" si="192"/>
        <v>0</v>
      </c>
      <c r="P121" s="12">
        <f t="shared" si="192"/>
        <v>0.37</v>
      </c>
      <c r="Q121" s="12">
        <f t="shared" si="192"/>
        <v>1.06</v>
      </c>
      <c r="R121" s="54">
        <f t="shared" si="192"/>
        <v>0</v>
      </c>
      <c r="S121" s="12">
        <f t="shared" si="192"/>
        <v>0</v>
      </c>
      <c r="T121" s="12">
        <f t="shared" si="192"/>
        <v>0.27</v>
      </c>
      <c r="U121" s="12">
        <f t="shared" si="192"/>
        <v>2.3000000000000003</v>
      </c>
      <c r="V121" s="12">
        <f t="shared" si="192"/>
        <v>0.12</v>
      </c>
      <c r="W121" s="12">
        <f t="shared" si="192"/>
        <v>2.42</v>
      </c>
      <c r="X121" s="12">
        <f t="shared" si="192"/>
        <v>4.5999999999999996</v>
      </c>
      <c r="Y121" s="12">
        <f t="shared" si="192"/>
        <v>0</v>
      </c>
      <c r="Z121" s="12">
        <f t="shared" si="192"/>
        <v>11.14</v>
      </c>
      <c r="AA121" s="150">
        <f t="shared" si="143"/>
        <v>7.1245068325555413E-4</v>
      </c>
      <c r="AC121" s="12">
        <f t="shared" si="144"/>
        <v>4</v>
      </c>
      <c r="AD121" s="12">
        <f t="shared" si="145"/>
        <v>7.14</v>
      </c>
      <c r="AE121" s="12">
        <f t="shared" si="147"/>
        <v>0</v>
      </c>
      <c r="AF121" s="12">
        <f t="shared" si="190"/>
        <v>11.14</v>
      </c>
      <c r="AG121" s="150">
        <f t="shared" si="191"/>
        <v>0.64093357271095142</v>
      </c>
      <c r="AI121" s="6" t="s">
        <v>28</v>
      </c>
      <c r="AJ121" s="12">
        <v>85.259999999999991</v>
      </c>
      <c r="AK121" s="12">
        <v>226.48</v>
      </c>
      <c r="AL121" s="382">
        <f t="shared" si="178"/>
        <v>0.37645708230307312</v>
      </c>
    </row>
    <row r="122" spans="1:43" x14ac:dyDescent="0.35">
      <c r="A122" s="182" t="s">
        <v>48</v>
      </c>
      <c r="B122" s="12">
        <f t="shared" ref="B122:Z122" si="193">B426+B275</f>
        <v>0</v>
      </c>
      <c r="C122" s="12">
        <f t="shared" si="193"/>
        <v>0</v>
      </c>
      <c r="D122" s="12">
        <f t="shared" si="193"/>
        <v>0</v>
      </c>
      <c r="E122" s="12">
        <f t="shared" si="193"/>
        <v>0</v>
      </c>
      <c r="F122" s="12">
        <f t="shared" si="193"/>
        <v>0</v>
      </c>
      <c r="G122" s="12">
        <f t="shared" si="193"/>
        <v>0</v>
      </c>
      <c r="H122" s="12">
        <f t="shared" si="193"/>
        <v>0</v>
      </c>
      <c r="I122" s="12">
        <f t="shared" si="193"/>
        <v>0</v>
      </c>
      <c r="J122" s="12">
        <f t="shared" si="193"/>
        <v>0</v>
      </c>
      <c r="K122" s="12">
        <f t="shared" si="193"/>
        <v>0</v>
      </c>
      <c r="L122" s="12">
        <f t="shared" si="193"/>
        <v>0</v>
      </c>
      <c r="M122" s="12">
        <f t="shared" si="193"/>
        <v>0</v>
      </c>
      <c r="N122" s="12">
        <f t="shared" si="193"/>
        <v>0</v>
      </c>
      <c r="O122" s="12">
        <f t="shared" si="193"/>
        <v>0</v>
      </c>
      <c r="P122" s="12">
        <f t="shared" si="193"/>
        <v>1.26</v>
      </c>
      <c r="Q122" s="12">
        <f t="shared" si="193"/>
        <v>0</v>
      </c>
      <c r="R122" s="54">
        <f t="shared" si="193"/>
        <v>0</v>
      </c>
      <c r="S122" s="12">
        <f t="shared" si="193"/>
        <v>1.02</v>
      </c>
      <c r="T122" s="12">
        <f t="shared" si="193"/>
        <v>6.1899999999999995</v>
      </c>
      <c r="U122" s="12">
        <f t="shared" si="193"/>
        <v>3.8899999999999997</v>
      </c>
      <c r="V122" s="12">
        <f t="shared" si="193"/>
        <v>0</v>
      </c>
      <c r="W122" s="12">
        <f t="shared" si="193"/>
        <v>3.41</v>
      </c>
      <c r="X122" s="12">
        <f t="shared" si="193"/>
        <v>1.02</v>
      </c>
      <c r="Y122" s="12">
        <f t="shared" si="193"/>
        <v>0</v>
      </c>
      <c r="Z122" s="12">
        <f t="shared" si="193"/>
        <v>16.79</v>
      </c>
      <c r="AA122" s="150">
        <f t="shared" si="143"/>
        <v>1.0737923673124555E-3</v>
      </c>
      <c r="AC122" s="12">
        <f t="shared" si="144"/>
        <v>12.36</v>
      </c>
      <c r="AD122" s="12">
        <f t="shared" si="145"/>
        <v>4.43</v>
      </c>
      <c r="AE122" s="12">
        <f t="shared" si="147"/>
        <v>0</v>
      </c>
      <c r="AF122" s="12">
        <f t="shared" si="190"/>
        <v>16.79</v>
      </c>
      <c r="AG122" s="150"/>
      <c r="AI122" s="6" t="s">
        <v>31</v>
      </c>
      <c r="AJ122" s="12">
        <v>68.36</v>
      </c>
      <c r="AK122" s="12">
        <v>123.08</v>
      </c>
      <c r="AL122" s="382">
        <f t="shared" si="178"/>
        <v>0.555411114722132</v>
      </c>
    </row>
    <row r="123" spans="1:43" x14ac:dyDescent="0.35">
      <c r="A123" s="182" t="s">
        <v>49</v>
      </c>
      <c r="B123" s="12">
        <f t="shared" ref="B123:Z123" si="194">B427+B276</f>
        <v>0</v>
      </c>
      <c r="C123" s="12">
        <f t="shared" si="194"/>
        <v>0</v>
      </c>
      <c r="D123" s="12">
        <f t="shared" si="194"/>
        <v>0</v>
      </c>
      <c r="E123" s="12">
        <f t="shared" si="194"/>
        <v>0</v>
      </c>
      <c r="F123" s="12">
        <f t="shared" si="194"/>
        <v>0</v>
      </c>
      <c r="G123" s="12">
        <f t="shared" si="194"/>
        <v>0</v>
      </c>
      <c r="H123" s="12">
        <f t="shared" si="194"/>
        <v>0</v>
      </c>
      <c r="I123" s="12">
        <f t="shared" si="194"/>
        <v>0</v>
      </c>
      <c r="J123" s="12">
        <f t="shared" si="194"/>
        <v>0</v>
      </c>
      <c r="K123" s="12">
        <f t="shared" si="194"/>
        <v>0</v>
      </c>
      <c r="L123" s="12">
        <f t="shared" si="194"/>
        <v>0</v>
      </c>
      <c r="M123" s="12">
        <f t="shared" si="194"/>
        <v>0</v>
      </c>
      <c r="N123" s="12">
        <f t="shared" si="194"/>
        <v>0</v>
      </c>
      <c r="O123" s="12">
        <f t="shared" si="194"/>
        <v>0</v>
      </c>
      <c r="P123" s="12">
        <f t="shared" si="194"/>
        <v>0</v>
      </c>
      <c r="Q123" s="12">
        <f t="shared" si="194"/>
        <v>0</v>
      </c>
      <c r="R123" s="54">
        <f t="shared" si="194"/>
        <v>0.08</v>
      </c>
      <c r="S123" s="12">
        <f t="shared" si="194"/>
        <v>0</v>
      </c>
      <c r="T123" s="12">
        <f t="shared" si="194"/>
        <v>0</v>
      </c>
      <c r="U123" s="12">
        <f t="shared" si="194"/>
        <v>3.81</v>
      </c>
      <c r="V123" s="12">
        <f t="shared" si="194"/>
        <v>1.64</v>
      </c>
      <c r="W123" s="12">
        <f t="shared" si="194"/>
        <v>1.71</v>
      </c>
      <c r="X123" s="12">
        <f t="shared" si="194"/>
        <v>0.32</v>
      </c>
      <c r="Y123" s="12">
        <f t="shared" si="194"/>
        <v>0</v>
      </c>
      <c r="Z123" s="12">
        <f t="shared" si="194"/>
        <v>7.5600000000000005</v>
      </c>
      <c r="AA123" s="150">
        <f t="shared" ref="AA123:AA141" si="195">Z123/$Z$142</f>
        <v>4.8349435955224323E-4</v>
      </c>
      <c r="AC123" s="12">
        <f t="shared" ref="AC123:AC142" si="196">SUM(B123:U123)</f>
        <v>3.89</v>
      </c>
      <c r="AD123" s="12">
        <f t="shared" ref="AD123:AD128" si="197">SUM(V123:X123)</f>
        <v>3.6699999999999995</v>
      </c>
      <c r="AE123" s="12">
        <f t="shared" si="147"/>
        <v>0</v>
      </c>
      <c r="AF123" s="12">
        <f t="shared" si="190"/>
        <v>7.56</v>
      </c>
      <c r="AG123" s="150">
        <f t="shared" ref="AG123" si="198">AD123/AF123</f>
        <v>0.48544973544973541</v>
      </c>
      <c r="AI123" s="6" t="s">
        <v>54</v>
      </c>
      <c r="AJ123" s="12">
        <v>60.97</v>
      </c>
      <c r="AK123" s="12">
        <v>205.4</v>
      </c>
      <c r="AL123" s="382">
        <f t="shared" si="178"/>
        <v>0.29683544303797466</v>
      </c>
    </row>
    <row r="124" spans="1:43" x14ac:dyDescent="0.35">
      <c r="A124" s="182" t="s">
        <v>50</v>
      </c>
      <c r="B124" s="12">
        <f t="shared" ref="B124:Z124" si="199">B428+B277</f>
        <v>0</v>
      </c>
      <c r="C124" s="12">
        <f t="shared" si="199"/>
        <v>0</v>
      </c>
      <c r="D124" s="12">
        <f t="shared" si="199"/>
        <v>0</v>
      </c>
      <c r="E124" s="12">
        <f t="shared" si="199"/>
        <v>0</v>
      </c>
      <c r="F124" s="12">
        <f t="shared" si="199"/>
        <v>0</v>
      </c>
      <c r="G124" s="12">
        <f t="shared" si="199"/>
        <v>0</v>
      </c>
      <c r="H124" s="12">
        <f t="shared" si="199"/>
        <v>0</v>
      </c>
      <c r="I124" s="12">
        <f t="shared" si="199"/>
        <v>0</v>
      </c>
      <c r="J124" s="12">
        <f t="shared" si="199"/>
        <v>0</v>
      </c>
      <c r="K124" s="12">
        <f t="shared" si="199"/>
        <v>0</v>
      </c>
      <c r="L124" s="12">
        <f t="shared" si="199"/>
        <v>0</v>
      </c>
      <c r="M124" s="12">
        <f t="shared" si="199"/>
        <v>0</v>
      </c>
      <c r="N124" s="12">
        <f t="shared" si="199"/>
        <v>0</v>
      </c>
      <c r="O124" s="12">
        <f t="shared" si="199"/>
        <v>0</v>
      </c>
      <c r="P124" s="12">
        <f t="shared" si="199"/>
        <v>0</v>
      </c>
      <c r="Q124" s="12">
        <f t="shared" si="199"/>
        <v>0</v>
      </c>
      <c r="R124" s="54">
        <f t="shared" si="199"/>
        <v>0</v>
      </c>
      <c r="S124" s="12">
        <f t="shared" si="199"/>
        <v>9.02</v>
      </c>
      <c r="T124" s="12">
        <f t="shared" si="199"/>
        <v>0.8</v>
      </c>
      <c r="U124" s="12">
        <f t="shared" si="199"/>
        <v>13.32</v>
      </c>
      <c r="V124" s="12">
        <f t="shared" si="199"/>
        <v>21.43</v>
      </c>
      <c r="W124" s="12">
        <f t="shared" si="199"/>
        <v>14.129999999999999</v>
      </c>
      <c r="X124" s="12">
        <f t="shared" si="199"/>
        <v>0.15</v>
      </c>
      <c r="Y124" s="12">
        <f t="shared" si="199"/>
        <v>0</v>
      </c>
      <c r="Z124" s="12">
        <f t="shared" si="199"/>
        <v>58.85</v>
      </c>
      <c r="AA124" s="150">
        <f t="shared" si="195"/>
        <v>3.7637093994245386E-3</v>
      </c>
      <c r="AC124" s="12">
        <f t="shared" si="196"/>
        <v>23.14</v>
      </c>
      <c r="AD124" s="12">
        <f t="shared" si="197"/>
        <v>35.71</v>
      </c>
      <c r="AE124" s="12">
        <f t="shared" si="147"/>
        <v>0</v>
      </c>
      <c r="AF124" s="12">
        <f t="shared" si="190"/>
        <v>58.85</v>
      </c>
      <c r="AG124" s="150"/>
      <c r="AI124" s="182" t="s">
        <v>53</v>
      </c>
      <c r="AJ124" s="12">
        <v>57.899999999999991</v>
      </c>
      <c r="AK124" s="12">
        <v>257.61999999999995</v>
      </c>
      <c r="AL124" s="382">
        <f t="shared" si="178"/>
        <v>0.22474963123981059</v>
      </c>
    </row>
    <row r="125" spans="1:43" x14ac:dyDescent="0.35">
      <c r="A125" s="182" t="s">
        <v>51</v>
      </c>
      <c r="B125" s="12">
        <f t="shared" ref="B125:Z125" si="200">B429+B278</f>
        <v>0</v>
      </c>
      <c r="C125" s="12">
        <f t="shared" si="200"/>
        <v>0</v>
      </c>
      <c r="D125" s="12">
        <f t="shared" si="200"/>
        <v>0</v>
      </c>
      <c r="E125" s="12">
        <f t="shared" si="200"/>
        <v>0</v>
      </c>
      <c r="F125" s="12">
        <f t="shared" si="200"/>
        <v>0</v>
      </c>
      <c r="G125" s="12">
        <f t="shared" si="200"/>
        <v>0</v>
      </c>
      <c r="H125" s="12">
        <f t="shared" si="200"/>
        <v>0</v>
      </c>
      <c r="I125" s="12">
        <f t="shared" si="200"/>
        <v>0</v>
      </c>
      <c r="J125" s="12">
        <f t="shared" si="200"/>
        <v>0</v>
      </c>
      <c r="K125" s="12">
        <f t="shared" si="200"/>
        <v>0</v>
      </c>
      <c r="L125" s="12">
        <f t="shared" si="200"/>
        <v>0</v>
      </c>
      <c r="M125" s="12">
        <f t="shared" si="200"/>
        <v>0</v>
      </c>
      <c r="N125" s="12">
        <f t="shared" si="200"/>
        <v>0</v>
      </c>
      <c r="O125" s="12">
        <f t="shared" si="200"/>
        <v>0</v>
      </c>
      <c r="P125" s="12">
        <f t="shared" si="200"/>
        <v>0</v>
      </c>
      <c r="Q125" s="12">
        <f t="shared" si="200"/>
        <v>0</v>
      </c>
      <c r="R125" s="54">
        <f t="shared" si="200"/>
        <v>0</v>
      </c>
      <c r="S125" s="12">
        <f t="shared" si="200"/>
        <v>0</v>
      </c>
      <c r="T125" s="12">
        <f t="shared" si="200"/>
        <v>4.42</v>
      </c>
      <c r="U125" s="12">
        <f t="shared" si="200"/>
        <v>1.7</v>
      </c>
      <c r="V125" s="12">
        <f t="shared" si="200"/>
        <v>5.98</v>
      </c>
      <c r="W125" s="12">
        <f t="shared" si="200"/>
        <v>3.46</v>
      </c>
      <c r="X125" s="12">
        <f t="shared" si="200"/>
        <v>0</v>
      </c>
      <c r="Y125" s="12">
        <f t="shared" si="200"/>
        <v>0</v>
      </c>
      <c r="Z125" s="12">
        <f t="shared" si="200"/>
        <v>15.560000000000002</v>
      </c>
      <c r="AA125" s="150">
        <f t="shared" si="195"/>
        <v>9.9512860246467002E-4</v>
      </c>
      <c r="AC125" s="12">
        <f t="shared" si="196"/>
        <v>6.12</v>
      </c>
      <c r="AD125" s="12">
        <f t="shared" si="197"/>
        <v>9.4400000000000013</v>
      </c>
      <c r="AE125" s="12">
        <f t="shared" si="147"/>
        <v>0</v>
      </c>
      <c r="AF125" s="12">
        <f t="shared" si="190"/>
        <v>15.560000000000002</v>
      </c>
      <c r="AG125" s="150"/>
      <c r="AI125" s="6" t="s">
        <v>30</v>
      </c>
      <c r="AJ125" s="12">
        <v>54.289999999999992</v>
      </c>
      <c r="AK125" s="12">
        <v>131.08000000000001</v>
      </c>
      <c r="AL125" s="382">
        <f t="shared" si="178"/>
        <v>0.41417454989319491</v>
      </c>
    </row>
    <row r="126" spans="1:43" x14ac:dyDescent="0.35">
      <c r="A126" s="182" t="s">
        <v>52</v>
      </c>
      <c r="B126" s="12">
        <f t="shared" ref="B126:Z126" si="201">B430+B279</f>
        <v>0</v>
      </c>
      <c r="C126" s="12">
        <f t="shared" si="201"/>
        <v>0</v>
      </c>
      <c r="D126" s="12">
        <f t="shared" si="201"/>
        <v>0</v>
      </c>
      <c r="E126" s="12">
        <f t="shared" si="201"/>
        <v>0</v>
      </c>
      <c r="F126" s="12">
        <f t="shared" si="201"/>
        <v>0</v>
      </c>
      <c r="G126" s="12">
        <f t="shared" si="201"/>
        <v>0</v>
      </c>
      <c r="H126" s="12">
        <f t="shared" si="201"/>
        <v>0</v>
      </c>
      <c r="I126" s="12">
        <f t="shared" si="201"/>
        <v>0</v>
      </c>
      <c r="J126" s="12">
        <f t="shared" si="201"/>
        <v>0</v>
      </c>
      <c r="K126" s="12">
        <f t="shared" si="201"/>
        <v>0</v>
      </c>
      <c r="L126" s="12">
        <f t="shared" si="201"/>
        <v>0</v>
      </c>
      <c r="M126" s="12">
        <f t="shared" si="201"/>
        <v>0</v>
      </c>
      <c r="N126" s="12">
        <f t="shared" si="201"/>
        <v>0</v>
      </c>
      <c r="O126" s="12">
        <f t="shared" si="201"/>
        <v>0</v>
      </c>
      <c r="P126" s="12">
        <f t="shared" si="201"/>
        <v>0</v>
      </c>
      <c r="Q126" s="12">
        <f t="shared" si="201"/>
        <v>0</v>
      </c>
      <c r="R126" s="54">
        <f t="shared" si="201"/>
        <v>0</v>
      </c>
      <c r="S126" s="12">
        <f t="shared" si="201"/>
        <v>0</v>
      </c>
      <c r="T126" s="12">
        <f t="shared" si="201"/>
        <v>0</v>
      </c>
      <c r="U126" s="12">
        <f t="shared" si="201"/>
        <v>0.99</v>
      </c>
      <c r="V126" s="12">
        <f t="shared" si="201"/>
        <v>0</v>
      </c>
      <c r="W126" s="12">
        <f t="shared" si="201"/>
        <v>1.87</v>
      </c>
      <c r="X126" s="12">
        <f t="shared" si="201"/>
        <v>0</v>
      </c>
      <c r="Y126" s="12">
        <f t="shared" si="201"/>
        <v>0</v>
      </c>
      <c r="Z126" s="12">
        <f t="shared" si="201"/>
        <v>2.8600000000000003</v>
      </c>
      <c r="AA126" s="150">
        <f t="shared" si="195"/>
        <v>1.8290924184119253E-4</v>
      </c>
      <c r="AC126" s="12">
        <f t="shared" si="196"/>
        <v>0.99</v>
      </c>
      <c r="AD126" s="12">
        <f t="shared" si="197"/>
        <v>1.87</v>
      </c>
      <c r="AE126" s="12">
        <f t="shared" si="147"/>
        <v>0</v>
      </c>
      <c r="AF126" s="12">
        <f t="shared" si="190"/>
        <v>2.8600000000000003</v>
      </c>
      <c r="AG126" s="150"/>
      <c r="AI126" s="182" t="s">
        <v>50</v>
      </c>
      <c r="AJ126" s="12">
        <v>35.71</v>
      </c>
      <c r="AK126" s="12">
        <v>58.85</v>
      </c>
      <c r="AL126" s="382">
        <f t="shared" si="178"/>
        <v>0.60679694137638063</v>
      </c>
    </row>
    <row r="127" spans="1:43" x14ac:dyDescent="0.35">
      <c r="A127" s="182" t="s">
        <v>53</v>
      </c>
      <c r="B127" s="12">
        <f t="shared" ref="B127:Z127" si="202">B431+B280</f>
        <v>0</v>
      </c>
      <c r="C127" s="12">
        <f t="shared" si="202"/>
        <v>0</v>
      </c>
      <c r="D127" s="12">
        <f t="shared" si="202"/>
        <v>0</v>
      </c>
      <c r="E127" s="12">
        <f t="shared" si="202"/>
        <v>0</v>
      </c>
      <c r="F127" s="12">
        <f t="shared" si="202"/>
        <v>0</v>
      </c>
      <c r="G127" s="12">
        <f t="shared" si="202"/>
        <v>0</v>
      </c>
      <c r="H127" s="12">
        <f t="shared" si="202"/>
        <v>0</v>
      </c>
      <c r="I127" s="12">
        <f t="shared" si="202"/>
        <v>0</v>
      </c>
      <c r="J127" s="12">
        <f t="shared" si="202"/>
        <v>0</v>
      </c>
      <c r="K127" s="12">
        <f t="shared" si="202"/>
        <v>13.19</v>
      </c>
      <c r="L127" s="12">
        <f t="shared" si="202"/>
        <v>0.74</v>
      </c>
      <c r="M127" s="12">
        <f t="shared" si="202"/>
        <v>13.58</v>
      </c>
      <c r="N127" s="12">
        <f t="shared" si="202"/>
        <v>0.17</v>
      </c>
      <c r="O127" s="12">
        <f t="shared" si="202"/>
        <v>7.18</v>
      </c>
      <c r="P127" s="12">
        <f t="shared" si="202"/>
        <v>6.8899999999999988</v>
      </c>
      <c r="Q127" s="12">
        <f t="shared" si="202"/>
        <v>15.959999999999999</v>
      </c>
      <c r="R127" s="54">
        <f t="shared" si="202"/>
        <v>45.16</v>
      </c>
      <c r="S127" s="12">
        <f t="shared" si="202"/>
        <v>22.32</v>
      </c>
      <c r="T127" s="12">
        <f t="shared" si="202"/>
        <v>18.329999999999998</v>
      </c>
      <c r="U127" s="12">
        <f t="shared" si="202"/>
        <v>56.199999999999996</v>
      </c>
      <c r="V127" s="12">
        <f t="shared" si="202"/>
        <v>37.519999999999996</v>
      </c>
      <c r="W127" s="12">
        <f t="shared" si="202"/>
        <v>18.079999999999998</v>
      </c>
      <c r="X127" s="12">
        <f t="shared" si="202"/>
        <v>2.2999999999999998</v>
      </c>
      <c r="Y127" s="12">
        <f t="shared" si="202"/>
        <v>0</v>
      </c>
      <c r="Z127" s="12">
        <f t="shared" si="202"/>
        <v>257.61999999999995</v>
      </c>
      <c r="AA127" s="150">
        <f t="shared" si="195"/>
        <v>1.6475901707387417E-2</v>
      </c>
      <c r="AC127" s="12">
        <f t="shared" si="196"/>
        <v>199.71999999999997</v>
      </c>
      <c r="AD127" s="12">
        <f t="shared" si="197"/>
        <v>57.899999999999991</v>
      </c>
      <c r="AE127" s="12">
        <f t="shared" si="147"/>
        <v>0</v>
      </c>
      <c r="AF127" s="12">
        <f t="shared" si="190"/>
        <v>257.61999999999995</v>
      </c>
      <c r="AG127" s="150">
        <f t="shared" ref="AG127:AG128" si="203">AD127/AF127</f>
        <v>0.22474963123981059</v>
      </c>
      <c r="AI127" s="6" t="s">
        <v>22</v>
      </c>
      <c r="AJ127" s="12">
        <v>31.48</v>
      </c>
      <c r="AK127" s="12">
        <v>403.24</v>
      </c>
      <c r="AL127" s="382">
        <f t="shared" si="178"/>
        <v>7.8067652018648945E-2</v>
      </c>
    </row>
    <row r="128" spans="1:43" x14ac:dyDescent="0.35">
      <c r="A128" s="6" t="s">
        <v>54</v>
      </c>
      <c r="B128" s="12">
        <f t="shared" ref="B128:Z128" si="204">B432+B281</f>
        <v>0</v>
      </c>
      <c r="C128" s="12">
        <f t="shared" si="204"/>
        <v>4.08</v>
      </c>
      <c r="D128" s="12">
        <f t="shared" si="204"/>
        <v>0</v>
      </c>
      <c r="E128" s="12">
        <f t="shared" si="204"/>
        <v>0</v>
      </c>
      <c r="F128" s="12">
        <f t="shared" si="204"/>
        <v>4.18</v>
      </c>
      <c r="G128" s="12">
        <f t="shared" si="204"/>
        <v>0</v>
      </c>
      <c r="H128" s="12">
        <f t="shared" si="204"/>
        <v>0</v>
      </c>
      <c r="I128" s="12">
        <f t="shared" si="204"/>
        <v>0</v>
      </c>
      <c r="J128" s="12">
        <f t="shared" si="204"/>
        <v>0</v>
      </c>
      <c r="K128" s="12">
        <f t="shared" si="204"/>
        <v>0</v>
      </c>
      <c r="L128" s="12">
        <f t="shared" si="204"/>
        <v>0</v>
      </c>
      <c r="M128" s="12">
        <f t="shared" si="204"/>
        <v>1.37</v>
      </c>
      <c r="N128" s="12">
        <f t="shared" si="204"/>
        <v>5.93</v>
      </c>
      <c r="O128" s="12">
        <f t="shared" si="204"/>
        <v>9.66</v>
      </c>
      <c r="P128" s="12">
        <f t="shared" si="204"/>
        <v>2.33</v>
      </c>
      <c r="Q128" s="12">
        <f t="shared" si="204"/>
        <v>6.71</v>
      </c>
      <c r="R128" s="54">
        <f t="shared" si="204"/>
        <v>5.74</v>
      </c>
      <c r="S128" s="12">
        <f t="shared" si="204"/>
        <v>10.44</v>
      </c>
      <c r="T128" s="12">
        <f t="shared" si="204"/>
        <v>23.03</v>
      </c>
      <c r="U128" s="12">
        <f t="shared" si="204"/>
        <v>70.960000000000008</v>
      </c>
      <c r="V128" s="12">
        <f t="shared" si="204"/>
        <v>25.4</v>
      </c>
      <c r="W128" s="12">
        <f t="shared" si="204"/>
        <v>29.75</v>
      </c>
      <c r="X128" s="12">
        <f t="shared" si="204"/>
        <v>5.82</v>
      </c>
      <c r="Y128" s="12">
        <f t="shared" si="204"/>
        <v>0</v>
      </c>
      <c r="Z128" s="12">
        <f t="shared" si="204"/>
        <v>205.4</v>
      </c>
      <c r="AA128" s="150">
        <f t="shared" si="195"/>
        <v>1.3136209186776554E-2</v>
      </c>
      <c r="AC128" s="12">
        <f t="shared" si="196"/>
        <v>144.43</v>
      </c>
      <c r="AD128" s="12">
        <f t="shared" si="197"/>
        <v>60.97</v>
      </c>
      <c r="AE128" s="12">
        <f t="shared" si="147"/>
        <v>0</v>
      </c>
      <c r="AF128" s="12">
        <f t="shared" si="190"/>
        <v>205.4</v>
      </c>
      <c r="AG128" s="150">
        <f t="shared" si="203"/>
        <v>0.29683544303797466</v>
      </c>
      <c r="AI128" s="6" t="s">
        <v>23</v>
      </c>
      <c r="AJ128" s="12">
        <v>22.94</v>
      </c>
      <c r="AK128" s="12">
        <v>60.02</v>
      </c>
      <c r="AL128" s="382">
        <f t="shared" si="178"/>
        <v>0.38220593135621461</v>
      </c>
    </row>
    <row r="129" spans="1:38" x14ac:dyDescent="0.35">
      <c r="A129" s="11" t="s">
        <v>18</v>
      </c>
      <c r="B129" s="119">
        <f t="shared" ref="B129:Z129" si="205">B433+B282</f>
        <v>0</v>
      </c>
      <c r="C129" s="119">
        <f t="shared" si="205"/>
        <v>0</v>
      </c>
      <c r="D129" s="119">
        <f t="shared" si="205"/>
        <v>0</v>
      </c>
      <c r="E129" s="119">
        <f t="shared" si="205"/>
        <v>0</v>
      </c>
      <c r="F129" s="119">
        <f t="shared" si="205"/>
        <v>0</v>
      </c>
      <c r="G129" s="119">
        <f t="shared" si="205"/>
        <v>0</v>
      </c>
      <c r="H129" s="119">
        <f t="shared" si="205"/>
        <v>0</v>
      </c>
      <c r="I129" s="119">
        <f t="shared" si="205"/>
        <v>0</v>
      </c>
      <c r="J129" s="119">
        <f t="shared" si="205"/>
        <v>0</v>
      </c>
      <c r="K129" s="119">
        <f t="shared" si="205"/>
        <v>0</v>
      </c>
      <c r="L129" s="119">
        <f t="shared" si="205"/>
        <v>0</v>
      </c>
      <c r="M129" s="119">
        <f t="shared" si="205"/>
        <v>0</v>
      </c>
      <c r="N129" s="119">
        <f t="shared" si="205"/>
        <v>0</v>
      </c>
      <c r="O129" s="119">
        <f t="shared" si="205"/>
        <v>0</v>
      </c>
      <c r="P129" s="119">
        <f t="shared" si="205"/>
        <v>0</v>
      </c>
      <c r="Q129" s="119">
        <f t="shared" si="205"/>
        <v>0</v>
      </c>
      <c r="R129" s="119">
        <f t="shared" si="205"/>
        <v>0</v>
      </c>
      <c r="S129" s="119">
        <f t="shared" si="205"/>
        <v>0</v>
      </c>
      <c r="T129" s="119">
        <f t="shared" si="205"/>
        <v>0</v>
      </c>
      <c r="U129" s="119">
        <f t="shared" si="205"/>
        <v>0</v>
      </c>
      <c r="V129" s="119">
        <f t="shared" si="205"/>
        <v>0</v>
      </c>
      <c r="W129" s="119">
        <f t="shared" si="205"/>
        <v>0</v>
      </c>
      <c r="X129" s="119">
        <f t="shared" si="205"/>
        <v>0</v>
      </c>
      <c r="Y129" s="119">
        <f t="shared" si="205"/>
        <v>0</v>
      </c>
      <c r="Z129" s="119">
        <f t="shared" si="205"/>
        <v>0</v>
      </c>
      <c r="AA129" s="144">
        <f t="shared" si="195"/>
        <v>0</v>
      </c>
      <c r="AC129" s="119">
        <f t="shared" si="196"/>
        <v>0</v>
      </c>
      <c r="AD129" s="119">
        <f>SUM(V129:X129)</f>
        <v>0</v>
      </c>
      <c r="AE129" s="119">
        <f t="shared" si="147"/>
        <v>0</v>
      </c>
      <c r="AF129" s="119">
        <f>SUM(AC129:AE129)</f>
        <v>0</v>
      </c>
      <c r="AG129" s="143"/>
      <c r="AI129" s="6" t="s">
        <v>44</v>
      </c>
      <c r="AJ129" s="12">
        <v>22.599999999999998</v>
      </c>
      <c r="AK129" s="12">
        <v>147.25</v>
      </c>
      <c r="AL129" s="382">
        <f t="shared" si="178"/>
        <v>0.15348047538200338</v>
      </c>
    </row>
    <row r="130" spans="1:38" x14ac:dyDescent="0.35">
      <c r="A130" s="6" t="s">
        <v>18</v>
      </c>
      <c r="B130" s="12">
        <f t="shared" ref="B130:Z130" si="206">B434+B283</f>
        <v>0</v>
      </c>
      <c r="C130" s="12">
        <f t="shared" si="206"/>
        <v>0</v>
      </c>
      <c r="D130" s="12">
        <f t="shared" si="206"/>
        <v>0</v>
      </c>
      <c r="E130" s="12">
        <f t="shared" si="206"/>
        <v>0</v>
      </c>
      <c r="F130" s="12">
        <f t="shared" si="206"/>
        <v>0</v>
      </c>
      <c r="G130" s="12">
        <f t="shared" si="206"/>
        <v>0</v>
      </c>
      <c r="H130" s="12">
        <f t="shared" si="206"/>
        <v>0</v>
      </c>
      <c r="I130" s="12">
        <f t="shared" si="206"/>
        <v>0</v>
      </c>
      <c r="J130" s="12">
        <f t="shared" si="206"/>
        <v>0</v>
      </c>
      <c r="K130" s="12">
        <f t="shared" si="206"/>
        <v>0</v>
      </c>
      <c r="L130" s="12">
        <f t="shared" si="206"/>
        <v>0</v>
      </c>
      <c r="M130" s="12">
        <f t="shared" si="206"/>
        <v>0</v>
      </c>
      <c r="N130" s="12">
        <f t="shared" si="206"/>
        <v>0</v>
      </c>
      <c r="O130" s="12">
        <f t="shared" si="206"/>
        <v>0</v>
      </c>
      <c r="P130" s="12">
        <f t="shared" si="206"/>
        <v>0</v>
      </c>
      <c r="Q130" s="12">
        <f t="shared" si="206"/>
        <v>0</v>
      </c>
      <c r="R130" s="54">
        <f t="shared" si="206"/>
        <v>0</v>
      </c>
      <c r="S130" s="12">
        <f t="shared" si="206"/>
        <v>0</v>
      </c>
      <c r="T130" s="12">
        <f t="shared" si="206"/>
        <v>0</v>
      </c>
      <c r="U130" s="12">
        <f t="shared" si="206"/>
        <v>0</v>
      </c>
      <c r="V130" s="12">
        <f t="shared" si="206"/>
        <v>0</v>
      </c>
      <c r="W130" s="12">
        <f t="shared" si="206"/>
        <v>0</v>
      </c>
      <c r="X130" s="12">
        <f t="shared" si="206"/>
        <v>0</v>
      </c>
      <c r="Y130" s="12">
        <f t="shared" si="206"/>
        <v>0</v>
      </c>
      <c r="Z130" s="12">
        <f t="shared" si="206"/>
        <v>0</v>
      </c>
      <c r="AA130" s="150">
        <f t="shared" si="195"/>
        <v>0</v>
      </c>
      <c r="AC130" s="12">
        <f t="shared" si="196"/>
        <v>0</v>
      </c>
      <c r="AD130" s="12">
        <f t="shared" ref="AD130" si="207">SUM(V130:X130)</f>
        <v>0</v>
      </c>
      <c r="AE130" s="12">
        <f t="shared" si="147"/>
        <v>0</v>
      </c>
      <c r="AF130" s="12">
        <f t="shared" ref="AF130" si="208">SUM(AC130:AE130)</f>
        <v>0</v>
      </c>
      <c r="AG130" s="150"/>
    </row>
    <row r="131" spans="1:38" x14ac:dyDescent="0.35">
      <c r="A131" s="11" t="s">
        <v>17</v>
      </c>
      <c r="B131" s="119">
        <f t="shared" ref="B131:Z131" si="209">B435+B284</f>
        <v>52.33</v>
      </c>
      <c r="C131" s="119">
        <f t="shared" si="209"/>
        <v>0.47</v>
      </c>
      <c r="D131" s="119">
        <f t="shared" si="209"/>
        <v>0</v>
      </c>
      <c r="E131" s="119">
        <f t="shared" si="209"/>
        <v>0</v>
      </c>
      <c r="F131" s="119">
        <f t="shared" si="209"/>
        <v>0</v>
      </c>
      <c r="G131" s="119">
        <f t="shared" si="209"/>
        <v>0</v>
      </c>
      <c r="H131" s="119">
        <f t="shared" si="209"/>
        <v>0</v>
      </c>
      <c r="I131" s="119">
        <f t="shared" si="209"/>
        <v>0</v>
      </c>
      <c r="J131" s="119">
        <f t="shared" si="209"/>
        <v>0</v>
      </c>
      <c r="K131" s="119">
        <f t="shared" si="209"/>
        <v>0</v>
      </c>
      <c r="L131" s="119">
        <f t="shared" si="209"/>
        <v>26.58</v>
      </c>
      <c r="M131" s="119">
        <f t="shared" si="209"/>
        <v>1.28</v>
      </c>
      <c r="N131" s="119">
        <f t="shared" si="209"/>
        <v>0</v>
      </c>
      <c r="O131" s="119">
        <f t="shared" si="209"/>
        <v>0</v>
      </c>
      <c r="P131" s="119">
        <f t="shared" si="209"/>
        <v>0.56999999999999995</v>
      </c>
      <c r="Q131" s="119">
        <f t="shared" si="209"/>
        <v>7.8900000000000006</v>
      </c>
      <c r="R131" s="119">
        <f t="shared" si="209"/>
        <v>1.81</v>
      </c>
      <c r="S131" s="119">
        <f t="shared" si="209"/>
        <v>22.980000000000004</v>
      </c>
      <c r="T131" s="119">
        <f t="shared" si="209"/>
        <v>129.85</v>
      </c>
      <c r="U131" s="119">
        <f t="shared" si="209"/>
        <v>63.269999999999996</v>
      </c>
      <c r="V131" s="119">
        <f t="shared" si="209"/>
        <v>102</v>
      </c>
      <c r="W131" s="119">
        <f t="shared" si="209"/>
        <v>75.89</v>
      </c>
      <c r="X131" s="119">
        <f t="shared" si="209"/>
        <v>79.89</v>
      </c>
      <c r="Y131" s="119">
        <f t="shared" si="209"/>
        <v>0.27</v>
      </c>
      <c r="Z131" s="119">
        <f t="shared" si="209"/>
        <v>565.08000000000004</v>
      </c>
      <c r="AA131" s="144">
        <f t="shared" si="195"/>
        <v>3.6139284748119262E-2</v>
      </c>
      <c r="AC131" s="119">
        <f t="shared" si="196"/>
        <v>307.02999999999997</v>
      </c>
      <c r="AD131" s="119">
        <f>SUM(V131:X131)</f>
        <v>257.77999999999997</v>
      </c>
      <c r="AE131" s="131">
        <f t="shared" si="147"/>
        <v>0.27</v>
      </c>
      <c r="AF131" s="119">
        <f>SUM(AC131:AE131)</f>
        <v>565.07999999999993</v>
      </c>
      <c r="AG131" s="143">
        <f>AD131/AF131</f>
        <v>0.45618319529978058</v>
      </c>
    </row>
    <row r="132" spans="1:38" x14ac:dyDescent="0.35">
      <c r="A132" s="6" t="s">
        <v>55</v>
      </c>
      <c r="B132" s="12">
        <f t="shared" ref="B132:Z132" si="210">B436+B285</f>
        <v>52.33</v>
      </c>
      <c r="C132" s="12">
        <f t="shared" si="210"/>
        <v>0.47</v>
      </c>
      <c r="D132" s="12">
        <f t="shared" si="210"/>
        <v>0</v>
      </c>
      <c r="E132" s="12">
        <f t="shared" si="210"/>
        <v>0</v>
      </c>
      <c r="F132" s="12">
        <f t="shared" si="210"/>
        <v>0</v>
      </c>
      <c r="G132" s="12">
        <f t="shared" si="210"/>
        <v>0</v>
      </c>
      <c r="H132" s="12">
        <f t="shared" si="210"/>
        <v>0</v>
      </c>
      <c r="I132" s="12">
        <f t="shared" si="210"/>
        <v>0</v>
      </c>
      <c r="J132" s="12">
        <f t="shared" si="210"/>
        <v>0</v>
      </c>
      <c r="K132" s="12">
        <f t="shared" si="210"/>
        <v>0</v>
      </c>
      <c r="L132" s="12">
        <f t="shared" si="210"/>
        <v>26.58</v>
      </c>
      <c r="M132" s="12">
        <f t="shared" si="210"/>
        <v>0</v>
      </c>
      <c r="N132" s="12">
        <f t="shared" si="210"/>
        <v>0</v>
      </c>
      <c r="O132" s="12">
        <f t="shared" si="210"/>
        <v>0</v>
      </c>
      <c r="P132" s="12">
        <f t="shared" si="210"/>
        <v>0</v>
      </c>
      <c r="Q132" s="12">
        <f t="shared" si="210"/>
        <v>0</v>
      </c>
      <c r="R132" s="54">
        <f t="shared" si="210"/>
        <v>0.95</v>
      </c>
      <c r="S132" s="12">
        <f t="shared" si="210"/>
        <v>0</v>
      </c>
      <c r="T132" s="12">
        <f t="shared" si="210"/>
        <v>6.5500000000000007</v>
      </c>
      <c r="U132" s="12">
        <f t="shared" si="210"/>
        <v>31.62</v>
      </c>
      <c r="V132" s="12">
        <f t="shared" si="210"/>
        <v>15.880000000000003</v>
      </c>
      <c r="W132" s="12">
        <f t="shared" si="210"/>
        <v>33.78</v>
      </c>
      <c r="X132" s="12">
        <f t="shared" si="210"/>
        <v>79.33</v>
      </c>
      <c r="Y132" s="12">
        <f t="shared" si="210"/>
        <v>0.09</v>
      </c>
      <c r="Z132" s="12">
        <f t="shared" si="210"/>
        <v>247.57999999999998</v>
      </c>
      <c r="AA132" s="150">
        <f t="shared" si="195"/>
        <v>1.5833800732532322E-2</v>
      </c>
      <c r="AC132" s="12">
        <f t="shared" si="196"/>
        <v>118.5</v>
      </c>
      <c r="AD132" s="12">
        <f t="shared" ref="AD132:AD133" si="211">SUM(V132:X132)</f>
        <v>128.99</v>
      </c>
      <c r="AE132" s="12">
        <f t="shared" si="147"/>
        <v>0.09</v>
      </c>
      <c r="AF132" s="12">
        <f t="shared" ref="AF132" si="212">SUM(AC132:AE132)</f>
        <v>247.58</v>
      </c>
      <c r="AG132" s="150">
        <f t="shared" ref="AG132:AG133" si="213">AD132/AF132</f>
        <v>0.52100331206074801</v>
      </c>
    </row>
    <row r="133" spans="1:38" x14ac:dyDescent="0.35">
      <c r="A133" s="6" t="s">
        <v>56</v>
      </c>
      <c r="B133" s="12">
        <f t="shared" ref="B133:Z133" si="214">B437+B286</f>
        <v>0</v>
      </c>
      <c r="C133" s="12">
        <f t="shared" si="214"/>
        <v>0</v>
      </c>
      <c r="D133" s="12">
        <f t="shared" si="214"/>
        <v>0</v>
      </c>
      <c r="E133" s="12">
        <f t="shared" si="214"/>
        <v>0</v>
      </c>
      <c r="F133" s="12">
        <f t="shared" si="214"/>
        <v>0</v>
      </c>
      <c r="G133" s="12">
        <f t="shared" si="214"/>
        <v>0</v>
      </c>
      <c r="H133" s="12">
        <f t="shared" si="214"/>
        <v>0</v>
      </c>
      <c r="I133" s="12">
        <f t="shared" si="214"/>
        <v>0</v>
      </c>
      <c r="J133" s="12">
        <f t="shared" si="214"/>
        <v>0</v>
      </c>
      <c r="K133" s="12">
        <f t="shared" si="214"/>
        <v>0</v>
      </c>
      <c r="L133" s="12">
        <f t="shared" si="214"/>
        <v>0</v>
      </c>
      <c r="M133" s="12">
        <f t="shared" si="214"/>
        <v>1.28</v>
      </c>
      <c r="N133" s="12">
        <f t="shared" si="214"/>
        <v>0</v>
      </c>
      <c r="O133" s="12">
        <f t="shared" si="214"/>
        <v>0</v>
      </c>
      <c r="P133" s="12">
        <f t="shared" si="214"/>
        <v>0.56999999999999995</v>
      </c>
      <c r="Q133" s="12">
        <f t="shared" si="214"/>
        <v>7.8900000000000006</v>
      </c>
      <c r="R133" s="54">
        <f t="shared" si="214"/>
        <v>0.86</v>
      </c>
      <c r="S133" s="12">
        <f t="shared" si="214"/>
        <v>22.980000000000004</v>
      </c>
      <c r="T133" s="12">
        <f t="shared" si="214"/>
        <v>123.3</v>
      </c>
      <c r="U133" s="12">
        <f t="shared" si="214"/>
        <v>31.65</v>
      </c>
      <c r="V133" s="12">
        <f t="shared" si="214"/>
        <v>86.12</v>
      </c>
      <c r="W133" s="12">
        <f t="shared" si="214"/>
        <v>42.11</v>
      </c>
      <c r="X133" s="12">
        <f t="shared" si="214"/>
        <v>0.56000000000000005</v>
      </c>
      <c r="Y133" s="12">
        <f t="shared" si="214"/>
        <v>0.18000000000000002</v>
      </c>
      <c r="Z133" s="12">
        <f t="shared" si="214"/>
        <v>317.5</v>
      </c>
      <c r="AA133" s="150">
        <f t="shared" si="195"/>
        <v>2.0305484015586933E-2</v>
      </c>
      <c r="AC133" s="12">
        <f t="shared" si="196"/>
        <v>188.53</v>
      </c>
      <c r="AD133" s="12">
        <f t="shared" si="211"/>
        <v>128.79000000000002</v>
      </c>
      <c r="AE133" s="54">
        <f t="shared" si="147"/>
        <v>0.18000000000000002</v>
      </c>
      <c r="AF133" s="12">
        <f t="shared" ref="AF133:AF142" si="215">SUM(AC133:AE133)</f>
        <v>317.50000000000006</v>
      </c>
      <c r="AG133" s="150">
        <f t="shared" si="213"/>
        <v>0.40563779527559052</v>
      </c>
    </row>
    <row r="134" spans="1:38" x14ac:dyDescent="0.35">
      <c r="A134" s="11" t="s">
        <v>20</v>
      </c>
      <c r="B134" s="119">
        <f t="shared" ref="B134:Z134" si="216">B438+B287</f>
        <v>0</v>
      </c>
      <c r="C134" s="119">
        <f t="shared" si="216"/>
        <v>0</v>
      </c>
      <c r="D134" s="119">
        <f t="shared" si="216"/>
        <v>0</v>
      </c>
      <c r="E134" s="119">
        <f t="shared" si="216"/>
        <v>0</v>
      </c>
      <c r="F134" s="119">
        <f t="shared" si="216"/>
        <v>0</v>
      </c>
      <c r="G134" s="119">
        <f t="shared" si="216"/>
        <v>0</v>
      </c>
      <c r="H134" s="119">
        <f t="shared" si="216"/>
        <v>0</v>
      </c>
      <c r="I134" s="119">
        <f t="shared" si="216"/>
        <v>0</v>
      </c>
      <c r="J134" s="119">
        <f t="shared" si="216"/>
        <v>0</v>
      </c>
      <c r="K134" s="119">
        <f t="shared" si="216"/>
        <v>0</v>
      </c>
      <c r="L134" s="119">
        <f t="shared" si="216"/>
        <v>0</v>
      </c>
      <c r="M134" s="119">
        <f t="shared" si="216"/>
        <v>0</v>
      </c>
      <c r="N134" s="119">
        <f t="shared" si="216"/>
        <v>0</v>
      </c>
      <c r="O134" s="119">
        <f t="shared" si="216"/>
        <v>0</v>
      </c>
      <c r="P134" s="119">
        <f t="shared" si="216"/>
        <v>0</v>
      </c>
      <c r="Q134" s="119">
        <f t="shared" si="216"/>
        <v>0</v>
      </c>
      <c r="R134" s="119">
        <f t="shared" si="216"/>
        <v>2.44</v>
      </c>
      <c r="S134" s="119">
        <f t="shared" si="216"/>
        <v>0</v>
      </c>
      <c r="T134" s="119">
        <f t="shared" si="216"/>
        <v>0</v>
      </c>
      <c r="U134" s="119">
        <f t="shared" si="216"/>
        <v>8.11</v>
      </c>
      <c r="V134" s="119">
        <f t="shared" si="216"/>
        <v>0.81</v>
      </c>
      <c r="W134" s="119">
        <f t="shared" si="216"/>
        <v>7.56</v>
      </c>
      <c r="X134" s="119">
        <f t="shared" si="216"/>
        <v>0</v>
      </c>
      <c r="Y134" s="119">
        <f t="shared" si="216"/>
        <v>0.09</v>
      </c>
      <c r="Z134" s="119">
        <f t="shared" si="216"/>
        <v>19.009999999999998</v>
      </c>
      <c r="AA134" s="144">
        <f t="shared" si="195"/>
        <v>1.2157708697206537E-3</v>
      </c>
      <c r="AC134" s="119">
        <f t="shared" si="196"/>
        <v>10.549999999999999</v>
      </c>
      <c r="AD134" s="119">
        <f>SUM(V134:X134)</f>
        <v>8.3699999999999992</v>
      </c>
      <c r="AE134" s="119">
        <f t="shared" si="147"/>
        <v>0.09</v>
      </c>
      <c r="AF134" s="119">
        <f t="shared" si="215"/>
        <v>19.009999999999998</v>
      </c>
      <c r="AG134" s="143"/>
    </row>
    <row r="135" spans="1:38" x14ac:dyDescent="0.35">
      <c r="A135" s="6" t="s">
        <v>20</v>
      </c>
      <c r="B135" s="12">
        <f t="shared" ref="B135:Z135" si="217">B439+B288</f>
        <v>0</v>
      </c>
      <c r="C135" s="12">
        <f t="shared" si="217"/>
        <v>0</v>
      </c>
      <c r="D135" s="12">
        <f t="shared" si="217"/>
        <v>0</v>
      </c>
      <c r="E135" s="12">
        <f t="shared" si="217"/>
        <v>0</v>
      </c>
      <c r="F135" s="12">
        <f t="shared" si="217"/>
        <v>0</v>
      </c>
      <c r="G135" s="12">
        <f t="shared" si="217"/>
        <v>0</v>
      </c>
      <c r="H135" s="12">
        <f t="shared" si="217"/>
        <v>0</v>
      </c>
      <c r="I135" s="12">
        <f t="shared" si="217"/>
        <v>0</v>
      </c>
      <c r="J135" s="12">
        <f t="shared" si="217"/>
        <v>0</v>
      </c>
      <c r="K135" s="12">
        <f t="shared" si="217"/>
        <v>0</v>
      </c>
      <c r="L135" s="12">
        <f t="shared" si="217"/>
        <v>0</v>
      </c>
      <c r="M135" s="12">
        <f t="shared" si="217"/>
        <v>0</v>
      </c>
      <c r="N135" s="12">
        <f t="shared" si="217"/>
        <v>0</v>
      </c>
      <c r="O135" s="12">
        <f t="shared" si="217"/>
        <v>0</v>
      </c>
      <c r="P135" s="12">
        <f t="shared" si="217"/>
        <v>0</v>
      </c>
      <c r="Q135" s="12">
        <f t="shared" si="217"/>
        <v>0</v>
      </c>
      <c r="R135" s="54">
        <f t="shared" si="217"/>
        <v>2.44</v>
      </c>
      <c r="S135" s="12">
        <f t="shared" si="217"/>
        <v>0</v>
      </c>
      <c r="T135" s="12">
        <f t="shared" si="217"/>
        <v>0</v>
      </c>
      <c r="U135" s="12">
        <f t="shared" si="217"/>
        <v>8.11</v>
      </c>
      <c r="V135" s="12">
        <f t="shared" si="217"/>
        <v>0.81</v>
      </c>
      <c r="W135" s="12">
        <f t="shared" si="217"/>
        <v>7.56</v>
      </c>
      <c r="X135" s="12">
        <f t="shared" si="217"/>
        <v>0</v>
      </c>
      <c r="Y135" s="12">
        <f t="shared" si="217"/>
        <v>0.09</v>
      </c>
      <c r="Z135" s="12">
        <f t="shared" si="217"/>
        <v>19.009999999999998</v>
      </c>
      <c r="AA135" s="150">
        <f t="shared" si="195"/>
        <v>1.2157708697206537E-3</v>
      </c>
      <c r="AC135" s="12">
        <f t="shared" si="196"/>
        <v>10.549999999999999</v>
      </c>
      <c r="AD135" s="12">
        <f t="shared" ref="AD135" si="218">SUM(V135:X135)</f>
        <v>8.3699999999999992</v>
      </c>
      <c r="AE135" s="12">
        <f t="shared" si="147"/>
        <v>0.09</v>
      </c>
      <c r="AF135" s="12">
        <f t="shared" si="215"/>
        <v>19.009999999999998</v>
      </c>
      <c r="AG135" s="150"/>
    </row>
    <row r="136" spans="1:38" x14ac:dyDescent="0.35">
      <c r="A136" s="11" t="s">
        <v>21</v>
      </c>
      <c r="B136" s="119">
        <f t="shared" ref="B136:Z136" si="219">B440+B289</f>
        <v>5.04</v>
      </c>
      <c r="C136" s="119">
        <f t="shared" si="219"/>
        <v>4.22</v>
      </c>
      <c r="D136" s="119">
        <f t="shared" si="219"/>
        <v>0</v>
      </c>
      <c r="E136" s="119">
        <f t="shared" si="219"/>
        <v>0</v>
      </c>
      <c r="F136" s="119">
        <f t="shared" si="219"/>
        <v>0</v>
      </c>
      <c r="G136" s="119">
        <f t="shared" si="219"/>
        <v>0</v>
      </c>
      <c r="H136" s="119">
        <f t="shared" si="219"/>
        <v>0</v>
      </c>
      <c r="I136" s="119">
        <f t="shared" si="219"/>
        <v>0</v>
      </c>
      <c r="J136" s="119">
        <f t="shared" si="219"/>
        <v>0</v>
      </c>
      <c r="K136" s="119">
        <f t="shared" si="219"/>
        <v>0.83</v>
      </c>
      <c r="L136" s="119">
        <f t="shared" si="219"/>
        <v>0</v>
      </c>
      <c r="M136" s="119">
        <f t="shared" si="219"/>
        <v>0.56999999999999995</v>
      </c>
      <c r="N136" s="119">
        <f t="shared" si="219"/>
        <v>0</v>
      </c>
      <c r="O136" s="119">
        <f t="shared" si="219"/>
        <v>21.09</v>
      </c>
      <c r="P136" s="119">
        <f t="shared" si="219"/>
        <v>0</v>
      </c>
      <c r="Q136" s="119">
        <f t="shared" si="219"/>
        <v>0</v>
      </c>
      <c r="R136" s="119">
        <f t="shared" si="219"/>
        <v>3.85</v>
      </c>
      <c r="S136" s="119">
        <f t="shared" si="219"/>
        <v>4.9800000000000004</v>
      </c>
      <c r="T136" s="119">
        <f t="shared" si="219"/>
        <v>10.670000000000002</v>
      </c>
      <c r="U136" s="119">
        <f t="shared" si="219"/>
        <v>41.100000000000009</v>
      </c>
      <c r="V136" s="119">
        <f t="shared" si="219"/>
        <v>82.61</v>
      </c>
      <c r="W136" s="119">
        <f t="shared" si="219"/>
        <v>11.35</v>
      </c>
      <c r="X136" s="119">
        <f t="shared" si="219"/>
        <v>38.799999999999997</v>
      </c>
      <c r="Y136" s="119">
        <f t="shared" si="219"/>
        <v>0.25</v>
      </c>
      <c r="Z136" s="119">
        <f t="shared" si="219"/>
        <v>225.36</v>
      </c>
      <c r="AA136" s="144">
        <f t="shared" si="195"/>
        <v>1.4412736622843059E-2</v>
      </c>
      <c r="AC136" s="119">
        <f t="shared" si="196"/>
        <v>92.350000000000009</v>
      </c>
      <c r="AD136" s="119">
        <f>SUM(V136:X136)</f>
        <v>132.76</v>
      </c>
      <c r="AE136" s="119">
        <f t="shared" si="147"/>
        <v>0.25</v>
      </c>
      <c r="AF136" s="119">
        <f t="shared" si="215"/>
        <v>225.36</v>
      </c>
      <c r="AG136" s="143">
        <f>AD136/AF136</f>
        <v>0.58910188143414977</v>
      </c>
    </row>
    <row r="137" spans="1:38" x14ac:dyDescent="0.35">
      <c r="A137" s="6" t="s">
        <v>21</v>
      </c>
      <c r="B137" s="12">
        <f t="shared" ref="B137:Z137" si="220">B441+B290</f>
        <v>5.04</v>
      </c>
      <c r="C137" s="12">
        <f t="shared" si="220"/>
        <v>4.22</v>
      </c>
      <c r="D137" s="12">
        <f t="shared" si="220"/>
        <v>0</v>
      </c>
      <c r="E137" s="12">
        <f t="shared" si="220"/>
        <v>0</v>
      </c>
      <c r="F137" s="12">
        <f t="shared" si="220"/>
        <v>0</v>
      </c>
      <c r="G137" s="12">
        <f t="shared" si="220"/>
        <v>0</v>
      </c>
      <c r="H137" s="12">
        <f t="shared" si="220"/>
        <v>0</v>
      </c>
      <c r="I137" s="12">
        <f t="shared" si="220"/>
        <v>0</v>
      </c>
      <c r="J137" s="12">
        <f t="shared" si="220"/>
        <v>0</v>
      </c>
      <c r="K137" s="12">
        <f t="shared" si="220"/>
        <v>0.83</v>
      </c>
      <c r="L137" s="12">
        <f t="shared" si="220"/>
        <v>0</v>
      </c>
      <c r="M137" s="12">
        <f t="shared" si="220"/>
        <v>0.56999999999999995</v>
      </c>
      <c r="N137" s="12">
        <f t="shared" si="220"/>
        <v>0</v>
      </c>
      <c r="O137" s="12">
        <f t="shared" si="220"/>
        <v>21.09</v>
      </c>
      <c r="P137" s="12">
        <f t="shared" si="220"/>
        <v>0</v>
      </c>
      <c r="Q137" s="12">
        <f t="shared" si="220"/>
        <v>0</v>
      </c>
      <c r="R137" s="54">
        <f t="shared" si="220"/>
        <v>3.85</v>
      </c>
      <c r="S137" s="12">
        <f t="shared" si="220"/>
        <v>4.9800000000000004</v>
      </c>
      <c r="T137" s="12">
        <f t="shared" si="220"/>
        <v>10.670000000000002</v>
      </c>
      <c r="U137" s="12">
        <f t="shared" si="220"/>
        <v>41.100000000000009</v>
      </c>
      <c r="V137" s="12">
        <f t="shared" si="220"/>
        <v>82.61</v>
      </c>
      <c r="W137" s="12">
        <f t="shared" si="220"/>
        <v>11.35</v>
      </c>
      <c r="X137" s="12">
        <f t="shared" si="220"/>
        <v>38.799999999999997</v>
      </c>
      <c r="Y137" s="12">
        <f t="shared" si="220"/>
        <v>0.25</v>
      </c>
      <c r="Z137" s="12">
        <f t="shared" si="220"/>
        <v>225.36</v>
      </c>
      <c r="AA137" s="150">
        <f t="shared" si="195"/>
        <v>1.4412736622843059E-2</v>
      </c>
      <c r="AC137" s="12">
        <f t="shared" si="196"/>
        <v>92.350000000000009</v>
      </c>
      <c r="AD137" s="12">
        <f t="shared" ref="AD137" si="221">SUM(V137:X137)</f>
        <v>132.76</v>
      </c>
      <c r="AE137" s="12">
        <f t="shared" si="147"/>
        <v>0.25</v>
      </c>
      <c r="AF137" s="12">
        <f t="shared" si="215"/>
        <v>225.36</v>
      </c>
      <c r="AG137" s="150">
        <f>AD137/AF137</f>
        <v>0.58910188143414977</v>
      </c>
    </row>
    <row r="138" spans="1:38" x14ac:dyDescent="0.35">
      <c r="A138" s="11" t="s">
        <v>22</v>
      </c>
      <c r="B138" s="119">
        <f t="shared" ref="B138:Z138" si="222">B442+B291</f>
        <v>0</v>
      </c>
      <c r="C138" s="119">
        <f t="shared" si="222"/>
        <v>0</v>
      </c>
      <c r="D138" s="119">
        <f t="shared" si="222"/>
        <v>0</v>
      </c>
      <c r="E138" s="119">
        <f t="shared" si="222"/>
        <v>0</v>
      </c>
      <c r="F138" s="119">
        <f t="shared" si="222"/>
        <v>0</v>
      </c>
      <c r="G138" s="119">
        <f t="shared" si="222"/>
        <v>0.87</v>
      </c>
      <c r="H138" s="119">
        <f t="shared" si="222"/>
        <v>0</v>
      </c>
      <c r="I138" s="119">
        <f t="shared" si="222"/>
        <v>0</v>
      </c>
      <c r="J138" s="119">
        <f t="shared" si="222"/>
        <v>0</v>
      </c>
      <c r="K138" s="119">
        <f t="shared" si="222"/>
        <v>0</v>
      </c>
      <c r="L138" s="119">
        <f t="shared" si="222"/>
        <v>0</v>
      </c>
      <c r="M138" s="119">
        <f t="shared" si="222"/>
        <v>0.51</v>
      </c>
      <c r="N138" s="119">
        <f t="shared" si="222"/>
        <v>22.56</v>
      </c>
      <c r="O138" s="119">
        <f t="shared" si="222"/>
        <v>0.17</v>
      </c>
      <c r="P138" s="119">
        <f t="shared" si="222"/>
        <v>29.060000000000002</v>
      </c>
      <c r="Q138" s="119">
        <f t="shared" si="222"/>
        <v>11.54</v>
      </c>
      <c r="R138" s="119">
        <f t="shared" si="222"/>
        <v>223.44</v>
      </c>
      <c r="S138" s="119">
        <f t="shared" si="222"/>
        <v>55.61</v>
      </c>
      <c r="T138" s="119">
        <f t="shared" si="222"/>
        <v>5.13</v>
      </c>
      <c r="U138" s="119">
        <f t="shared" si="222"/>
        <v>21.65</v>
      </c>
      <c r="V138" s="119">
        <f t="shared" si="222"/>
        <v>8.2200000000000006</v>
      </c>
      <c r="W138" s="119">
        <f t="shared" si="222"/>
        <v>17.060000000000002</v>
      </c>
      <c r="X138" s="119">
        <f t="shared" si="222"/>
        <v>6.2</v>
      </c>
      <c r="Y138" s="119">
        <f t="shared" si="222"/>
        <v>1.22</v>
      </c>
      <c r="Z138" s="119">
        <f t="shared" si="222"/>
        <v>403.23999999999995</v>
      </c>
      <c r="AA138" s="144">
        <f t="shared" si="195"/>
        <v>2.5788924014000861E-2</v>
      </c>
      <c r="AC138" s="119">
        <f t="shared" si="196"/>
        <v>370.53999999999996</v>
      </c>
      <c r="AD138" s="119">
        <f>SUM(V138:X138)</f>
        <v>31.48</v>
      </c>
      <c r="AE138" s="131">
        <f t="shared" si="147"/>
        <v>1.22</v>
      </c>
      <c r="AF138" s="119">
        <f t="shared" si="215"/>
        <v>403.24</v>
      </c>
      <c r="AG138" s="143">
        <f>AD138/AF138</f>
        <v>7.8067652018648945E-2</v>
      </c>
    </row>
    <row r="139" spans="1:38" x14ac:dyDescent="0.35">
      <c r="A139" s="6" t="s">
        <v>22</v>
      </c>
      <c r="B139" s="12">
        <f t="shared" ref="B139:Z139" si="223">B443+B292</f>
        <v>0</v>
      </c>
      <c r="C139" s="12">
        <f t="shared" si="223"/>
        <v>0</v>
      </c>
      <c r="D139" s="12">
        <f t="shared" si="223"/>
        <v>0</v>
      </c>
      <c r="E139" s="12">
        <f t="shared" si="223"/>
        <v>0</v>
      </c>
      <c r="F139" s="12">
        <f t="shared" si="223"/>
        <v>0</v>
      </c>
      <c r="G139" s="12">
        <f t="shared" si="223"/>
        <v>0.87</v>
      </c>
      <c r="H139" s="12">
        <f t="shared" si="223"/>
        <v>0</v>
      </c>
      <c r="I139" s="12">
        <f t="shared" si="223"/>
        <v>0</v>
      </c>
      <c r="J139" s="12">
        <f t="shared" si="223"/>
        <v>0</v>
      </c>
      <c r="K139" s="12">
        <f t="shared" si="223"/>
        <v>0</v>
      </c>
      <c r="L139" s="12">
        <f t="shared" si="223"/>
        <v>0</v>
      </c>
      <c r="M139" s="12">
        <f t="shared" si="223"/>
        <v>0.51</v>
      </c>
      <c r="N139" s="12">
        <f t="shared" si="223"/>
        <v>22.56</v>
      </c>
      <c r="O139" s="12">
        <f t="shared" si="223"/>
        <v>0.17</v>
      </c>
      <c r="P139" s="12">
        <f t="shared" si="223"/>
        <v>29.060000000000002</v>
      </c>
      <c r="Q139" s="12">
        <f t="shared" si="223"/>
        <v>11.54</v>
      </c>
      <c r="R139" s="54">
        <f t="shared" si="223"/>
        <v>223.44</v>
      </c>
      <c r="S139" s="12">
        <f t="shared" si="223"/>
        <v>55.61</v>
      </c>
      <c r="T139" s="12">
        <f t="shared" si="223"/>
        <v>5.13</v>
      </c>
      <c r="U139" s="12">
        <f t="shared" si="223"/>
        <v>21.65</v>
      </c>
      <c r="V139" s="12">
        <f t="shared" si="223"/>
        <v>8.2200000000000006</v>
      </c>
      <c r="W139" s="12">
        <f t="shared" si="223"/>
        <v>17.060000000000002</v>
      </c>
      <c r="X139" s="12">
        <f t="shared" si="223"/>
        <v>6.2</v>
      </c>
      <c r="Y139" s="12">
        <f t="shared" si="223"/>
        <v>1.22</v>
      </c>
      <c r="Z139" s="12">
        <f t="shared" si="223"/>
        <v>403.23999999999995</v>
      </c>
      <c r="AA139" s="150">
        <f t="shared" si="195"/>
        <v>2.5788924014000861E-2</v>
      </c>
      <c r="AC139" s="12">
        <f t="shared" si="196"/>
        <v>370.53999999999996</v>
      </c>
      <c r="AD139" s="12">
        <f t="shared" ref="AD139" si="224">SUM(V139:X139)</f>
        <v>31.48</v>
      </c>
      <c r="AE139" s="54">
        <f t="shared" si="147"/>
        <v>1.22</v>
      </c>
      <c r="AF139" s="12">
        <f t="shared" si="215"/>
        <v>403.24</v>
      </c>
      <c r="AG139" s="150">
        <f>AD139/AF139</f>
        <v>7.8067652018648945E-2</v>
      </c>
    </row>
    <row r="140" spans="1:38" x14ac:dyDescent="0.35">
      <c r="A140" s="11" t="s">
        <v>23</v>
      </c>
      <c r="B140" s="119">
        <f t="shared" ref="B140:Z140" si="225">B444+B293</f>
        <v>0</v>
      </c>
      <c r="C140" s="119">
        <f t="shared" si="225"/>
        <v>0</v>
      </c>
      <c r="D140" s="119">
        <f t="shared" si="225"/>
        <v>0</v>
      </c>
      <c r="E140" s="119">
        <f t="shared" si="225"/>
        <v>0</v>
      </c>
      <c r="F140" s="119">
        <f t="shared" si="225"/>
        <v>0</v>
      </c>
      <c r="G140" s="119">
        <f t="shared" si="225"/>
        <v>0</v>
      </c>
      <c r="H140" s="119">
        <f t="shared" si="225"/>
        <v>0</v>
      </c>
      <c r="I140" s="119">
        <f t="shared" si="225"/>
        <v>0</v>
      </c>
      <c r="J140" s="119">
        <f t="shared" si="225"/>
        <v>0</v>
      </c>
      <c r="K140" s="119">
        <f t="shared" si="225"/>
        <v>6.53</v>
      </c>
      <c r="L140" s="119">
        <f t="shared" si="225"/>
        <v>0</v>
      </c>
      <c r="M140" s="119">
        <f t="shared" si="225"/>
        <v>2.56</v>
      </c>
      <c r="N140" s="119">
        <f t="shared" si="225"/>
        <v>0</v>
      </c>
      <c r="O140" s="119">
        <f t="shared" si="225"/>
        <v>1.92</v>
      </c>
      <c r="P140" s="119">
        <f t="shared" si="225"/>
        <v>0</v>
      </c>
      <c r="Q140" s="119">
        <f t="shared" si="225"/>
        <v>1.19</v>
      </c>
      <c r="R140" s="119">
        <f t="shared" si="225"/>
        <v>16.32</v>
      </c>
      <c r="S140" s="119">
        <f t="shared" si="225"/>
        <v>0</v>
      </c>
      <c r="T140" s="119">
        <f t="shared" si="225"/>
        <v>6.7399999999999993</v>
      </c>
      <c r="U140" s="119">
        <f t="shared" si="225"/>
        <v>1.69</v>
      </c>
      <c r="V140" s="119">
        <f t="shared" si="225"/>
        <v>3.52</v>
      </c>
      <c r="W140" s="119">
        <f t="shared" si="225"/>
        <v>19.420000000000002</v>
      </c>
      <c r="X140" s="119">
        <f t="shared" si="225"/>
        <v>0</v>
      </c>
      <c r="Y140" s="119">
        <f t="shared" si="225"/>
        <v>0.13</v>
      </c>
      <c r="Z140" s="119">
        <f t="shared" si="225"/>
        <v>60.02</v>
      </c>
      <c r="AA140" s="144">
        <f t="shared" si="195"/>
        <v>3.8385359074504812E-3</v>
      </c>
      <c r="AC140" s="119">
        <f t="shared" si="196"/>
        <v>36.949999999999996</v>
      </c>
      <c r="AD140" s="119">
        <f>SUM(V140:X140)</f>
        <v>22.94</v>
      </c>
      <c r="AE140" s="119">
        <f t="shared" si="147"/>
        <v>0.13</v>
      </c>
      <c r="AF140" s="119">
        <f t="shared" si="215"/>
        <v>60.02</v>
      </c>
      <c r="AG140" s="143"/>
    </row>
    <row r="141" spans="1:38" x14ac:dyDescent="0.35">
      <c r="A141" s="6" t="s">
        <v>23</v>
      </c>
      <c r="B141" s="12">
        <f t="shared" ref="B141:Z141" si="226">B445+B294</f>
        <v>0</v>
      </c>
      <c r="C141" s="12">
        <f t="shared" si="226"/>
        <v>0</v>
      </c>
      <c r="D141" s="12">
        <f t="shared" si="226"/>
        <v>0</v>
      </c>
      <c r="E141" s="12">
        <f t="shared" si="226"/>
        <v>0</v>
      </c>
      <c r="F141" s="12">
        <f t="shared" si="226"/>
        <v>0</v>
      </c>
      <c r="G141" s="12">
        <f t="shared" si="226"/>
        <v>0</v>
      </c>
      <c r="H141" s="12">
        <f t="shared" si="226"/>
        <v>0</v>
      </c>
      <c r="I141" s="12">
        <f t="shared" si="226"/>
        <v>0</v>
      </c>
      <c r="J141" s="12">
        <f t="shared" si="226"/>
        <v>0</v>
      </c>
      <c r="K141" s="12">
        <f t="shared" si="226"/>
        <v>6.53</v>
      </c>
      <c r="L141" s="12">
        <f t="shared" si="226"/>
        <v>0</v>
      </c>
      <c r="M141" s="12">
        <f t="shared" si="226"/>
        <v>2.56</v>
      </c>
      <c r="N141" s="12">
        <f t="shared" si="226"/>
        <v>0</v>
      </c>
      <c r="O141" s="12">
        <f t="shared" si="226"/>
        <v>1.92</v>
      </c>
      <c r="P141" s="12">
        <f t="shared" si="226"/>
        <v>0</v>
      </c>
      <c r="Q141" s="12">
        <f t="shared" si="226"/>
        <v>1.19</v>
      </c>
      <c r="R141" s="54">
        <f t="shared" si="226"/>
        <v>16.32</v>
      </c>
      <c r="S141" s="12">
        <f t="shared" si="226"/>
        <v>0</v>
      </c>
      <c r="T141" s="12">
        <f t="shared" si="226"/>
        <v>6.7399999999999993</v>
      </c>
      <c r="U141" s="12">
        <f t="shared" si="226"/>
        <v>1.69</v>
      </c>
      <c r="V141" s="12">
        <f t="shared" si="226"/>
        <v>3.52</v>
      </c>
      <c r="W141" s="12">
        <f t="shared" si="226"/>
        <v>19.420000000000002</v>
      </c>
      <c r="X141" s="12">
        <f t="shared" si="226"/>
        <v>0</v>
      </c>
      <c r="Y141" s="12">
        <f t="shared" si="226"/>
        <v>0.13</v>
      </c>
      <c r="Z141" s="12">
        <f t="shared" si="226"/>
        <v>60.02</v>
      </c>
      <c r="AA141" s="150">
        <f t="shared" si="195"/>
        <v>3.8385359074504812E-3</v>
      </c>
      <c r="AC141" s="12">
        <f t="shared" si="196"/>
        <v>36.949999999999996</v>
      </c>
      <c r="AD141" s="12">
        <f t="shared" ref="AD141:AD142" si="227">SUM(V141:X141)</f>
        <v>22.94</v>
      </c>
      <c r="AE141" s="12">
        <f t="shared" si="147"/>
        <v>0.13</v>
      </c>
      <c r="AF141" s="12">
        <f t="shared" si="215"/>
        <v>60.02</v>
      </c>
      <c r="AG141" s="150"/>
    </row>
    <row r="142" spans="1:38" ht="15.5" x14ac:dyDescent="0.35">
      <c r="A142" s="43" t="s">
        <v>25</v>
      </c>
      <c r="B142" s="142">
        <f t="shared" ref="B142:Z142" si="228">B446+B295</f>
        <v>321.70999999999998</v>
      </c>
      <c r="C142" s="142">
        <f t="shared" si="228"/>
        <v>189.03</v>
      </c>
      <c r="D142" s="142">
        <f t="shared" si="228"/>
        <v>39.31</v>
      </c>
      <c r="E142" s="142">
        <f t="shared" si="228"/>
        <v>13.74</v>
      </c>
      <c r="F142" s="142">
        <f t="shared" si="228"/>
        <v>92.26</v>
      </c>
      <c r="G142" s="142">
        <f t="shared" si="228"/>
        <v>80.169999999999987</v>
      </c>
      <c r="H142" s="142">
        <f t="shared" si="228"/>
        <v>63.849999999999994</v>
      </c>
      <c r="I142" s="142">
        <f t="shared" si="228"/>
        <v>49.360000000000007</v>
      </c>
      <c r="J142" s="142">
        <f t="shared" si="228"/>
        <v>42.86</v>
      </c>
      <c r="K142" s="142">
        <f t="shared" si="228"/>
        <v>71.349999999999994</v>
      </c>
      <c r="L142" s="142">
        <f t="shared" si="228"/>
        <v>139.11000000000001</v>
      </c>
      <c r="M142" s="142">
        <f t="shared" si="228"/>
        <v>151.58999999999997</v>
      </c>
      <c r="N142" s="142">
        <f t="shared" si="228"/>
        <v>118.35</v>
      </c>
      <c r="O142" s="142">
        <f t="shared" si="228"/>
        <v>187.34</v>
      </c>
      <c r="P142" s="142">
        <f t="shared" si="228"/>
        <v>278.25</v>
      </c>
      <c r="Q142" s="142">
        <f t="shared" si="228"/>
        <v>502.4</v>
      </c>
      <c r="R142" s="142">
        <f t="shared" si="228"/>
        <v>1079.8800000000001</v>
      </c>
      <c r="S142" s="142">
        <f t="shared" si="228"/>
        <v>904.94000000000017</v>
      </c>
      <c r="T142" s="142">
        <f t="shared" si="228"/>
        <v>1551.0700000000004</v>
      </c>
      <c r="U142" s="142">
        <f t="shared" si="228"/>
        <v>2431.9299999999998</v>
      </c>
      <c r="V142" s="142">
        <f t="shared" si="228"/>
        <v>2296.48</v>
      </c>
      <c r="W142" s="142">
        <f t="shared" si="228"/>
        <v>2772.9</v>
      </c>
      <c r="X142" s="142">
        <f t="shared" si="228"/>
        <v>2250.7300000000005</v>
      </c>
      <c r="Y142" s="142">
        <f t="shared" si="228"/>
        <v>7.28</v>
      </c>
      <c r="Z142" s="142">
        <f t="shared" si="228"/>
        <v>15636.170000000004</v>
      </c>
      <c r="AA142" s="184">
        <f>SUM(AA91,AA100,AA104,AA108,AA113,AA119,AA129,AA131,AA134,AA136,AA138,AA140)</f>
        <v>0.99999999999999967</v>
      </c>
      <c r="AC142" s="142">
        <f t="shared" si="196"/>
        <v>8308.5</v>
      </c>
      <c r="AD142" s="142">
        <f t="shared" si="227"/>
        <v>7320.1100000000006</v>
      </c>
      <c r="AE142" s="142">
        <f t="shared" si="147"/>
        <v>7.28</v>
      </c>
      <c r="AF142" s="142">
        <f t="shared" si="215"/>
        <v>15635.890000000001</v>
      </c>
      <c r="AG142" s="197">
        <f>AD142/AF142</f>
        <v>0.46816075068320384</v>
      </c>
    </row>
    <row r="143" spans="1:38" x14ac:dyDescent="0.35">
      <c r="A143" s="378" t="s">
        <v>253</v>
      </c>
      <c r="B143" s="379"/>
      <c r="C143" s="379">
        <f>C142+B142</f>
        <v>510.74</v>
      </c>
      <c r="D143" s="379">
        <f>D142+C143</f>
        <v>550.04999999999995</v>
      </c>
      <c r="E143" s="379">
        <f>E142+D143</f>
        <v>563.79</v>
      </c>
      <c r="F143" s="379">
        <f t="shared" ref="F143" si="229">F142+E143</f>
        <v>656.05</v>
      </c>
      <c r="G143" s="379">
        <f t="shared" ref="G143" si="230">G142+F143</f>
        <v>736.21999999999991</v>
      </c>
      <c r="H143" s="379">
        <f t="shared" ref="H143" si="231">H142+G143</f>
        <v>800.06999999999994</v>
      </c>
      <c r="I143" s="379">
        <f t="shared" ref="I143" si="232">I142+H143</f>
        <v>849.43</v>
      </c>
      <c r="J143" s="379">
        <f t="shared" ref="J143" si="233">J142+I143</f>
        <v>892.29</v>
      </c>
      <c r="K143" s="379">
        <f t="shared" ref="K143" si="234">K142+J143</f>
        <v>963.64</v>
      </c>
      <c r="L143" s="379">
        <f t="shared" ref="L143" si="235">L142+K143</f>
        <v>1102.75</v>
      </c>
      <c r="M143" s="379">
        <f t="shared" ref="M143" si="236">M142+L143</f>
        <v>1254.3399999999999</v>
      </c>
      <c r="N143" s="379">
        <f t="shared" ref="N143" si="237">N142+M143</f>
        <v>1372.6899999999998</v>
      </c>
      <c r="O143" s="379">
        <f t="shared" ref="O143" si="238">O142+N143</f>
        <v>1560.0299999999997</v>
      </c>
      <c r="P143" s="379">
        <f t="shared" ref="P143" si="239">P142+O143</f>
        <v>1838.2799999999997</v>
      </c>
      <c r="Q143" s="379">
        <f t="shared" ref="Q143" si="240">Q142+P143</f>
        <v>2340.6799999999998</v>
      </c>
      <c r="R143" s="379">
        <f t="shared" ref="R143" si="241">R142+Q143</f>
        <v>3420.56</v>
      </c>
      <c r="S143" s="379">
        <f t="shared" ref="S143" si="242">S142+R143</f>
        <v>4325.5</v>
      </c>
      <c r="T143" s="379">
        <f t="shared" ref="T143" si="243">T142+S143</f>
        <v>5876.5700000000006</v>
      </c>
      <c r="U143" s="379">
        <f t="shared" ref="U143" si="244">U142+T143</f>
        <v>8308.5</v>
      </c>
      <c r="V143" s="379">
        <f t="shared" ref="V143" si="245">V142+U143</f>
        <v>10604.98</v>
      </c>
      <c r="W143" s="379">
        <f t="shared" ref="W143" si="246">W142+V143</f>
        <v>13377.88</v>
      </c>
      <c r="X143" s="379">
        <f t="shared" ref="X143" si="247">X142+W143</f>
        <v>15628.61</v>
      </c>
    </row>
    <row r="144" spans="1:38" x14ac:dyDescent="0.35">
      <c r="A144" s="380" t="s">
        <v>254</v>
      </c>
      <c r="B144" s="379"/>
      <c r="C144" s="381"/>
      <c r="D144" s="381">
        <f>D143/C143-1</f>
        <v>7.6966754121470693E-2</v>
      </c>
      <c r="E144" s="381">
        <f t="shared" ref="E144" si="248">E143/D143-1</f>
        <v>2.4979547313880524E-2</v>
      </c>
      <c r="F144" s="381">
        <f t="shared" ref="F144" si="249">F143/E143-1</f>
        <v>0.16364249099842132</v>
      </c>
      <c r="G144" s="381">
        <f t="shared" ref="G144" si="250">G143/F143-1</f>
        <v>0.12220105174910434</v>
      </c>
      <c r="H144" s="381">
        <f t="shared" ref="H144" si="251">H143/G143-1</f>
        <v>8.6726793621471954E-2</v>
      </c>
      <c r="I144" s="381">
        <f t="shared" ref="I144" si="252">I143/H143-1</f>
        <v>6.1694601722349418E-2</v>
      </c>
      <c r="J144" s="381">
        <f t="shared" ref="J144" si="253">J143/I143-1</f>
        <v>5.0457365527471376E-2</v>
      </c>
      <c r="K144" s="381">
        <f t="shared" ref="K144" si="254">K143/J143-1</f>
        <v>7.9962792365710689E-2</v>
      </c>
      <c r="L144" s="381">
        <f t="shared" ref="L144" si="255">L143/K143-1</f>
        <v>0.14435888921173889</v>
      </c>
      <c r="M144" s="381">
        <f t="shared" ref="M144" si="256">M143/L143-1</f>
        <v>0.13746542734073897</v>
      </c>
      <c r="N144" s="381">
        <f t="shared" ref="N144" si="257">N143/M143-1</f>
        <v>9.435240843790349E-2</v>
      </c>
      <c r="O144" s="381">
        <f t="shared" ref="O144" si="258">O143/N143-1</f>
        <v>0.13647655333687858</v>
      </c>
      <c r="P144" s="381">
        <f t="shared" ref="P144" si="259">P143/O143-1</f>
        <v>0.17836195457779658</v>
      </c>
      <c r="Q144" s="381">
        <f t="shared" ref="Q144" si="260">Q143/P143-1</f>
        <v>0.27329895336945409</v>
      </c>
      <c r="R144" s="381">
        <f t="shared" ref="R144" si="261">R143/Q143-1</f>
        <v>0.46135311106174282</v>
      </c>
      <c r="S144" s="381">
        <f t="shared" ref="S144" si="262">S143/R143-1</f>
        <v>0.2645590195757419</v>
      </c>
      <c r="T144" s="381">
        <f t="shared" ref="T144" si="263">T143/S143-1</f>
        <v>0.35858744653797259</v>
      </c>
      <c r="U144" s="381">
        <f t="shared" ref="U144" si="264">U143/T143-1</f>
        <v>0.41383494113062547</v>
      </c>
      <c r="V144" s="381">
        <f t="shared" ref="V144" si="265">V143/U143-1</f>
        <v>0.27640127580188967</v>
      </c>
      <c r="W144" s="381">
        <f t="shared" ref="W144" si="266">W143/V143-1</f>
        <v>0.26147149735313024</v>
      </c>
      <c r="X144" s="381">
        <f t="shared" ref="X144" si="267">X143/W143-1</f>
        <v>0.16824265130200011</v>
      </c>
    </row>
    <row r="147" spans="1:25" ht="15.5" x14ac:dyDescent="0.35">
      <c r="A147" s="146" t="s">
        <v>99</v>
      </c>
      <c r="B147" s="147" t="s">
        <v>100</v>
      </c>
      <c r="C147" s="147">
        <v>2000</v>
      </c>
      <c r="D147" s="147">
        <v>2001</v>
      </c>
      <c r="E147" s="147">
        <v>2002</v>
      </c>
      <c r="F147" s="147">
        <v>2003</v>
      </c>
      <c r="G147" s="147">
        <v>2004</v>
      </c>
      <c r="H147" s="147">
        <v>2005</v>
      </c>
      <c r="I147" s="147">
        <v>2006</v>
      </c>
      <c r="J147" s="147">
        <v>2007</v>
      </c>
      <c r="K147" s="147">
        <v>2008</v>
      </c>
      <c r="L147" s="147">
        <v>2009</v>
      </c>
      <c r="M147" s="147">
        <v>2010</v>
      </c>
      <c r="N147" s="147">
        <v>2011</v>
      </c>
      <c r="O147" s="147">
        <v>2012</v>
      </c>
      <c r="P147" s="147">
        <v>2013</v>
      </c>
      <c r="Q147" s="147">
        <v>2014</v>
      </c>
      <c r="R147" s="147">
        <v>2015</v>
      </c>
      <c r="S147" s="147">
        <v>2016</v>
      </c>
      <c r="T147" s="147">
        <v>2017</v>
      </c>
      <c r="U147" s="147">
        <v>2018</v>
      </c>
      <c r="V147" s="147">
        <v>2019</v>
      </c>
      <c r="W147" s="147">
        <v>2020</v>
      </c>
      <c r="X147" s="147">
        <v>2021</v>
      </c>
      <c r="Y147" s="183" t="s">
        <v>90</v>
      </c>
    </row>
    <row r="148" spans="1:25" x14ac:dyDescent="0.35">
      <c r="A148" s="145" t="s">
        <v>5</v>
      </c>
      <c r="B148" s="22">
        <f t="shared" ref="B148:Y148" si="268">B91/$Z$91</f>
        <v>5.0697432639269936E-2</v>
      </c>
      <c r="C148" s="22">
        <f t="shared" si="268"/>
        <v>1.270684725792012E-3</v>
      </c>
      <c r="D148" s="22">
        <f t="shared" si="268"/>
        <v>3.7542957807491269E-4</v>
      </c>
      <c r="E148" s="22">
        <f t="shared" si="268"/>
        <v>3.0034366245993015E-3</v>
      </c>
      <c r="F148" s="22">
        <f t="shared" si="268"/>
        <v>2.2092586709792938E-3</v>
      </c>
      <c r="G148" s="22">
        <f t="shared" si="268"/>
        <v>1.9493458861582005E-3</v>
      </c>
      <c r="H148" s="22">
        <f t="shared" si="268"/>
        <v>1.1400063534236289E-2</v>
      </c>
      <c r="I148" s="22">
        <f t="shared" si="268"/>
        <v>1.5594767089265604E-3</v>
      </c>
      <c r="J148" s="22">
        <f t="shared" si="268"/>
        <v>0</v>
      </c>
      <c r="K148" s="22">
        <f t="shared" si="268"/>
        <v>1.4728391139861958E-3</v>
      </c>
      <c r="L148" s="22">
        <f t="shared" si="268"/>
        <v>1.0613105380194648E-2</v>
      </c>
      <c r="M148" s="22">
        <f t="shared" si="268"/>
        <v>2.7724030380916627E-3</v>
      </c>
      <c r="N148" s="22">
        <f t="shared" si="268"/>
        <v>1.555144829179542E-2</v>
      </c>
      <c r="O148" s="22">
        <f t="shared" si="268"/>
        <v>1.5768042279146331E-2</v>
      </c>
      <c r="P148" s="22">
        <f t="shared" si="268"/>
        <v>4.1311693187397122E-2</v>
      </c>
      <c r="Q148" s="22">
        <f t="shared" si="268"/>
        <v>9.5424091027233107E-2</v>
      </c>
      <c r="R148" s="22">
        <f t="shared" si="268"/>
        <v>6.1346637017356404E-2</v>
      </c>
      <c r="S148" s="22">
        <f t="shared" si="268"/>
        <v>6.3786929274843335E-2</v>
      </c>
      <c r="T148" s="22">
        <f t="shared" si="268"/>
        <v>9.5142518843676901E-2</v>
      </c>
      <c r="U148" s="22">
        <f t="shared" si="268"/>
        <v>0.14653305224246974</v>
      </c>
      <c r="V148" s="22">
        <f t="shared" si="268"/>
        <v>8.1951945014006405E-2</v>
      </c>
      <c r="W148" s="22">
        <f t="shared" si="268"/>
        <v>0.16390389002801281</v>
      </c>
      <c r="X148" s="22">
        <f t="shared" si="268"/>
        <v>0.13140757212579779</v>
      </c>
      <c r="Y148" s="384">
        <f t="shared" si="268"/>
        <v>3.4655037976145784E-4</v>
      </c>
    </row>
    <row r="149" spans="1:25" x14ac:dyDescent="0.35">
      <c r="A149" s="145" t="s">
        <v>12</v>
      </c>
      <c r="B149" s="22">
        <f t="shared" ref="B149:Y149" si="269">B100/$Z$100</f>
        <v>4.6681135088653203E-3</v>
      </c>
      <c r="C149" s="22">
        <f t="shared" si="269"/>
        <v>0</v>
      </c>
      <c r="D149" s="22">
        <f t="shared" si="269"/>
        <v>0</v>
      </c>
      <c r="E149" s="22">
        <f t="shared" si="269"/>
        <v>0</v>
      </c>
      <c r="F149" s="22">
        <f t="shared" si="269"/>
        <v>0</v>
      </c>
      <c r="G149" s="22">
        <f t="shared" si="269"/>
        <v>0</v>
      </c>
      <c r="H149" s="22">
        <f t="shared" si="269"/>
        <v>0</v>
      </c>
      <c r="I149" s="22">
        <f t="shared" si="269"/>
        <v>0</v>
      </c>
      <c r="J149" s="22">
        <f t="shared" si="269"/>
        <v>0</v>
      </c>
      <c r="K149" s="22">
        <f t="shared" si="269"/>
        <v>0</v>
      </c>
      <c r="L149" s="22">
        <f t="shared" si="269"/>
        <v>0</v>
      </c>
      <c r="M149" s="22">
        <f t="shared" si="269"/>
        <v>0</v>
      </c>
      <c r="N149" s="22">
        <f t="shared" si="269"/>
        <v>0</v>
      </c>
      <c r="O149" s="22">
        <f t="shared" si="269"/>
        <v>0</v>
      </c>
      <c r="P149" s="22">
        <f t="shared" si="269"/>
        <v>9.6433397485770431E-3</v>
      </c>
      <c r="Q149" s="22">
        <f t="shared" si="269"/>
        <v>1.0093771753818434E-2</v>
      </c>
      <c r="R149" s="22">
        <f t="shared" si="269"/>
        <v>7.1045411735801145E-3</v>
      </c>
      <c r="S149" s="22">
        <f t="shared" si="269"/>
        <v>6.3162851644076812E-2</v>
      </c>
      <c r="T149" s="22">
        <f t="shared" si="269"/>
        <v>0.16055853568649933</v>
      </c>
      <c r="U149" s="22">
        <f t="shared" si="269"/>
        <v>0.32904057982883583</v>
      </c>
      <c r="V149" s="22">
        <f t="shared" si="269"/>
        <v>0.1396339216248311</v>
      </c>
      <c r="W149" s="22">
        <f t="shared" si="269"/>
        <v>0.21198968101224352</v>
      </c>
      <c r="X149" s="22">
        <f t="shared" si="269"/>
        <v>6.3285696736415389E-2</v>
      </c>
      <c r="Y149" s="384">
        <f t="shared" si="269"/>
        <v>8.1896728225707381E-4</v>
      </c>
    </row>
    <row r="150" spans="1:25" x14ac:dyDescent="0.35">
      <c r="A150" s="145" t="s">
        <v>13</v>
      </c>
      <c r="B150" s="22">
        <f t="shared" ref="B150:Y150" si="270">B104/$Z$104</f>
        <v>2.0022753128555174E-2</v>
      </c>
      <c r="C150" s="22">
        <f t="shared" si="270"/>
        <v>1.1376564277588168E-3</v>
      </c>
      <c r="D150" s="22">
        <f t="shared" si="270"/>
        <v>0</v>
      </c>
      <c r="E150" s="22">
        <f t="shared" si="270"/>
        <v>0</v>
      </c>
      <c r="F150" s="22">
        <f t="shared" si="270"/>
        <v>0</v>
      </c>
      <c r="G150" s="22">
        <f t="shared" si="270"/>
        <v>0</v>
      </c>
      <c r="H150" s="22">
        <f t="shared" si="270"/>
        <v>2.1160409556313993E-2</v>
      </c>
      <c r="I150" s="22">
        <f t="shared" si="270"/>
        <v>0</v>
      </c>
      <c r="J150" s="22">
        <f t="shared" si="270"/>
        <v>0</v>
      </c>
      <c r="K150" s="22">
        <f t="shared" si="270"/>
        <v>0</v>
      </c>
      <c r="L150" s="22">
        <f t="shared" si="270"/>
        <v>0</v>
      </c>
      <c r="M150" s="22">
        <f t="shared" si="270"/>
        <v>0</v>
      </c>
      <c r="N150" s="22">
        <f t="shared" si="270"/>
        <v>0</v>
      </c>
      <c r="O150" s="22">
        <f t="shared" si="270"/>
        <v>0</v>
      </c>
      <c r="P150" s="22">
        <f t="shared" si="270"/>
        <v>0</v>
      </c>
      <c r="Q150" s="22">
        <f t="shared" si="270"/>
        <v>0.1328782707622298</v>
      </c>
      <c r="R150" s="22">
        <f t="shared" si="270"/>
        <v>1.6609783845278725E-2</v>
      </c>
      <c r="S150" s="22">
        <f t="shared" si="270"/>
        <v>0.37474402730375422</v>
      </c>
      <c r="T150" s="22">
        <f t="shared" si="270"/>
        <v>0.15085324232081912</v>
      </c>
      <c r="U150" s="22">
        <f t="shared" si="270"/>
        <v>3.4584755403868031E-2</v>
      </c>
      <c r="V150" s="22">
        <f t="shared" si="270"/>
        <v>3.9362912400455058E-2</v>
      </c>
      <c r="W150" s="22">
        <f t="shared" si="270"/>
        <v>0.20841865756541522</v>
      </c>
      <c r="X150" s="22">
        <f t="shared" si="270"/>
        <v>0</v>
      </c>
      <c r="Y150" s="384">
        <f t="shared" si="270"/>
        <v>2.2753128555176336E-4</v>
      </c>
    </row>
    <row r="151" spans="1:25" x14ac:dyDescent="0.35">
      <c r="A151" s="145" t="s">
        <v>14</v>
      </c>
      <c r="B151" s="22">
        <f t="shared" ref="B151:Y151" si="271">B108/$Z$108</f>
        <v>0.264652475442473</v>
      </c>
      <c r="C151" s="22">
        <f t="shared" si="271"/>
        <v>1.0282438906998622E-2</v>
      </c>
      <c r="D151" s="22">
        <f t="shared" si="271"/>
        <v>0</v>
      </c>
      <c r="E151" s="22">
        <f t="shared" si="271"/>
        <v>0</v>
      </c>
      <c r="F151" s="22">
        <f t="shared" si="271"/>
        <v>0</v>
      </c>
      <c r="G151" s="22">
        <f t="shared" si="271"/>
        <v>0</v>
      </c>
      <c r="H151" s="22">
        <f t="shared" si="271"/>
        <v>2.275263077293312E-3</v>
      </c>
      <c r="I151" s="22">
        <f t="shared" si="271"/>
        <v>0</v>
      </c>
      <c r="J151" s="22">
        <f t="shared" si="271"/>
        <v>2.2096304885252356E-3</v>
      </c>
      <c r="K151" s="22">
        <f t="shared" si="271"/>
        <v>8.5322365398499199E-4</v>
      </c>
      <c r="L151" s="22">
        <f t="shared" si="271"/>
        <v>0</v>
      </c>
      <c r="M151" s="22">
        <f t="shared" si="271"/>
        <v>0</v>
      </c>
      <c r="N151" s="22">
        <f t="shared" si="271"/>
        <v>0</v>
      </c>
      <c r="O151" s="22">
        <f t="shared" si="271"/>
        <v>3.8723227373165018E-3</v>
      </c>
      <c r="P151" s="22">
        <f t="shared" si="271"/>
        <v>7.8759106521691566E-4</v>
      </c>
      <c r="Q151" s="22">
        <f t="shared" si="271"/>
        <v>0</v>
      </c>
      <c r="R151" s="22">
        <f t="shared" si="271"/>
        <v>4.0495307269903073E-2</v>
      </c>
      <c r="S151" s="22">
        <f t="shared" si="271"/>
        <v>8.656938458509264E-2</v>
      </c>
      <c r="T151" s="22">
        <f t="shared" si="271"/>
        <v>5.2243540659388743E-2</v>
      </c>
      <c r="U151" s="22">
        <f t="shared" si="271"/>
        <v>8.8232076833883913E-2</v>
      </c>
      <c r="V151" s="22">
        <f t="shared" si="271"/>
        <v>6.7798464197422831E-2</v>
      </c>
      <c r="W151" s="22">
        <f t="shared" si="271"/>
        <v>0.15421470607538998</v>
      </c>
      <c r="X151" s="22">
        <f t="shared" si="271"/>
        <v>0.2255135750071102</v>
      </c>
      <c r="Y151" s="385">
        <f t="shared" si="271"/>
        <v>0</v>
      </c>
    </row>
    <row r="152" spans="1:25" x14ac:dyDescent="0.35">
      <c r="A152" s="145" t="s">
        <v>15</v>
      </c>
      <c r="B152" s="22">
        <f t="shared" ref="B152:Y152" si="272">B113/$Z$113</f>
        <v>6.1395867818617722E-3</v>
      </c>
      <c r="C152" s="22">
        <f t="shared" si="272"/>
        <v>1.524150883481187E-2</v>
      </c>
      <c r="D152" s="22">
        <f t="shared" si="272"/>
        <v>3.4026942601574242E-3</v>
      </c>
      <c r="E152" s="22">
        <f t="shared" si="272"/>
        <v>8.403663576258862E-4</v>
      </c>
      <c r="F152" s="22">
        <f t="shared" si="272"/>
        <v>7.4580321216443464E-3</v>
      </c>
      <c r="G152" s="22">
        <f t="shared" si="272"/>
        <v>6.719422024440801E-3</v>
      </c>
      <c r="H152" s="22">
        <f t="shared" si="272"/>
        <v>4.0430569335049163E-3</v>
      </c>
      <c r="I152" s="22">
        <f t="shared" si="272"/>
        <v>4.140427148219398E-3</v>
      </c>
      <c r="J152" s="22">
        <f t="shared" si="272"/>
        <v>3.671120257478427E-3</v>
      </c>
      <c r="K152" s="22">
        <f t="shared" si="272"/>
        <v>4.2430606177833105E-3</v>
      </c>
      <c r="L152" s="22">
        <f t="shared" si="272"/>
        <v>8.5168235555216371E-3</v>
      </c>
      <c r="M152" s="22">
        <f t="shared" si="272"/>
        <v>1.1217750502421537E-2</v>
      </c>
      <c r="N152" s="22">
        <f t="shared" si="272"/>
        <v>5.9781802998125416E-3</v>
      </c>
      <c r="O152" s="22">
        <f t="shared" si="272"/>
        <v>1.0851954290386052E-2</v>
      </c>
      <c r="P152" s="22">
        <f t="shared" si="272"/>
        <v>1.5393266016303812E-2</v>
      </c>
      <c r="Q152" s="22">
        <f t="shared" si="272"/>
        <v>2.7598754012135313E-2</v>
      </c>
      <c r="R152" s="22">
        <f t="shared" si="272"/>
        <v>5.906775475688588E-2</v>
      </c>
      <c r="S152" s="22">
        <f t="shared" si="272"/>
        <v>5.233429738617993E-2</v>
      </c>
      <c r="T152" s="22">
        <f t="shared" si="272"/>
        <v>9.6768449243363266E-2</v>
      </c>
      <c r="U152" s="22">
        <f t="shared" si="272"/>
        <v>0.15240807067498613</v>
      </c>
      <c r="V152" s="22">
        <f t="shared" si="272"/>
        <v>0.15702043634137122</v>
      </c>
      <c r="W152" s="22">
        <f t="shared" si="272"/>
        <v>0.18917716905311416</v>
      </c>
      <c r="X152" s="22">
        <f t="shared" si="272"/>
        <v>0.15737921488027415</v>
      </c>
      <c r="Y152" s="384">
        <f t="shared" si="272"/>
        <v>3.8860364971635445E-4</v>
      </c>
    </row>
    <row r="153" spans="1:25" x14ac:dyDescent="0.35">
      <c r="A153" s="145" t="s">
        <v>16</v>
      </c>
      <c r="B153" s="22">
        <f t="shared" ref="B153:Y153" si="273">B119/$Z$119</f>
        <v>0</v>
      </c>
      <c r="C153" s="22">
        <f t="shared" si="273"/>
        <v>6.9254663656578347E-3</v>
      </c>
      <c r="D153" s="22">
        <f t="shared" si="273"/>
        <v>0</v>
      </c>
      <c r="E153" s="22">
        <f t="shared" si="273"/>
        <v>0</v>
      </c>
      <c r="F153" s="22">
        <f t="shared" si="273"/>
        <v>7.0952081883455262E-3</v>
      </c>
      <c r="G153" s="22">
        <f t="shared" si="273"/>
        <v>0</v>
      </c>
      <c r="H153" s="22">
        <f t="shared" si="273"/>
        <v>0</v>
      </c>
      <c r="I153" s="22">
        <f t="shared" si="273"/>
        <v>0</v>
      </c>
      <c r="J153" s="22">
        <f t="shared" si="273"/>
        <v>0</v>
      </c>
      <c r="K153" s="22">
        <f t="shared" si="273"/>
        <v>2.2388946412506577E-2</v>
      </c>
      <c r="L153" s="22">
        <f t="shared" si="273"/>
        <v>1.2560894878889211E-3</v>
      </c>
      <c r="M153" s="22">
        <f t="shared" si="273"/>
        <v>2.537640249180996E-2</v>
      </c>
      <c r="N153" s="22">
        <f t="shared" si="273"/>
        <v>1.0354251183949214E-2</v>
      </c>
      <c r="O153" s="22">
        <f t="shared" si="273"/>
        <v>2.8584522940607336E-2</v>
      </c>
      <c r="P153" s="22">
        <f t="shared" si="273"/>
        <v>1.8416987761614583E-2</v>
      </c>
      <c r="Q153" s="22">
        <f t="shared" si="273"/>
        <v>4.1111469454959006E-2</v>
      </c>
      <c r="R153" s="22">
        <f t="shared" si="273"/>
        <v>8.6534381206185382E-2</v>
      </c>
      <c r="S153" s="22">
        <f t="shared" si="273"/>
        <v>8.4073124777213862E-2</v>
      </c>
      <c r="T153" s="22">
        <f t="shared" si="273"/>
        <v>9.3069441379661527E-2</v>
      </c>
      <c r="U153" s="22">
        <f t="shared" si="273"/>
        <v>0.25999354981073791</v>
      </c>
      <c r="V153" s="22">
        <f t="shared" si="273"/>
        <v>0.16106801554835096</v>
      </c>
      <c r="W153" s="22">
        <f t="shared" si="273"/>
        <v>0.12701780591719994</v>
      </c>
      <c r="X153" s="22">
        <f t="shared" si="273"/>
        <v>2.6734337073311493E-2</v>
      </c>
      <c r="Y153" s="385">
        <f t="shared" si="273"/>
        <v>0</v>
      </c>
    </row>
    <row r="154" spans="1:25" x14ac:dyDescent="0.35">
      <c r="A154" s="145" t="s">
        <v>18</v>
      </c>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384"/>
    </row>
    <row r="155" spans="1:25" x14ac:dyDescent="0.35">
      <c r="A155" s="145" t="s">
        <v>17</v>
      </c>
      <c r="B155" s="22">
        <f t="shared" ref="B155:Y155" si="274">B131/$Z$131</f>
        <v>9.2606356622071201E-2</v>
      </c>
      <c r="C155" s="22">
        <f t="shared" si="274"/>
        <v>8.3174063849366449E-4</v>
      </c>
      <c r="D155" s="22">
        <f t="shared" si="274"/>
        <v>0</v>
      </c>
      <c r="E155" s="22">
        <f t="shared" si="274"/>
        <v>0</v>
      </c>
      <c r="F155" s="22">
        <f t="shared" si="274"/>
        <v>0</v>
      </c>
      <c r="G155" s="22">
        <f t="shared" si="274"/>
        <v>0</v>
      </c>
      <c r="H155" s="22">
        <f t="shared" si="274"/>
        <v>0</v>
      </c>
      <c r="I155" s="22">
        <f t="shared" si="274"/>
        <v>0</v>
      </c>
      <c r="J155" s="22">
        <f t="shared" si="274"/>
        <v>0</v>
      </c>
      <c r="K155" s="22">
        <f t="shared" si="274"/>
        <v>0</v>
      </c>
      <c r="L155" s="22">
        <f t="shared" si="274"/>
        <v>4.7037587598216177E-2</v>
      </c>
      <c r="M155" s="22">
        <f t="shared" si="274"/>
        <v>2.2651659941955119E-3</v>
      </c>
      <c r="N155" s="22">
        <f t="shared" si="274"/>
        <v>0</v>
      </c>
      <c r="O155" s="22">
        <f t="shared" si="274"/>
        <v>0</v>
      </c>
      <c r="P155" s="22">
        <f t="shared" si="274"/>
        <v>1.0087067317901888E-3</v>
      </c>
      <c r="Q155" s="22">
        <f t="shared" si="274"/>
        <v>1.3962624761095775E-2</v>
      </c>
      <c r="R155" s="22">
        <f t="shared" si="274"/>
        <v>3.2030862886670911E-3</v>
      </c>
      <c r="S155" s="22">
        <f t="shared" si="274"/>
        <v>4.0666808239541309E-2</v>
      </c>
      <c r="T155" s="22">
        <f t="shared" si="274"/>
        <v>0.22979047214553688</v>
      </c>
      <c r="U155" s="22">
        <f t="shared" si="274"/>
        <v>0.11196644722871096</v>
      </c>
      <c r="V155" s="22">
        <f t="shared" si="274"/>
        <v>0.18050541516245486</v>
      </c>
      <c r="W155" s="22">
        <f t="shared" si="274"/>
        <v>0.13429956820273234</v>
      </c>
      <c r="X155" s="22">
        <f t="shared" si="274"/>
        <v>0.14137821193459332</v>
      </c>
      <c r="Y155" s="384">
        <f t="shared" si="274"/>
        <v>4.7780845190061586E-4</v>
      </c>
    </row>
    <row r="156" spans="1:25" x14ac:dyDescent="0.35">
      <c r="A156" s="145" t="s">
        <v>20</v>
      </c>
      <c r="B156" s="22">
        <f t="shared" ref="B156:Y156" si="275">B134/$Z$134</f>
        <v>0</v>
      </c>
      <c r="C156" s="22">
        <f t="shared" si="275"/>
        <v>0</v>
      </c>
      <c r="D156" s="22">
        <f t="shared" si="275"/>
        <v>0</v>
      </c>
      <c r="E156" s="22">
        <f t="shared" si="275"/>
        <v>0</v>
      </c>
      <c r="F156" s="22">
        <f t="shared" si="275"/>
        <v>0</v>
      </c>
      <c r="G156" s="22">
        <f t="shared" si="275"/>
        <v>0</v>
      </c>
      <c r="H156" s="22">
        <f t="shared" si="275"/>
        <v>0</v>
      </c>
      <c r="I156" s="22">
        <f t="shared" si="275"/>
        <v>0</v>
      </c>
      <c r="J156" s="22">
        <f t="shared" si="275"/>
        <v>0</v>
      </c>
      <c r="K156" s="22">
        <f t="shared" si="275"/>
        <v>0</v>
      </c>
      <c r="L156" s="22">
        <f t="shared" si="275"/>
        <v>0</v>
      </c>
      <c r="M156" s="22">
        <f t="shared" si="275"/>
        <v>0</v>
      </c>
      <c r="N156" s="22">
        <f t="shared" si="275"/>
        <v>0</v>
      </c>
      <c r="O156" s="22">
        <f t="shared" si="275"/>
        <v>0</v>
      </c>
      <c r="P156" s="22">
        <f t="shared" si="275"/>
        <v>0</v>
      </c>
      <c r="Q156" s="22">
        <f t="shared" si="275"/>
        <v>0</v>
      </c>
      <c r="R156" s="22">
        <f t="shared" si="275"/>
        <v>0.12835349815886377</v>
      </c>
      <c r="S156" s="22">
        <f t="shared" si="275"/>
        <v>0</v>
      </c>
      <c r="T156" s="22">
        <f t="shared" si="275"/>
        <v>0</v>
      </c>
      <c r="U156" s="22">
        <f t="shared" si="275"/>
        <v>0.42661756970015785</v>
      </c>
      <c r="V156" s="22">
        <f t="shared" si="275"/>
        <v>4.2609153077327731E-2</v>
      </c>
      <c r="W156" s="22">
        <f t="shared" si="275"/>
        <v>0.39768542872172541</v>
      </c>
      <c r="X156" s="22">
        <f t="shared" si="275"/>
        <v>0</v>
      </c>
      <c r="Y156" s="384">
        <f t="shared" si="275"/>
        <v>4.7343503419253032E-3</v>
      </c>
    </row>
    <row r="157" spans="1:25" x14ac:dyDescent="0.35">
      <c r="A157" s="145" t="s">
        <v>21</v>
      </c>
      <c r="B157" s="22">
        <f t="shared" ref="B157:Y157" si="276">B136/$Z$136</f>
        <v>2.2364217252396165E-2</v>
      </c>
      <c r="C157" s="22">
        <f t="shared" si="276"/>
        <v>1.872559460418885E-2</v>
      </c>
      <c r="D157" s="22">
        <f t="shared" si="276"/>
        <v>0</v>
      </c>
      <c r="E157" s="22">
        <f t="shared" si="276"/>
        <v>0</v>
      </c>
      <c r="F157" s="22">
        <f t="shared" si="276"/>
        <v>0</v>
      </c>
      <c r="G157" s="22">
        <f t="shared" si="276"/>
        <v>0</v>
      </c>
      <c r="H157" s="22">
        <f t="shared" si="276"/>
        <v>0</v>
      </c>
      <c r="I157" s="22">
        <f t="shared" si="276"/>
        <v>0</v>
      </c>
      <c r="J157" s="22">
        <f t="shared" si="276"/>
        <v>0</v>
      </c>
      <c r="K157" s="22">
        <f t="shared" si="276"/>
        <v>3.6829960951366698E-3</v>
      </c>
      <c r="L157" s="22">
        <f t="shared" si="276"/>
        <v>0</v>
      </c>
      <c r="M157" s="22">
        <f t="shared" si="276"/>
        <v>2.5292864749733757E-3</v>
      </c>
      <c r="N157" s="22">
        <f t="shared" si="276"/>
        <v>0</v>
      </c>
      <c r="O157" s="22">
        <f t="shared" si="276"/>
        <v>9.3583599574014908E-2</v>
      </c>
      <c r="P157" s="22">
        <f t="shared" si="276"/>
        <v>0</v>
      </c>
      <c r="Q157" s="22">
        <f t="shared" si="276"/>
        <v>0</v>
      </c>
      <c r="R157" s="22">
        <f t="shared" si="276"/>
        <v>1.7083777067802626E-2</v>
      </c>
      <c r="S157" s="22">
        <f t="shared" si="276"/>
        <v>2.2097976570820022E-2</v>
      </c>
      <c r="T157" s="22">
        <f t="shared" si="276"/>
        <v>4.7346467873624426E-2</v>
      </c>
      <c r="U157" s="22">
        <f t="shared" si="276"/>
        <v>0.18237486687965923</v>
      </c>
      <c r="V157" s="22">
        <f t="shared" si="276"/>
        <v>0.36656904508342203</v>
      </c>
      <c r="W157" s="22">
        <f t="shared" si="276"/>
        <v>5.0363862264820723E-2</v>
      </c>
      <c r="X157" s="22">
        <f t="shared" si="276"/>
        <v>0.17216897408590698</v>
      </c>
      <c r="Y157" s="384">
        <f t="shared" si="276"/>
        <v>1.1093361732339368E-3</v>
      </c>
    </row>
    <row r="158" spans="1:25" x14ac:dyDescent="0.35">
      <c r="A158" s="145" t="s">
        <v>22</v>
      </c>
      <c r="B158" s="22">
        <f t="shared" ref="B158:Y158" si="277">B138/$Z$138</f>
        <v>0</v>
      </c>
      <c r="C158" s="22">
        <f t="shared" si="277"/>
        <v>0</v>
      </c>
      <c r="D158" s="22">
        <f t="shared" si="277"/>
        <v>0</v>
      </c>
      <c r="E158" s="22">
        <f t="shared" si="277"/>
        <v>0</v>
      </c>
      <c r="F158" s="22">
        <f t="shared" si="277"/>
        <v>0</v>
      </c>
      <c r="G158" s="22">
        <f t="shared" si="277"/>
        <v>2.1575240551532588E-3</v>
      </c>
      <c r="H158" s="22">
        <f t="shared" si="277"/>
        <v>0</v>
      </c>
      <c r="I158" s="22">
        <f t="shared" si="277"/>
        <v>0</v>
      </c>
      <c r="J158" s="22">
        <f t="shared" si="277"/>
        <v>0</v>
      </c>
      <c r="K158" s="22">
        <f t="shared" si="277"/>
        <v>0</v>
      </c>
      <c r="L158" s="22">
        <f t="shared" si="277"/>
        <v>0</v>
      </c>
      <c r="M158" s="22">
        <f t="shared" si="277"/>
        <v>1.2647554806070828E-3</v>
      </c>
      <c r="N158" s="22">
        <f t="shared" si="277"/>
        <v>5.5946830671560366E-2</v>
      </c>
      <c r="O158" s="22">
        <f t="shared" si="277"/>
        <v>4.2158516020236096E-4</v>
      </c>
      <c r="P158" s="22">
        <f t="shared" si="277"/>
        <v>7.2066263267533001E-2</v>
      </c>
      <c r="Q158" s="22">
        <f t="shared" si="277"/>
        <v>2.8618192639619087E-2</v>
      </c>
      <c r="R158" s="22">
        <f t="shared" si="277"/>
        <v>0.5541116952683266</v>
      </c>
      <c r="S158" s="22">
        <f t="shared" si="277"/>
        <v>0.13790794564031347</v>
      </c>
      <c r="T158" s="22">
        <f t="shared" si="277"/>
        <v>1.2721952187283008E-2</v>
      </c>
      <c r="U158" s="22">
        <f t="shared" si="277"/>
        <v>5.3690110108124196E-2</v>
      </c>
      <c r="V158" s="22">
        <f t="shared" si="277"/>
        <v>2.0384882452137688E-2</v>
      </c>
      <c r="W158" s="22">
        <f t="shared" si="277"/>
        <v>4.2307310782660458E-2</v>
      </c>
      <c r="X158" s="22">
        <f t="shared" si="277"/>
        <v>1.537545878385081E-2</v>
      </c>
      <c r="Y158" s="384">
        <f t="shared" si="277"/>
        <v>3.0254935026287079E-3</v>
      </c>
    </row>
    <row r="159" spans="1:25" x14ac:dyDescent="0.35">
      <c r="A159" s="145" t="s">
        <v>23</v>
      </c>
      <c r="B159" s="22">
        <f t="shared" ref="B159:Y159" si="278">B140/$Z$140</f>
        <v>0</v>
      </c>
      <c r="C159" s="22">
        <f t="shared" si="278"/>
        <v>0</v>
      </c>
      <c r="D159" s="22">
        <f t="shared" si="278"/>
        <v>0</v>
      </c>
      <c r="E159" s="22">
        <f t="shared" si="278"/>
        <v>0</v>
      </c>
      <c r="F159" s="22">
        <f t="shared" si="278"/>
        <v>0</v>
      </c>
      <c r="G159" s="22">
        <f t="shared" si="278"/>
        <v>0</v>
      </c>
      <c r="H159" s="22">
        <f t="shared" si="278"/>
        <v>0</v>
      </c>
      <c r="I159" s="22">
        <f t="shared" si="278"/>
        <v>0</v>
      </c>
      <c r="J159" s="22">
        <f t="shared" si="278"/>
        <v>0</v>
      </c>
      <c r="K159" s="22">
        <f t="shared" si="278"/>
        <v>0.10879706764411863</v>
      </c>
      <c r="L159" s="22">
        <f t="shared" si="278"/>
        <v>0</v>
      </c>
      <c r="M159" s="22">
        <f t="shared" si="278"/>
        <v>4.2652449183605466E-2</v>
      </c>
      <c r="N159" s="22">
        <f t="shared" si="278"/>
        <v>0</v>
      </c>
      <c r="O159" s="22">
        <f t="shared" si="278"/>
        <v>3.1989336887704098E-2</v>
      </c>
      <c r="P159" s="22">
        <f t="shared" si="278"/>
        <v>0</v>
      </c>
      <c r="Q159" s="22">
        <f t="shared" si="278"/>
        <v>1.9826724425191601E-2</v>
      </c>
      <c r="R159" s="22">
        <f t="shared" si="278"/>
        <v>0.27190936354548484</v>
      </c>
      <c r="S159" s="22">
        <f t="shared" si="278"/>
        <v>0</v>
      </c>
      <c r="T159" s="22">
        <f t="shared" si="278"/>
        <v>0.11229590136621125</v>
      </c>
      <c r="U159" s="22">
        <f t="shared" si="278"/>
        <v>2.8157280906364542E-2</v>
      </c>
      <c r="V159" s="22">
        <f t="shared" si="278"/>
        <v>5.8647117627457508E-2</v>
      </c>
      <c r="W159" s="22">
        <f t="shared" si="278"/>
        <v>0.32355881372875711</v>
      </c>
      <c r="X159" s="22">
        <f t="shared" si="278"/>
        <v>0</v>
      </c>
      <c r="Y159" s="384">
        <f t="shared" si="278"/>
        <v>2.1659446851049649E-3</v>
      </c>
    </row>
    <row r="160" spans="1:25" x14ac:dyDescent="0.35">
      <c r="A160" s="145" t="s">
        <v>25</v>
      </c>
      <c r="B160" s="22">
        <f t="shared" ref="B160:Y160" si="279">B142/$Z$142</f>
        <v>2.0574731535919596E-2</v>
      </c>
      <c r="C160" s="22">
        <f t="shared" si="279"/>
        <v>1.2089277617217E-2</v>
      </c>
      <c r="D160" s="22">
        <f t="shared" si="279"/>
        <v>2.5140427611109366E-3</v>
      </c>
      <c r="E160" s="22">
        <f t="shared" si="279"/>
        <v>8.787318122020928E-4</v>
      </c>
      <c r="F160" s="22">
        <f t="shared" si="279"/>
        <v>5.9004219063875608E-3</v>
      </c>
      <c r="G160" s="22">
        <f t="shared" si="279"/>
        <v>5.1272146567861547E-3</v>
      </c>
      <c r="H160" s="22">
        <f t="shared" si="279"/>
        <v>4.0834808012448045E-3</v>
      </c>
      <c r="I160" s="22">
        <f t="shared" si="279"/>
        <v>3.156783278769673E-3</v>
      </c>
      <c r="J160" s="22">
        <f t="shared" si="279"/>
        <v>2.7410804564033256E-3</v>
      </c>
      <c r="K160" s="22">
        <f t="shared" si="279"/>
        <v>4.5631379039752047E-3</v>
      </c>
      <c r="L160" s="22">
        <f t="shared" si="279"/>
        <v>8.896679941443459E-3</v>
      </c>
      <c r="M160" s="22">
        <f t="shared" si="279"/>
        <v>9.6948293603868422E-3</v>
      </c>
      <c r="N160" s="22">
        <f t="shared" si="279"/>
        <v>7.568989081085711E-3</v>
      </c>
      <c r="O160" s="22">
        <f t="shared" si="279"/>
        <v>1.1981194883401752E-2</v>
      </c>
      <c r="P160" s="22">
        <f t="shared" si="279"/>
        <v>1.7795278511297839E-2</v>
      </c>
      <c r="Q160" s="22">
        <f t="shared" si="279"/>
        <v>3.2130630454900388E-2</v>
      </c>
      <c r="R160" s="22">
        <f t="shared" si="279"/>
        <v>6.9062948279533923E-2</v>
      </c>
      <c r="S160" s="22">
        <f t="shared" si="279"/>
        <v>5.7874786472646433E-2</v>
      </c>
      <c r="T160" s="22">
        <f t="shared" si="279"/>
        <v>9.919756564427222E-2</v>
      </c>
      <c r="U160" s="22">
        <f t="shared" si="279"/>
        <v>0.1555323330457522</v>
      </c>
      <c r="V160" s="22">
        <f t="shared" si="279"/>
        <v>0.14686972577044119</v>
      </c>
      <c r="W160" s="22">
        <f t="shared" si="279"/>
        <v>0.17733882402148349</v>
      </c>
      <c r="X160" s="22">
        <f t="shared" si="279"/>
        <v>0.14394381744378579</v>
      </c>
      <c r="Y160" s="384">
        <f t="shared" si="279"/>
        <v>4.6558716105030823E-4</v>
      </c>
    </row>
    <row r="161" spans="1:33" x14ac:dyDescent="0.35">
      <c r="A161" s="528"/>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529"/>
    </row>
    <row r="162" spans="1:33" ht="23.5" x14ac:dyDescent="0.35">
      <c r="A162" s="289" t="s">
        <v>63</v>
      </c>
      <c r="B162" s="289"/>
      <c r="C162" s="120"/>
      <c r="D162" s="120"/>
    </row>
    <row r="163" spans="1:33" ht="15.5" x14ac:dyDescent="0.35">
      <c r="A163" s="290" t="s">
        <v>109</v>
      </c>
    </row>
    <row r="164" spans="1:33" ht="18.5" x14ac:dyDescent="0.45">
      <c r="A164" s="108"/>
      <c r="D164" s="109"/>
      <c r="AA164" s="110"/>
    </row>
    <row r="165" spans="1:33" ht="39" x14ac:dyDescent="0.35">
      <c r="A165" s="115" t="s">
        <v>0</v>
      </c>
      <c r="B165" s="213" t="s">
        <v>89</v>
      </c>
      <c r="C165" s="213">
        <v>2000</v>
      </c>
      <c r="D165" s="213">
        <v>2001</v>
      </c>
      <c r="E165" s="213">
        <v>2002</v>
      </c>
      <c r="F165" s="213">
        <v>2003</v>
      </c>
      <c r="G165" s="213">
        <v>2004</v>
      </c>
      <c r="H165" s="213">
        <v>2005</v>
      </c>
      <c r="I165" s="213">
        <v>2006</v>
      </c>
      <c r="J165" s="213">
        <v>2007</v>
      </c>
      <c r="K165" s="213">
        <v>2008</v>
      </c>
      <c r="L165" s="213">
        <v>2009</v>
      </c>
      <c r="M165" s="213">
        <v>2010</v>
      </c>
      <c r="N165" s="213">
        <v>2011</v>
      </c>
      <c r="O165" s="213">
        <v>2012</v>
      </c>
      <c r="P165" s="213">
        <v>2013</v>
      </c>
      <c r="Q165" s="213">
        <v>2014</v>
      </c>
      <c r="R165" s="213">
        <v>2015</v>
      </c>
      <c r="S165" s="213">
        <v>2016</v>
      </c>
      <c r="T165" s="213">
        <v>2017</v>
      </c>
      <c r="U165" s="213">
        <v>2018</v>
      </c>
      <c r="V165" s="213">
        <v>2019</v>
      </c>
      <c r="W165" s="213">
        <v>2020</v>
      </c>
      <c r="X165" s="213">
        <v>2021</v>
      </c>
      <c r="Y165" s="213" t="s">
        <v>90</v>
      </c>
      <c r="Z165" s="213" t="s">
        <v>91</v>
      </c>
      <c r="AA165" s="115" t="s">
        <v>92</v>
      </c>
      <c r="AC165" s="187" t="s">
        <v>93</v>
      </c>
      <c r="AD165" s="187" t="s">
        <v>107</v>
      </c>
      <c r="AE165" s="187" t="s">
        <v>94</v>
      </c>
      <c r="AF165" s="187" t="s">
        <v>96</v>
      </c>
      <c r="AG165" s="187" t="s">
        <v>97</v>
      </c>
    </row>
    <row r="166" spans="1:33" x14ac:dyDescent="0.35">
      <c r="A166" s="116" t="s">
        <v>5</v>
      </c>
      <c r="B166" s="117">
        <f>SUM(B167:B174)</f>
        <v>37.879999999999995</v>
      </c>
      <c r="C166" s="117">
        <f t="shared" ref="C166:Y166" si="280">SUM(C167:C174)</f>
        <v>46.839999999999996</v>
      </c>
      <c r="D166" s="117">
        <f t="shared" si="280"/>
        <v>0</v>
      </c>
      <c r="E166" s="117">
        <f t="shared" si="280"/>
        <v>1.69</v>
      </c>
      <c r="F166" s="117">
        <f t="shared" si="280"/>
        <v>6.57</v>
      </c>
      <c r="G166" s="117">
        <f t="shared" si="280"/>
        <v>0.35</v>
      </c>
      <c r="H166" s="117">
        <f t="shared" si="280"/>
        <v>17.75</v>
      </c>
      <c r="I166" s="117">
        <f t="shared" si="280"/>
        <v>20.22</v>
      </c>
      <c r="J166" s="117">
        <f t="shared" si="280"/>
        <v>23.79</v>
      </c>
      <c r="K166" s="117">
        <f t="shared" si="280"/>
        <v>11.27</v>
      </c>
      <c r="L166" s="117">
        <f t="shared" si="280"/>
        <v>10.15</v>
      </c>
      <c r="M166" s="117">
        <f t="shared" si="280"/>
        <v>55.009999999999991</v>
      </c>
      <c r="N166" s="117">
        <f t="shared" si="280"/>
        <v>47.42</v>
      </c>
      <c r="O166" s="117">
        <f t="shared" si="280"/>
        <v>15.479999999999999</v>
      </c>
      <c r="P166" s="117">
        <f t="shared" si="280"/>
        <v>66.5</v>
      </c>
      <c r="Q166" s="117">
        <f t="shared" si="280"/>
        <v>108.5</v>
      </c>
      <c r="R166" s="117">
        <f t="shared" si="280"/>
        <v>179.41</v>
      </c>
      <c r="S166" s="117">
        <f t="shared" si="280"/>
        <v>256.69</v>
      </c>
      <c r="T166" s="117">
        <f t="shared" si="280"/>
        <v>296.05</v>
      </c>
      <c r="U166" s="117">
        <f t="shared" si="280"/>
        <v>347.41999999999996</v>
      </c>
      <c r="V166" s="117">
        <f t="shared" si="280"/>
        <v>297.78999999999996</v>
      </c>
      <c r="W166" s="117">
        <f t="shared" si="280"/>
        <v>790.23</v>
      </c>
      <c r="X166" s="117">
        <f t="shared" si="280"/>
        <v>411.44</v>
      </c>
      <c r="Y166" s="117">
        <f t="shared" si="280"/>
        <v>1.4600000000000004</v>
      </c>
      <c r="Z166" s="117">
        <f>SUM(B166:Y166)</f>
        <v>3049.91</v>
      </c>
      <c r="AA166" s="185">
        <f>Z166/$Z$220</f>
        <v>9.0830792726055459E-2</v>
      </c>
      <c r="AC166" s="117">
        <f>SUM(B166:T166)</f>
        <v>1201.57</v>
      </c>
      <c r="AD166" s="117">
        <f>SUM(U166:X166)</f>
        <v>1846.88</v>
      </c>
      <c r="AE166" s="117">
        <f>Y166</f>
        <v>1.4600000000000004</v>
      </c>
      <c r="AF166" s="117">
        <f>SUM(AC166:AE166)</f>
        <v>3049.91</v>
      </c>
      <c r="AG166" s="185">
        <f>AD166/AF166</f>
        <v>0.60555229498575369</v>
      </c>
    </row>
    <row r="167" spans="1:33" x14ac:dyDescent="0.35">
      <c r="A167" s="6" t="s">
        <v>6</v>
      </c>
      <c r="B167" s="12">
        <v>3.2300000000000004</v>
      </c>
      <c r="C167" s="12"/>
      <c r="D167" s="12"/>
      <c r="E167" s="12"/>
      <c r="F167" s="12"/>
      <c r="G167" s="12"/>
      <c r="H167" s="12"/>
      <c r="I167" s="12"/>
      <c r="J167" s="12"/>
      <c r="K167" s="12"/>
      <c r="L167" s="12"/>
      <c r="M167" s="12">
        <v>0.36</v>
      </c>
      <c r="N167" s="12">
        <v>3.83</v>
      </c>
      <c r="O167" s="12">
        <v>0.62</v>
      </c>
      <c r="P167" s="12">
        <v>0.44999999999999996</v>
      </c>
      <c r="Q167" s="12">
        <v>2.11</v>
      </c>
      <c r="R167" s="12">
        <v>6.2200000000000006</v>
      </c>
      <c r="S167" s="12">
        <v>6.11</v>
      </c>
      <c r="T167" s="12">
        <v>4.99</v>
      </c>
      <c r="U167" s="12">
        <v>16.07</v>
      </c>
      <c r="V167" s="12">
        <v>8.3000000000000007</v>
      </c>
      <c r="W167" s="12">
        <v>25.78</v>
      </c>
      <c r="X167" s="12">
        <v>17.850000000000001</v>
      </c>
      <c r="Y167" s="54">
        <v>0.22000000000000003</v>
      </c>
      <c r="Z167" s="12">
        <f>SUM(B167:Y167)</f>
        <v>96.140000000000015</v>
      </c>
      <c r="AA167" s="24">
        <f>Z167/$Z$220</f>
        <v>2.8631901966559578E-3</v>
      </c>
      <c r="AC167" s="89">
        <f t="shared" ref="AC167:AC220" si="281">SUM(B167:T167)</f>
        <v>27.92</v>
      </c>
      <c r="AD167" s="89">
        <f t="shared" ref="AD167:AD220" si="282">SUM(U167:X167)</f>
        <v>68</v>
      </c>
      <c r="AE167" s="89">
        <f t="shared" ref="AE167:AE220" si="283">Y167</f>
        <v>0.22000000000000003</v>
      </c>
      <c r="AF167" s="89">
        <f>SUM(AC167:AE167)</f>
        <v>96.14</v>
      </c>
      <c r="AG167" s="24">
        <f>AD167/AF167</f>
        <v>0.70730185146661118</v>
      </c>
    </row>
    <row r="168" spans="1:33" x14ac:dyDescent="0.35">
      <c r="A168" s="6" t="s">
        <v>7</v>
      </c>
      <c r="B168" s="12">
        <v>0.27</v>
      </c>
      <c r="C168" s="12"/>
      <c r="D168" s="12"/>
      <c r="E168" s="12"/>
      <c r="F168" s="12"/>
      <c r="G168" s="12"/>
      <c r="H168" s="12">
        <v>11.06</v>
      </c>
      <c r="I168" s="12"/>
      <c r="J168" s="12"/>
      <c r="K168" s="12"/>
      <c r="L168" s="12"/>
      <c r="M168" s="12"/>
      <c r="N168" s="12"/>
      <c r="O168" s="12"/>
      <c r="P168" s="12"/>
      <c r="Q168" s="12">
        <v>3.66</v>
      </c>
      <c r="R168" s="12">
        <v>6.32</v>
      </c>
      <c r="S168" s="12">
        <v>10.870000000000001</v>
      </c>
      <c r="T168" s="12">
        <v>18.61</v>
      </c>
      <c r="U168" s="12">
        <v>28.79</v>
      </c>
      <c r="V168" s="12">
        <v>40.14</v>
      </c>
      <c r="W168" s="12">
        <v>48.13</v>
      </c>
      <c r="X168" s="54">
        <v>22.569999999999997</v>
      </c>
      <c r="Y168" s="12">
        <v>0.1</v>
      </c>
      <c r="Z168" s="12">
        <f t="shared" ref="Z168:Z219" si="284">SUM(B168:Y168)</f>
        <v>190.52</v>
      </c>
      <c r="AA168" s="24">
        <f t="shared" ref="AA168:AA219" si="285">Z168/$Z$220</f>
        <v>5.6739650121374356E-3</v>
      </c>
      <c r="AC168" s="89">
        <f t="shared" si="281"/>
        <v>50.790000000000006</v>
      </c>
      <c r="AD168" s="89">
        <f t="shared" si="282"/>
        <v>139.63</v>
      </c>
      <c r="AE168" s="89">
        <f t="shared" si="283"/>
        <v>0.1</v>
      </c>
      <c r="AF168" s="89">
        <f t="shared" ref="AF168:AF174" si="286">SUM(AC168:AE168)</f>
        <v>190.52</v>
      </c>
      <c r="AG168" s="24">
        <f t="shared" ref="AG168:AG174" si="287">AD168/AF168</f>
        <v>0.73288893554482459</v>
      </c>
    </row>
    <row r="169" spans="1:33" x14ac:dyDescent="0.35">
      <c r="A169" s="6" t="s">
        <v>8</v>
      </c>
      <c r="B169" s="54"/>
      <c r="C169" s="54"/>
      <c r="D169" s="54"/>
      <c r="E169" s="54"/>
      <c r="F169" s="54"/>
      <c r="G169" s="54"/>
      <c r="H169" s="54"/>
      <c r="I169" s="12"/>
      <c r="J169" s="12"/>
      <c r="K169" s="12"/>
      <c r="L169" s="12">
        <v>5.49</v>
      </c>
      <c r="M169" s="12">
        <v>47.279999999999994</v>
      </c>
      <c r="N169" s="12">
        <v>8.5399999999999991</v>
      </c>
      <c r="O169" s="12">
        <v>0.71</v>
      </c>
      <c r="P169" s="12">
        <v>21.810000000000002</v>
      </c>
      <c r="Q169" s="12">
        <v>5.7100000000000009</v>
      </c>
      <c r="R169" s="12">
        <v>3.7399999999999998</v>
      </c>
      <c r="S169" s="12">
        <v>5.8100000000000005</v>
      </c>
      <c r="T169" s="12">
        <v>28.89</v>
      </c>
      <c r="U169" s="12">
        <v>25.520000000000003</v>
      </c>
      <c r="V169" s="12">
        <v>12.760000000000002</v>
      </c>
      <c r="W169" s="12">
        <v>55.47</v>
      </c>
      <c r="X169" s="12">
        <v>18.8</v>
      </c>
      <c r="Y169" s="12">
        <v>0.04</v>
      </c>
      <c r="Z169" s="12">
        <f t="shared" si="284"/>
        <v>240.57</v>
      </c>
      <c r="AA169" s="24">
        <f t="shared" si="285"/>
        <v>7.1645274142867034E-3</v>
      </c>
      <c r="AC169" s="89">
        <f t="shared" si="281"/>
        <v>127.97999999999999</v>
      </c>
      <c r="AD169" s="89">
        <f t="shared" si="282"/>
        <v>112.55</v>
      </c>
      <c r="AE169" s="89">
        <f t="shared" si="283"/>
        <v>0.04</v>
      </c>
      <c r="AF169" s="89">
        <f t="shared" si="286"/>
        <v>240.56999999999996</v>
      </c>
      <c r="AG169" s="24">
        <f t="shared" si="287"/>
        <v>0.46784719624225801</v>
      </c>
    </row>
    <row r="170" spans="1:33" x14ac:dyDescent="0.35">
      <c r="A170" s="6" t="s">
        <v>26</v>
      </c>
      <c r="B170" s="12">
        <v>5.94</v>
      </c>
      <c r="C170" s="12">
        <v>0.03</v>
      </c>
      <c r="D170" s="12"/>
      <c r="E170" s="12">
        <v>1.69</v>
      </c>
      <c r="F170" s="12">
        <v>6.57</v>
      </c>
      <c r="G170" s="12">
        <v>0.06</v>
      </c>
      <c r="H170" s="12">
        <v>0.64000000000000012</v>
      </c>
      <c r="I170" s="12">
        <v>15.46</v>
      </c>
      <c r="J170" s="12">
        <v>0.52</v>
      </c>
      <c r="K170" s="12">
        <v>5.7</v>
      </c>
      <c r="L170" s="12">
        <v>1.24</v>
      </c>
      <c r="M170" s="12">
        <v>2.96</v>
      </c>
      <c r="N170" s="12">
        <v>0.94</v>
      </c>
      <c r="O170" s="54">
        <v>12.95</v>
      </c>
      <c r="P170" s="12">
        <v>36.479999999999997</v>
      </c>
      <c r="Q170" s="12">
        <v>19.090000000000003</v>
      </c>
      <c r="R170" s="12">
        <v>67.06</v>
      </c>
      <c r="S170" s="12">
        <v>124.38000000000001</v>
      </c>
      <c r="T170" s="12">
        <v>84.070000000000007</v>
      </c>
      <c r="U170" s="12">
        <v>120.81999999999996</v>
      </c>
      <c r="V170" s="12">
        <v>162.30999999999997</v>
      </c>
      <c r="W170" s="12">
        <v>516.05999999999995</v>
      </c>
      <c r="X170" s="12">
        <v>219.93</v>
      </c>
      <c r="Y170" s="54">
        <v>0.8</v>
      </c>
      <c r="Z170" s="12">
        <f t="shared" si="284"/>
        <v>1405.6999999999998</v>
      </c>
      <c r="AA170" s="24">
        <f t="shared" si="285"/>
        <v>4.1863807566458071E-2</v>
      </c>
      <c r="AC170" s="89">
        <f t="shared" si="281"/>
        <v>385.78000000000003</v>
      </c>
      <c r="AD170" s="89">
        <f t="shared" si="282"/>
        <v>1019.1199999999999</v>
      </c>
      <c r="AE170" s="89">
        <f t="shared" si="283"/>
        <v>0.8</v>
      </c>
      <c r="AF170" s="89">
        <f t="shared" si="286"/>
        <v>1405.6999999999998</v>
      </c>
      <c r="AG170" s="24">
        <f t="shared" si="287"/>
        <v>0.72499110763320762</v>
      </c>
    </row>
    <row r="171" spans="1:33" x14ac:dyDescent="0.35">
      <c r="A171" s="6" t="s">
        <v>27</v>
      </c>
      <c r="B171" s="12"/>
      <c r="C171" s="12"/>
      <c r="D171" s="12"/>
      <c r="E171" s="12"/>
      <c r="F171" s="12"/>
      <c r="G171" s="12"/>
      <c r="H171" s="12">
        <v>6.02</v>
      </c>
      <c r="I171" s="12">
        <v>1.95</v>
      </c>
      <c r="J171" s="12"/>
      <c r="K171" s="12"/>
      <c r="L171" s="12"/>
      <c r="M171" s="12">
        <v>4.41</v>
      </c>
      <c r="N171" s="12">
        <v>0.18</v>
      </c>
      <c r="O171" s="12"/>
      <c r="P171" s="12"/>
      <c r="Q171" s="12"/>
      <c r="R171" s="12">
        <v>5.5000000000000009</v>
      </c>
      <c r="S171" s="12">
        <v>13.19</v>
      </c>
      <c r="T171" s="12">
        <v>2.44</v>
      </c>
      <c r="U171" s="12">
        <v>7.21</v>
      </c>
      <c r="V171" s="12"/>
      <c r="W171" s="12">
        <v>2</v>
      </c>
      <c r="X171" s="12"/>
      <c r="Y171" s="12"/>
      <c r="Z171" s="12">
        <f t="shared" si="284"/>
        <v>42.9</v>
      </c>
      <c r="AA171" s="24">
        <f t="shared" si="285"/>
        <v>1.2776249161279443E-3</v>
      </c>
      <c r="AC171" s="89">
        <f t="shared" si="281"/>
        <v>33.69</v>
      </c>
      <c r="AD171" s="89">
        <f t="shared" si="282"/>
        <v>9.2100000000000009</v>
      </c>
      <c r="AE171" s="89">
        <f t="shared" si="283"/>
        <v>0</v>
      </c>
      <c r="AF171" s="89">
        <f t="shared" si="286"/>
        <v>42.9</v>
      </c>
      <c r="AG171" s="24">
        <f t="shared" si="287"/>
        <v>0.21468531468531471</v>
      </c>
    </row>
    <row r="172" spans="1:33" x14ac:dyDescent="0.35">
      <c r="A172" s="6" t="s">
        <v>28</v>
      </c>
      <c r="B172" s="12">
        <v>24.42</v>
      </c>
      <c r="C172" s="12">
        <v>3.66</v>
      </c>
      <c r="D172" s="12"/>
      <c r="E172" s="12"/>
      <c r="F172" s="12"/>
      <c r="G172" s="12"/>
      <c r="H172" s="12"/>
      <c r="I172" s="12">
        <v>2.81</v>
      </c>
      <c r="J172" s="12">
        <v>12.01</v>
      </c>
      <c r="K172" s="12"/>
      <c r="L172" s="12">
        <v>3.42</v>
      </c>
      <c r="M172" s="12"/>
      <c r="N172" s="12">
        <v>17.579999999999998</v>
      </c>
      <c r="O172" s="12">
        <v>0.71</v>
      </c>
      <c r="P172" s="12">
        <v>2</v>
      </c>
      <c r="Q172" s="12">
        <v>49.57</v>
      </c>
      <c r="R172" s="12">
        <v>62.890000000000008</v>
      </c>
      <c r="S172" s="12">
        <v>41.56</v>
      </c>
      <c r="T172" s="12">
        <v>40.769999999999996</v>
      </c>
      <c r="U172" s="12">
        <v>38.059999999999995</v>
      </c>
      <c r="V172" s="12">
        <v>25.2</v>
      </c>
      <c r="W172" s="12">
        <v>39.199999999999996</v>
      </c>
      <c r="X172" s="12">
        <v>21</v>
      </c>
      <c r="Y172" s="12">
        <v>0.06</v>
      </c>
      <c r="Z172" s="12">
        <f t="shared" si="284"/>
        <v>384.92</v>
      </c>
      <c r="AA172" s="24">
        <f t="shared" si="285"/>
        <v>1.1463482114591339E-2</v>
      </c>
      <c r="AC172" s="89">
        <f t="shared" si="281"/>
        <v>261.40000000000003</v>
      </c>
      <c r="AD172" s="89">
        <f t="shared" si="282"/>
        <v>123.45999999999998</v>
      </c>
      <c r="AE172" s="89">
        <f t="shared" si="283"/>
        <v>0.06</v>
      </c>
      <c r="AF172" s="89">
        <f t="shared" si="286"/>
        <v>384.92</v>
      </c>
      <c r="AG172" s="24">
        <f t="shared" si="287"/>
        <v>0.32074197235789248</v>
      </c>
    </row>
    <row r="173" spans="1:33" x14ac:dyDescent="0.35">
      <c r="A173" s="6" t="s">
        <v>29</v>
      </c>
      <c r="B173" s="12">
        <v>4.0199999999999996</v>
      </c>
      <c r="C173" s="12">
        <v>43.15</v>
      </c>
      <c r="D173" s="12"/>
      <c r="E173" s="12"/>
      <c r="F173" s="12"/>
      <c r="G173" s="12">
        <v>0.28999999999999998</v>
      </c>
      <c r="H173" s="12">
        <v>0.03</v>
      </c>
      <c r="I173" s="12"/>
      <c r="J173" s="12">
        <v>11.26</v>
      </c>
      <c r="K173" s="12">
        <v>1.57</v>
      </c>
      <c r="L173" s="12"/>
      <c r="M173" s="12"/>
      <c r="N173" s="12">
        <v>16.350000000000001</v>
      </c>
      <c r="O173" s="12">
        <v>0.49</v>
      </c>
      <c r="P173" s="12">
        <v>5.76</v>
      </c>
      <c r="Q173" s="12">
        <v>24.24</v>
      </c>
      <c r="R173" s="12">
        <v>24.79</v>
      </c>
      <c r="S173" s="12">
        <v>51.82</v>
      </c>
      <c r="T173" s="12">
        <v>94.429999999999993</v>
      </c>
      <c r="U173" s="12">
        <v>31.580000000000002</v>
      </c>
      <c r="V173" s="12">
        <v>19.939999999999998</v>
      </c>
      <c r="W173" s="12">
        <v>63.31</v>
      </c>
      <c r="X173" s="12">
        <v>86.54</v>
      </c>
      <c r="Y173" s="12">
        <v>0.11</v>
      </c>
      <c r="Z173" s="12">
        <f t="shared" si="284"/>
        <v>479.68</v>
      </c>
      <c r="AA173" s="24">
        <f t="shared" si="285"/>
        <v>1.4285573887371851E-2</v>
      </c>
      <c r="AC173" s="89">
        <f t="shared" si="281"/>
        <v>278.2</v>
      </c>
      <c r="AD173" s="89">
        <f t="shared" si="282"/>
        <v>201.37</v>
      </c>
      <c r="AE173" s="89">
        <f t="shared" si="283"/>
        <v>0.11</v>
      </c>
      <c r="AF173" s="89">
        <f t="shared" si="286"/>
        <v>479.68</v>
      </c>
      <c r="AG173" s="24">
        <f t="shared" si="287"/>
        <v>0.41980070046697798</v>
      </c>
    </row>
    <row r="174" spans="1:33" x14ac:dyDescent="0.35">
      <c r="A174" s="6" t="s">
        <v>30</v>
      </c>
      <c r="B174" s="12"/>
      <c r="C174" s="12"/>
      <c r="D174" s="12"/>
      <c r="E174" s="12"/>
      <c r="F174" s="12"/>
      <c r="G174" s="12"/>
      <c r="H174" s="12"/>
      <c r="I174" s="12"/>
      <c r="J174" s="12"/>
      <c r="K174" s="12">
        <v>4</v>
      </c>
      <c r="L174" s="12"/>
      <c r="M174" s="12"/>
      <c r="N174" s="12"/>
      <c r="O174" s="12"/>
      <c r="P174" s="12"/>
      <c r="Q174" s="12">
        <v>4.12</v>
      </c>
      <c r="R174" s="12">
        <v>2.89</v>
      </c>
      <c r="S174" s="12">
        <v>2.95</v>
      </c>
      <c r="T174" s="12">
        <v>21.85</v>
      </c>
      <c r="U174" s="12">
        <v>79.37</v>
      </c>
      <c r="V174" s="12">
        <v>29.14</v>
      </c>
      <c r="W174" s="12">
        <v>40.28</v>
      </c>
      <c r="X174" s="12">
        <v>24.75</v>
      </c>
      <c r="Y174" s="12">
        <v>0.13</v>
      </c>
      <c r="Z174" s="12">
        <f t="shared" si="284"/>
        <v>209.48</v>
      </c>
      <c r="AA174" s="24">
        <f t="shared" si="285"/>
        <v>6.2386216184261494E-3</v>
      </c>
      <c r="AC174" s="89">
        <f t="shared" si="281"/>
        <v>35.81</v>
      </c>
      <c r="AD174" s="89">
        <f t="shared" si="282"/>
        <v>173.54000000000002</v>
      </c>
      <c r="AE174" s="89">
        <f t="shared" si="283"/>
        <v>0.13</v>
      </c>
      <c r="AF174" s="89">
        <f t="shared" si="286"/>
        <v>209.48000000000002</v>
      </c>
      <c r="AG174" s="24">
        <f t="shared" si="287"/>
        <v>0.82843230857361083</v>
      </c>
    </row>
    <row r="175" spans="1:33" x14ac:dyDescent="0.35">
      <c r="A175" s="116" t="s">
        <v>12</v>
      </c>
      <c r="B175" s="117">
        <f>SUM(B176:B178)</f>
        <v>2.73</v>
      </c>
      <c r="C175" s="117">
        <f t="shared" ref="C175:Y175" si="288">SUM(C176:C178)</f>
        <v>4.4800000000000004</v>
      </c>
      <c r="D175" s="117">
        <f t="shared" si="288"/>
        <v>0</v>
      </c>
      <c r="E175" s="117">
        <f t="shared" si="288"/>
        <v>0</v>
      </c>
      <c r="F175" s="117">
        <f t="shared" si="288"/>
        <v>0</v>
      </c>
      <c r="G175" s="117">
        <f t="shared" si="288"/>
        <v>0</v>
      </c>
      <c r="H175" s="117">
        <f t="shared" si="288"/>
        <v>0</v>
      </c>
      <c r="I175" s="117">
        <f t="shared" si="288"/>
        <v>0</v>
      </c>
      <c r="J175" s="117">
        <f t="shared" si="288"/>
        <v>0.96</v>
      </c>
      <c r="K175" s="117">
        <f t="shared" si="288"/>
        <v>0</v>
      </c>
      <c r="L175" s="117">
        <f t="shared" si="288"/>
        <v>2.44</v>
      </c>
      <c r="M175" s="117">
        <f t="shared" si="288"/>
        <v>0.76</v>
      </c>
      <c r="N175" s="117">
        <f t="shared" si="288"/>
        <v>0</v>
      </c>
      <c r="O175" s="117">
        <f t="shared" si="288"/>
        <v>1.06</v>
      </c>
      <c r="P175" s="117">
        <f t="shared" si="288"/>
        <v>7.919999999999999</v>
      </c>
      <c r="Q175" s="117">
        <f t="shared" si="288"/>
        <v>3.17</v>
      </c>
      <c r="R175" s="117">
        <f t="shared" si="288"/>
        <v>18.920000000000002</v>
      </c>
      <c r="S175" s="117">
        <f t="shared" si="288"/>
        <v>12.9</v>
      </c>
      <c r="T175" s="117">
        <f t="shared" si="288"/>
        <v>61.180000000000007</v>
      </c>
      <c r="U175" s="117">
        <f t="shared" si="288"/>
        <v>112.29</v>
      </c>
      <c r="V175" s="117">
        <f t="shared" si="288"/>
        <v>84.58</v>
      </c>
      <c r="W175" s="117">
        <f t="shared" si="288"/>
        <v>37.06</v>
      </c>
      <c r="X175" s="117">
        <f t="shared" si="288"/>
        <v>21.4</v>
      </c>
      <c r="Y175" s="117">
        <f t="shared" si="288"/>
        <v>0.73</v>
      </c>
      <c r="Z175" s="117">
        <f>SUM(B175:Y175)</f>
        <v>372.58</v>
      </c>
      <c r="AA175" s="185">
        <f>Z175/$Z$220</f>
        <v>1.109597881703845E-2</v>
      </c>
      <c r="AC175" s="117">
        <f t="shared" si="281"/>
        <v>116.52000000000001</v>
      </c>
      <c r="AD175" s="117">
        <f t="shared" si="282"/>
        <v>255.33</v>
      </c>
      <c r="AE175" s="117">
        <f t="shared" si="283"/>
        <v>0.73</v>
      </c>
      <c r="AF175" s="117">
        <f>SUM(AC175:AE175)</f>
        <v>372.58000000000004</v>
      </c>
      <c r="AG175" s="185">
        <f>AD175/AF175</f>
        <v>0.68530248537226901</v>
      </c>
    </row>
    <row r="176" spans="1:33" x14ac:dyDescent="0.35">
      <c r="A176" s="6" t="s">
        <v>31</v>
      </c>
      <c r="B176" s="12"/>
      <c r="C176" s="12"/>
      <c r="D176" s="12"/>
      <c r="E176" s="12"/>
      <c r="F176" s="12"/>
      <c r="G176" s="12"/>
      <c r="H176" s="12"/>
      <c r="I176" s="12"/>
      <c r="J176" s="12"/>
      <c r="K176" s="12"/>
      <c r="L176" s="12"/>
      <c r="M176" s="12"/>
      <c r="N176" s="12"/>
      <c r="O176" s="12"/>
      <c r="P176" s="12"/>
      <c r="Q176" s="12">
        <v>0.08</v>
      </c>
      <c r="R176" s="12">
        <v>0.47</v>
      </c>
      <c r="S176" s="12">
        <v>0.87000000000000011</v>
      </c>
      <c r="T176" s="12">
        <v>1</v>
      </c>
      <c r="U176" s="12">
        <v>8.4500000000000011</v>
      </c>
      <c r="V176" s="12">
        <v>11.780000000000001</v>
      </c>
      <c r="W176" s="12">
        <v>9.4000000000000021</v>
      </c>
      <c r="X176" s="12">
        <v>4.49</v>
      </c>
      <c r="Y176" s="12"/>
      <c r="Z176" s="12">
        <f t="shared" si="284"/>
        <v>36.540000000000006</v>
      </c>
      <c r="AA176" s="24">
        <f t="shared" si="285"/>
        <v>1.0882147887019836E-3</v>
      </c>
      <c r="AC176" s="89">
        <f t="shared" si="281"/>
        <v>2.42</v>
      </c>
      <c r="AD176" s="89">
        <f t="shared" si="282"/>
        <v>34.120000000000005</v>
      </c>
      <c r="AE176" s="89">
        <f t="shared" si="283"/>
        <v>0</v>
      </c>
      <c r="AF176" s="89">
        <f t="shared" ref="AF176:AF178" si="289">SUM(AC176:AE176)</f>
        <v>36.540000000000006</v>
      </c>
      <c r="AG176" s="24">
        <f t="shared" ref="AG176:AG178" si="290">AD176/AF176</f>
        <v>0.93377120963327853</v>
      </c>
    </row>
    <row r="177" spans="1:43" x14ac:dyDescent="0.35">
      <c r="A177" s="6" t="s">
        <v>32</v>
      </c>
      <c r="B177" s="12"/>
      <c r="C177" s="12">
        <v>4.1100000000000003</v>
      </c>
      <c r="D177" s="12"/>
      <c r="E177" s="12"/>
      <c r="F177" s="12"/>
      <c r="G177" s="12"/>
      <c r="H177" s="12"/>
      <c r="I177" s="12"/>
      <c r="J177" s="12">
        <v>0.96</v>
      </c>
      <c r="K177" s="12"/>
      <c r="L177" s="12">
        <v>2.44</v>
      </c>
      <c r="M177" s="12">
        <v>0.76</v>
      </c>
      <c r="N177" s="12"/>
      <c r="O177" s="12"/>
      <c r="P177" s="12">
        <v>7.8999999999999995</v>
      </c>
      <c r="Q177" s="12">
        <v>1</v>
      </c>
      <c r="R177" s="12">
        <v>17.78</v>
      </c>
      <c r="S177" s="12">
        <v>7.77</v>
      </c>
      <c r="T177" s="12">
        <v>17.160000000000004</v>
      </c>
      <c r="U177" s="12">
        <v>33.42</v>
      </c>
      <c r="V177" s="12">
        <v>19.059999999999999</v>
      </c>
      <c r="W177" s="12">
        <v>6.4799999999999995</v>
      </c>
      <c r="X177" s="12">
        <v>7.5500000000000007</v>
      </c>
      <c r="Y177" s="12">
        <v>0.19</v>
      </c>
      <c r="Z177" s="12">
        <f t="shared" si="284"/>
        <v>126.58000000000001</v>
      </c>
      <c r="AA177" s="24">
        <f t="shared" si="285"/>
        <v>3.7697380392418467E-3</v>
      </c>
      <c r="AC177" s="89">
        <f t="shared" si="281"/>
        <v>59.88</v>
      </c>
      <c r="AD177" s="89">
        <f t="shared" si="282"/>
        <v>66.510000000000005</v>
      </c>
      <c r="AE177" s="89">
        <f t="shared" si="283"/>
        <v>0.19</v>
      </c>
      <c r="AF177" s="89">
        <f t="shared" si="289"/>
        <v>126.58000000000001</v>
      </c>
      <c r="AG177" s="24">
        <f t="shared" si="290"/>
        <v>0.52543845789224208</v>
      </c>
    </row>
    <row r="178" spans="1:43" x14ac:dyDescent="0.35">
      <c r="A178" s="6" t="s">
        <v>33</v>
      </c>
      <c r="B178" s="12">
        <v>2.73</v>
      </c>
      <c r="C178" s="12">
        <v>0.37</v>
      </c>
      <c r="D178" s="12"/>
      <c r="E178" s="12"/>
      <c r="F178" s="12"/>
      <c r="G178" s="12"/>
      <c r="H178" s="12"/>
      <c r="I178" s="12"/>
      <c r="J178" s="12"/>
      <c r="K178" s="12"/>
      <c r="L178" s="12"/>
      <c r="M178" s="12"/>
      <c r="N178" s="12"/>
      <c r="O178" s="12">
        <v>1.06</v>
      </c>
      <c r="P178" s="12">
        <v>0.02</v>
      </c>
      <c r="Q178" s="12">
        <v>2.09</v>
      </c>
      <c r="R178" s="12">
        <v>0.67</v>
      </c>
      <c r="S178" s="12">
        <v>4.26</v>
      </c>
      <c r="T178" s="12">
        <v>43.02</v>
      </c>
      <c r="U178" s="12">
        <v>70.42</v>
      </c>
      <c r="V178" s="12">
        <v>53.74</v>
      </c>
      <c r="W178" s="12">
        <v>21.18</v>
      </c>
      <c r="X178" s="12">
        <v>9.36</v>
      </c>
      <c r="Y178" s="54">
        <v>0.54</v>
      </c>
      <c r="Z178" s="12">
        <f t="shared" si="284"/>
        <v>209.46</v>
      </c>
      <c r="AA178" s="24">
        <f t="shared" si="285"/>
        <v>6.2380259890946217E-3</v>
      </c>
      <c r="AC178" s="89">
        <f t="shared" si="281"/>
        <v>54.22</v>
      </c>
      <c r="AD178" s="89">
        <f t="shared" si="282"/>
        <v>154.69999999999999</v>
      </c>
      <c r="AE178" s="89">
        <f t="shared" si="283"/>
        <v>0.54</v>
      </c>
      <c r="AF178" s="89">
        <f t="shared" si="289"/>
        <v>209.45999999999998</v>
      </c>
      <c r="AG178" s="24">
        <f t="shared" si="290"/>
        <v>0.73856583595913305</v>
      </c>
    </row>
    <row r="179" spans="1:43" x14ac:dyDescent="0.35">
      <c r="A179" s="116" t="s">
        <v>13</v>
      </c>
      <c r="B179" s="117">
        <f>SUM(B180:B182)</f>
        <v>4.4799999999999995</v>
      </c>
      <c r="C179" s="117">
        <f t="shared" ref="C179" si="291">SUM(C180:C182)</f>
        <v>0</v>
      </c>
      <c r="D179" s="117">
        <f t="shared" ref="D179" si="292">SUM(D180:D182)</f>
        <v>0</v>
      </c>
      <c r="E179" s="117">
        <f t="shared" ref="E179" si="293">SUM(E180:E182)</f>
        <v>0</v>
      </c>
      <c r="F179" s="117">
        <f t="shared" ref="F179" si="294">SUM(F180:F182)</f>
        <v>0</v>
      </c>
      <c r="G179" s="117">
        <f t="shared" ref="G179" si="295">SUM(G180:G182)</f>
        <v>0</v>
      </c>
      <c r="H179" s="117">
        <f t="shared" ref="H179" si="296">SUM(H180:H182)</f>
        <v>0</v>
      </c>
      <c r="I179" s="117">
        <f t="shared" ref="I179" si="297">SUM(I180:I182)</f>
        <v>0</v>
      </c>
      <c r="J179" s="117">
        <f t="shared" ref="J179" si="298">SUM(J180:J182)</f>
        <v>6.37</v>
      </c>
      <c r="K179" s="117">
        <f t="shared" ref="K179" si="299">SUM(K180:K182)</f>
        <v>21.72</v>
      </c>
      <c r="L179" s="117">
        <f t="shared" ref="L179" si="300">SUM(L180:L182)</f>
        <v>0.32</v>
      </c>
      <c r="M179" s="117">
        <f t="shared" ref="M179" si="301">SUM(M180:M182)</f>
        <v>0</v>
      </c>
      <c r="N179" s="117">
        <f t="shared" ref="N179" si="302">SUM(N180:N182)</f>
        <v>1.1299999999999999</v>
      </c>
      <c r="O179" s="117">
        <f t="shared" ref="O179" si="303">SUM(O180:O182)</f>
        <v>5.82</v>
      </c>
      <c r="P179" s="117">
        <f t="shared" ref="P179" si="304">SUM(P180:P182)</f>
        <v>1.29</v>
      </c>
      <c r="Q179" s="117">
        <f t="shared" ref="Q179" si="305">SUM(Q180:Q182)</f>
        <v>6.16</v>
      </c>
      <c r="R179" s="117">
        <f t="shared" ref="R179" si="306">SUM(R180:R182)</f>
        <v>11.32</v>
      </c>
      <c r="S179" s="117">
        <f t="shared" ref="S179" si="307">SUM(S180:S182)</f>
        <v>2.15</v>
      </c>
      <c r="T179" s="117">
        <f t="shared" ref="T179" si="308">SUM(T180:T182)</f>
        <v>25.84</v>
      </c>
      <c r="U179" s="117">
        <f t="shared" ref="U179" si="309">SUM(U180:U182)</f>
        <v>14.430000000000001</v>
      </c>
      <c r="V179" s="117">
        <f t="shared" ref="V179" si="310">SUM(V180:V182)</f>
        <v>20.509999999999998</v>
      </c>
      <c r="W179" s="117">
        <f t="shared" ref="W179" si="311">SUM(W180:W182)</f>
        <v>26.250000000000004</v>
      </c>
      <c r="X179" s="117">
        <f t="shared" ref="X179" si="312">SUM(X180:X182)</f>
        <v>20.6</v>
      </c>
      <c r="Y179" s="117">
        <f t="shared" ref="Y179" si="313">SUM(Y180:Y182)</f>
        <v>0.19</v>
      </c>
      <c r="Z179" s="117">
        <f>SUM(B179:Y179)</f>
        <v>168.58</v>
      </c>
      <c r="AA179" s="185">
        <f>Z179/$Z$220</f>
        <v>5.0205596354510234E-3</v>
      </c>
      <c r="AC179" s="117">
        <f t="shared" si="281"/>
        <v>86.600000000000009</v>
      </c>
      <c r="AD179" s="117">
        <f t="shared" si="282"/>
        <v>81.789999999999992</v>
      </c>
      <c r="AE179" s="117">
        <f t="shared" si="283"/>
        <v>0.19</v>
      </c>
      <c r="AF179" s="117">
        <f>SUM(AC179:AE179)</f>
        <v>168.57999999999998</v>
      </c>
      <c r="AG179" s="185">
        <f>AD179/AF179</f>
        <v>0.48517024558073318</v>
      </c>
    </row>
    <row r="180" spans="1:43" x14ac:dyDescent="0.35">
      <c r="A180" s="6" t="s">
        <v>34</v>
      </c>
      <c r="B180" s="12">
        <v>0.13</v>
      </c>
      <c r="C180" s="12"/>
      <c r="D180" s="12"/>
      <c r="E180" s="12"/>
      <c r="F180" s="12"/>
      <c r="G180" s="12"/>
      <c r="H180" s="12"/>
      <c r="I180" s="12"/>
      <c r="J180" s="12"/>
      <c r="K180" s="12"/>
      <c r="L180" s="12"/>
      <c r="M180" s="12"/>
      <c r="N180" s="54"/>
      <c r="O180" s="12"/>
      <c r="P180" s="12"/>
      <c r="Q180" s="12"/>
      <c r="R180" s="12"/>
      <c r="S180" s="12"/>
      <c r="T180" s="12"/>
      <c r="U180" s="12">
        <v>0.69</v>
      </c>
      <c r="V180" s="12"/>
      <c r="W180" s="12"/>
      <c r="X180" s="12"/>
      <c r="Y180" s="54"/>
      <c r="Z180" s="12">
        <f t="shared" si="284"/>
        <v>0.82</v>
      </c>
      <c r="AA180" s="24">
        <f t="shared" si="285"/>
        <v>2.4420802592655347E-5</v>
      </c>
      <c r="AC180" s="89">
        <f t="shared" si="281"/>
        <v>0.13</v>
      </c>
      <c r="AD180" s="89">
        <f t="shared" si="282"/>
        <v>0.69</v>
      </c>
      <c r="AE180" s="89">
        <f t="shared" si="283"/>
        <v>0</v>
      </c>
      <c r="AF180" s="89">
        <f t="shared" ref="AF180:AF182" si="314">SUM(AC180:AE180)</f>
        <v>0.82</v>
      </c>
      <c r="AG180" s="24">
        <f t="shared" ref="AG180:AG182" si="315">AD180/AF180</f>
        <v>0.84146341463414631</v>
      </c>
    </row>
    <row r="181" spans="1:43" x14ac:dyDescent="0.35">
      <c r="A181" s="6" t="s">
        <v>61</v>
      </c>
      <c r="B181" s="12">
        <v>0.52</v>
      </c>
      <c r="C181" s="12"/>
      <c r="D181" s="12"/>
      <c r="E181" s="12"/>
      <c r="F181" s="12"/>
      <c r="G181" s="12"/>
      <c r="H181" s="12"/>
      <c r="I181" s="12"/>
      <c r="J181" s="12"/>
      <c r="K181" s="12"/>
      <c r="L181" s="12">
        <v>0.32</v>
      </c>
      <c r="M181" s="12"/>
      <c r="N181" s="54"/>
      <c r="O181" s="12">
        <v>0.75</v>
      </c>
      <c r="P181" s="12"/>
      <c r="Q181" s="12"/>
      <c r="R181" s="54"/>
      <c r="S181" s="12"/>
      <c r="T181" s="12"/>
      <c r="U181" s="12">
        <v>0.47000000000000003</v>
      </c>
      <c r="V181" s="12"/>
      <c r="W181" s="12"/>
      <c r="X181" s="12"/>
      <c r="Y181" s="54"/>
      <c r="Z181" s="12">
        <f t="shared" si="284"/>
        <v>2.06</v>
      </c>
      <c r="AA181" s="24">
        <f t="shared" si="285"/>
        <v>6.134982114740246E-5</v>
      </c>
      <c r="AC181" s="89">
        <f t="shared" si="281"/>
        <v>1.59</v>
      </c>
      <c r="AD181" s="89">
        <f t="shared" si="282"/>
        <v>0.47000000000000003</v>
      </c>
      <c r="AE181" s="89">
        <f t="shared" si="283"/>
        <v>0</v>
      </c>
      <c r="AF181" s="89">
        <f t="shared" si="314"/>
        <v>2.06</v>
      </c>
      <c r="AG181" s="24">
        <f t="shared" si="315"/>
        <v>0.22815533980582525</v>
      </c>
      <c r="AN181" s="342"/>
      <c r="AO181" s="342" t="s">
        <v>256</v>
      </c>
      <c r="AP181" s="342" t="s">
        <v>96</v>
      </c>
      <c r="AQ181" s="342" t="s">
        <v>257</v>
      </c>
    </row>
    <row r="182" spans="1:43" x14ac:dyDescent="0.35">
      <c r="A182" s="6" t="s">
        <v>36</v>
      </c>
      <c r="B182" s="12">
        <v>3.8299999999999996</v>
      </c>
      <c r="C182" s="12"/>
      <c r="D182" s="12"/>
      <c r="E182" s="12"/>
      <c r="F182" s="12"/>
      <c r="G182" s="12"/>
      <c r="H182" s="12"/>
      <c r="I182" s="12"/>
      <c r="J182" s="12">
        <v>6.37</v>
      </c>
      <c r="K182" s="12">
        <v>21.72</v>
      </c>
      <c r="L182" s="12"/>
      <c r="M182" s="12"/>
      <c r="N182" s="54">
        <v>1.1299999999999999</v>
      </c>
      <c r="O182" s="12">
        <v>5.07</v>
      </c>
      <c r="P182" s="12">
        <v>1.29</v>
      </c>
      <c r="Q182" s="12">
        <v>6.16</v>
      </c>
      <c r="R182" s="12">
        <v>11.32</v>
      </c>
      <c r="S182" s="12">
        <v>2.15</v>
      </c>
      <c r="T182" s="12">
        <v>25.84</v>
      </c>
      <c r="U182" s="12">
        <v>13.270000000000001</v>
      </c>
      <c r="V182" s="12">
        <v>20.509999999999998</v>
      </c>
      <c r="W182" s="12">
        <v>26.250000000000004</v>
      </c>
      <c r="X182" s="12">
        <v>20.6</v>
      </c>
      <c r="Y182" s="54">
        <v>0.19</v>
      </c>
      <c r="Z182" s="12">
        <f t="shared" si="284"/>
        <v>165.7</v>
      </c>
      <c r="AA182" s="24">
        <f t="shared" si="285"/>
        <v>4.9347890117109649E-3</v>
      </c>
      <c r="AC182" s="89">
        <f t="shared" si="281"/>
        <v>84.88</v>
      </c>
      <c r="AD182" s="89">
        <f t="shared" si="282"/>
        <v>80.63</v>
      </c>
      <c r="AE182" s="89">
        <f t="shared" si="283"/>
        <v>0.19</v>
      </c>
      <c r="AF182" s="89">
        <f t="shared" si="314"/>
        <v>165.7</v>
      </c>
      <c r="AG182" s="24">
        <f t="shared" si="315"/>
        <v>0.48660229330114668</v>
      </c>
      <c r="AI182" s="210" t="s">
        <v>255</v>
      </c>
      <c r="AN182" s="116" t="s">
        <v>15</v>
      </c>
      <c r="AO182" s="89">
        <v>17892.650000000001</v>
      </c>
      <c r="AP182" s="89">
        <v>26404.390000000003</v>
      </c>
      <c r="AQ182" s="190">
        <f t="shared" ref="AQ182" si="316">AO182/AP182</f>
        <v>0.67763921075245437</v>
      </c>
    </row>
    <row r="183" spans="1:43" x14ac:dyDescent="0.35">
      <c r="A183" s="116" t="s">
        <v>14</v>
      </c>
      <c r="B183" s="117">
        <f>SUM(B184:B187)</f>
        <v>117.46</v>
      </c>
      <c r="C183" s="117">
        <f t="shared" ref="C183:Y183" si="317">SUM(C184:C187)</f>
        <v>18.04</v>
      </c>
      <c r="D183" s="117">
        <f t="shared" si="317"/>
        <v>1.2</v>
      </c>
      <c r="E183" s="117">
        <f t="shared" si="317"/>
        <v>2.61</v>
      </c>
      <c r="F183" s="117">
        <f t="shared" si="317"/>
        <v>0.18</v>
      </c>
      <c r="G183" s="117">
        <f t="shared" si="317"/>
        <v>3.68</v>
      </c>
      <c r="H183" s="117">
        <f t="shared" si="317"/>
        <v>0</v>
      </c>
      <c r="I183" s="117">
        <f t="shared" si="317"/>
        <v>0.04</v>
      </c>
      <c r="J183" s="117">
        <f t="shared" si="317"/>
        <v>0.08</v>
      </c>
      <c r="K183" s="117">
        <f t="shared" si="317"/>
        <v>0</v>
      </c>
      <c r="L183" s="117">
        <f t="shared" si="317"/>
        <v>2.92</v>
      </c>
      <c r="M183" s="117">
        <f t="shared" si="317"/>
        <v>13.399999999999999</v>
      </c>
      <c r="N183" s="117">
        <f t="shared" si="317"/>
        <v>1.05</v>
      </c>
      <c r="O183" s="117">
        <f t="shared" si="317"/>
        <v>0.15</v>
      </c>
      <c r="P183" s="117">
        <f t="shared" si="317"/>
        <v>0</v>
      </c>
      <c r="Q183" s="117">
        <f t="shared" si="317"/>
        <v>0</v>
      </c>
      <c r="R183" s="117">
        <f t="shared" si="317"/>
        <v>0</v>
      </c>
      <c r="S183" s="117">
        <f t="shared" si="317"/>
        <v>3.5200000000000005</v>
      </c>
      <c r="T183" s="117">
        <f t="shared" si="317"/>
        <v>3.5700000000000003</v>
      </c>
      <c r="U183" s="117">
        <f t="shared" si="317"/>
        <v>26.490000000000002</v>
      </c>
      <c r="V183" s="117">
        <f t="shared" si="317"/>
        <v>15.57</v>
      </c>
      <c r="W183" s="117">
        <f t="shared" si="317"/>
        <v>13.870000000000001</v>
      </c>
      <c r="X183" s="117">
        <f t="shared" si="317"/>
        <v>2.11</v>
      </c>
      <c r="Y183" s="117">
        <f t="shared" si="317"/>
        <v>0</v>
      </c>
      <c r="Z183" s="117">
        <f>SUM(B183:Y183)</f>
        <v>225.94000000000005</v>
      </c>
      <c r="AA183" s="185">
        <f>Z183/$Z$220</f>
        <v>6.7288245582738425E-3</v>
      </c>
      <c r="AC183" s="117">
        <f t="shared" si="281"/>
        <v>167.90000000000003</v>
      </c>
      <c r="AD183" s="117">
        <f t="shared" si="282"/>
        <v>58.040000000000006</v>
      </c>
      <c r="AE183" s="117">
        <f t="shared" si="283"/>
        <v>0</v>
      </c>
      <c r="AF183" s="117">
        <f>SUM(AC183:AE183)</f>
        <v>225.94000000000005</v>
      </c>
      <c r="AG183" s="185">
        <f>AD183/AF183</f>
        <v>0.25688235814818089</v>
      </c>
      <c r="AJ183" t="s">
        <v>256</v>
      </c>
      <c r="AK183" t="s">
        <v>96</v>
      </c>
      <c r="AL183" t="s">
        <v>257</v>
      </c>
      <c r="AN183" s="116" t="s">
        <v>5</v>
      </c>
      <c r="AO183" s="89">
        <v>1846.88</v>
      </c>
      <c r="AP183" s="89">
        <v>3049.91</v>
      </c>
      <c r="AQ183" s="190">
        <f>AO183/AP183</f>
        <v>0.60555229498575369</v>
      </c>
    </row>
    <row r="184" spans="1:43" x14ac:dyDescent="0.35">
      <c r="A184" s="178" t="s">
        <v>37</v>
      </c>
      <c r="B184" s="12"/>
      <c r="C184" s="12"/>
      <c r="D184" s="12"/>
      <c r="E184" s="12"/>
      <c r="F184" s="12"/>
      <c r="G184" s="12"/>
      <c r="H184" s="12"/>
      <c r="I184" s="12"/>
      <c r="J184" s="12"/>
      <c r="K184" s="12"/>
      <c r="L184" s="12"/>
      <c r="M184" s="54"/>
      <c r="N184" s="54"/>
      <c r="O184" s="12"/>
      <c r="P184" s="12"/>
      <c r="Q184" s="12"/>
      <c r="R184" s="12"/>
      <c r="S184" s="55"/>
      <c r="T184" s="12"/>
      <c r="U184" s="12">
        <v>0.32</v>
      </c>
      <c r="V184" s="12">
        <v>0.21</v>
      </c>
      <c r="W184" s="12">
        <v>2.44</v>
      </c>
      <c r="X184" s="12"/>
      <c r="Y184" s="12"/>
      <c r="Z184" s="12">
        <f t="shared" si="284"/>
        <v>2.9699999999999998</v>
      </c>
      <c r="AA184" s="24">
        <f t="shared" si="285"/>
        <v>8.8450955731934615E-5</v>
      </c>
      <c r="AC184" s="89">
        <f t="shared" si="281"/>
        <v>0</v>
      </c>
      <c r="AD184" s="89">
        <f t="shared" si="282"/>
        <v>2.9699999999999998</v>
      </c>
      <c r="AE184" s="89">
        <f t="shared" si="283"/>
        <v>0</v>
      </c>
      <c r="AF184" s="89">
        <f t="shared" ref="AF184:AF187" si="318">SUM(AC184:AE184)</f>
        <v>2.9699999999999998</v>
      </c>
      <c r="AG184" s="24">
        <f t="shared" ref="AG184" si="319">AD184/AF184</f>
        <v>1</v>
      </c>
      <c r="AI184" s="6" t="s">
        <v>45</v>
      </c>
      <c r="AJ184" s="89">
        <v>5006.1800000000021</v>
      </c>
      <c r="AK184" s="89">
        <v>7453.1600000000026</v>
      </c>
      <c r="AL184" s="382">
        <f>AJ184/AK184</f>
        <v>0.67168556692731674</v>
      </c>
      <c r="AN184" s="116" t="s">
        <v>16</v>
      </c>
      <c r="AO184" s="89">
        <v>1052.3499999999999</v>
      </c>
      <c r="AP184" s="89">
        <v>1521.37</v>
      </c>
      <c r="AQ184" s="190">
        <f t="shared" ref="AQ184:AQ186" si="320">AO184/AP184</f>
        <v>0.69171207530055145</v>
      </c>
    </row>
    <row r="185" spans="1:43" x14ac:dyDescent="0.35">
      <c r="A185" s="6" t="s">
        <v>38</v>
      </c>
      <c r="B185" s="12"/>
      <c r="C185" s="12"/>
      <c r="D185" s="12"/>
      <c r="E185" s="12"/>
      <c r="F185" s="12"/>
      <c r="G185" s="12"/>
      <c r="H185" s="12"/>
      <c r="I185" s="12"/>
      <c r="J185" s="12"/>
      <c r="K185" s="12"/>
      <c r="L185" s="12"/>
      <c r="M185" s="54"/>
      <c r="N185" s="54"/>
      <c r="O185" s="12"/>
      <c r="P185" s="12"/>
      <c r="Q185" s="12"/>
      <c r="R185" s="12"/>
      <c r="S185" s="12"/>
      <c r="T185" s="12"/>
      <c r="U185" s="12"/>
      <c r="V185" s="12"/>
      <c r="W185" s="12">
        <v>2.54</v>
      </c>
      <c r="X185" s="12"/>
      <c r="Y185" s="12"/>
      <c r="Z185" s="12">
        <f t="shared" si="284"/>
        <v>2.54</v>
      </c>
      <c r="AA185" s="24">
        <f t="shared" si="285"/>
        <v>7.564492510407876E-5</v>
      </c>
      <c r="AC185" s="89">
        <f t="shared" si="281"/>
        <v>0</v>
      </c>
      <c r="AD185" s="89">
        <f t="shared" si="282"/>
        <v>2.54</v>
      </c>
      <c r="AE185" s="89">
        <f t="shared" si="283"/>
        <v>0</v>
      </c>
      <c r="AF185" s="89">
        <f t="shared" si="318"/>
        <v>2.54</v>
      </c>
      <c r="AG185" s="24"/>
      <c r="AI185" s="6" t="s">
        <v>42</v>
      </c>
      <c r="AJ185" s="89">
        <v>4915.9599999999991</v>
      </c>
      <c r="AK185" s="89">
        <v>8103.2599999999993</v>
      </c>
      <c r="AL185" s="382">
        <f t="shared" ref="AL185:AL206" si="321">AJ185/AK185</f>
        <v>0.60666447824702641</v>
      </c>
      <c r="AN185" s="116" t="s">
        <v>17</v>
      </c>
      <c r="AO185" s="89">
        <v>797.43</v>
      </c>
      <c r="AP185" s="89">
        <v>1226.8199999999997</v>
      </c>
      <c r="AQ185" s="190">
        <f t="shared" si="320"/>
        <v>0.64999755465349451</v>
      </c>
    </row>
    <row r="186" spans="1:43" x14ac:dyDescent="0.35">
      <c r="A186" s="6" t="s">
        <v>39</v>
      </c>
      <c r="B186" s="12">
        <v>117.46</v>
      </c>
      <c r="C186" s="12">
        <v>18.04</v>
      </c>
      <c r="D186" s="12">
        <v>1.2</v>
      </c>
      <c r="E186" s="12">
        <v>2.61</v>
      </c>
      <c r="F186" s="12">
        <v>0.18</v>
      </c>
      <c r="G186" s="12">
        <v>3.68</v>
      </c>
      <c r="H186" s="12"/>
      <c r="I186" s="12"/>
      <c r="J186" s="12">
        <v>0.08</v>
      </c>
      <c r="K186" s="12"/>
      <c r="L186" s="12">
        <v>2.84</v>
      </c>
      <c r="M186" s="54">
        <v>13.399999999999999</v>
      </c>
      <c r="N186" s="54">
        <v>0.93</v>
      </c>
      <c r="O186" s="12">
        <v>0.15</v>
      </c>
      <c r="P186" s="12"/>
      <c r="Q186" s="12"/>
      <c r="R186" s="12"/>
      <c r="S186" s="12">
        <v>3.5200000000000005</v>
      </c>
      <c r="T186" s="12">
        <v>3.5700000000000003</v>
      </c>
      <c r="U186" s="12">
        <v>26.090000000000003</v>
      </c>
      <c r="V186" s="12">
        <v>15.36</v>
      </c>
      <c r="W186" s="12">
        <v>7.27</v>
      </c>
      <c r="X186" s="12">
        <v>2.11</v>
      </c>
      <c r="Y186" s="12"/>
      <c r="Z186" s="12">
        <f t="shared" si="284"/>
        <v>218.49000000000009</v>
      </c>
      <c r="AA186" s="24">
        <f t="shared" si="285"/>
        <v>6.5069526322795966E-3</v>
      </c>
      <c r="AC186" s="89">
        <f t="shared" si="281"/>
        <v>167.66000000000005</v>
      </c>
      <c r="AD186" s="89">
        <f t="shared" si="282"/>
        <v>50.83</v>
      </c>
      <c r="AE186" s="89">
        <f t="shared" si="283"/>
        <v>0</v>
      </c>
      <c r="AF186" s="89">
        <f t="shared" si="318"/>
        <v>218.49000000000007</v>
      </c>
      <c r="AG186" s="24">
        <f t="shared" ref="AG186:AG187" si="322">AD186/AF186</f>
        <v>0.23264222618884151</v>
      </c>
      <c r="AI186" s="6" t="s">
        <v>41</v>
      </c>
      <c r="AJ186" s="89">
        <v>4361.0899999999992</v>
      </c>
      <c r="AK186" s="89">
        <v>6063.2499999999991</v>
      </c>
      <c r="AL186" s="382">
        <f t="shared" si="321"/>
        <v>0.71926607017688526</v>
      </c>
      <c r="AN186" s="116" t="s">
        <v>12</v>
      </c>
      <c r="AO186" s="89">
        <v>255.33</v>
      </c>
      <c r="AP186" s="89">
        <v>372.58000000000004</v>
      </c>
      <c r="AQ186" s="190">
        <f t="shared" si="320"/>
        <v>0.68530248537226901</v>
      </c>
    </row>
    <row r="187" spans="1:43" x14ac:dyDescent="0.35">
      <c r="A187" s="6" t="s">
        <v>40</v>
      </c>
      <c r="B187" s="12"/>
      <c r="C187" s="12"/>
      <c r="D187" s="12"/>
      <c r="E187" s="12"/>
      <c r="F187" s="12"/>
      <c r="G187" s="12"/>
      <c r="H187" s="12"/>
      <c r="I187" s="12">
        <v>0.04</v>
      </c>
      <c r="J187" s="12"/>
      <c r="K187" s="12"/>
      <c r="L187" s="12">
        <v>0.08</v>
      </c>
      <c r="M187" s="54"/>
      <c r="N187" s="54">
        <v>0.12</v>
      </c>
      <c r="O187" s="12"/>
      <c r="P187" s="12"/>
      <c r="Q187" s="12"/>
      <c r="R187" s="12"/>
      <c r="S187" s="12"/>
      <c r="T187" s="12"/>
      <c r="U187" s="54">
        <v>0.08</v>
      </c>
      <c r="V187" s="12"/>
      <c r="W187" s="12">
        <v>1.62</v>
      </c>
      <c r="X187" s="12"/>
      <c r="Y187" s="12"/>
      <c r="Z187" s="12">
        <f t="shared" si="284"/>
        <v>1.9400000000000002</v>
      </c>
      <c r="AA187" s="24">
        <f t="shared" si="285"/>
        <v>5.7776045158233392E-5</v>
      </c>
      <c r="AC187" s="89">
        <f t="shared" si="281"/>
        <v>0.24</v>
      </c>
      <c r="AD187" s="89">
        <f t="shared" si="282"/>
        <v>1.7000000000000002</v>
      </c>
      <c r="AE187" s="89">
        <f t="shared" si="283"/>
        <v>0</v>
      </c>
      <c r="AF187" s="89">
        <f t="shared" si="318"/>
        <v>1.9400000000000002</v>
      </c>
      <c r="AG187" s="24">
        <f t="shared" si="322"/>
        <v>0.87628865979381443</v>
      </c>
      <c r="AI187" s="6" t="s">
        <v>43</v>
      </c>
      <c r="AJ187" s="89">
        <v>3446.8399999999997</v>
      </c>
      <c r="AK187" s="89">
        <v>4540.34</v>
      </c>
      <c r="AL187" s="382">
        <f t="shared" si="321"/>
        <v>0.75915900571322847</v>
      </c>
    </row>
    <row r="188" spans="1:43" x14ac:dyDescent="0.35">
      <c r="A188" s="116" t="s">
        <v>15</v>
      </c>
      <c r="B188" s="117">
        <f>SUM(B189:B193)</f>
        <v>152.84</v>
      </c>
      <c r="C188" s="117">
        <f t="shared" ref="C188:Y188" si="323">SUM(C189:C193)</f>
        <v>98.61999999999999</v>
      </c>
      <c r="D188" s="117">
        <f t="shared" si="323"/>
        <v>39.290000000000006</v>
      </c>
      <c r="E188" s="117">
        <f t="shared" si="323"/>
        <v>55.34</v>
      </c>
      <c r="F188" s="117">
        <f t="shared" si="323"/>
        <v>71.42</v>
      </c>
      <c r="G188" s="117">
        <f t="shared" si="323"/>
        <v>88.26</v>
      </c>
      <c r="H188" s="117">
        <f t="shared" si="323"/>
        <v>90.72999999999999</v>
      </c>
      <c r="I188" s="117">
        <f t="shared" si="323"/>
        <v>129.69</v>
      </c>
      <c r="J188" s="117">
        <f t="shared" si="323"/>
        <v>88.69</v>
      </c>
      <c r="K188" s="117">
        <f t="shared" si="323"/>
        <v>35.440000000000005</v>
      </c>
      <c r="L188" s="117">
        <f t="shared" si="323"/>
        <v>131.17000000000002</v>
      </c>
      <c r="M188" s="117">
        <f t="shared" si="323"/>
        <v>213.01999999999998</v>
      </c>
      <c r="N188" s="117">
        <f t="shared" si="323"/>
        <v>132.1</v>
      </c>
      <c r="O188" s="117">
        <f t="shared" si="323"/>
        <v>256.88</v>
      </c>
      <c r="P188" s="117">
        <f t="shared" si="323"/>
        <v>308.61</v>
      </c>
      <c r="Q188" s="117">
        <f t="shared" si="323"/>
        <v>572.59000000000015</v>
      </c>
      <c r="R188" s="117">
        <f t="shared" si="323"/>
        <v>1683.6799999999998</v>
      </c>
      <c r="S188" s="117">
        <f t="shared" si="323"/>
        <v>1706.81</v>
      </c>
      <c r="T188" s="117">
        <f t="shared" si="323"/>
        <v>2639.2200000000003</v>
      </c>
      <c r="U188" s="117">
        <f t="shared" si="323"/>
        <v>4515.2199999999993</v>
      </c>
      <c r="V188" s="117">
        <f t="shared" si="323"/>
        <v>5086.6400000000021</v>
      </c>
      <c r="W188" s="117">
        <f t="shared" si="323"/>
        <v>4684.2999999999993</v>
      </c>
      <c r="X188" s="117">
        <f t="shared" si="323"/>
        <v>3606.49</v>
      </c>
      <c r="Y188" s="117">
        <f t="shared" si="323"/>
        <v>17.34</v>
      </c>
      <c r="Z188" s="117">
        <f>SUM(B188:Y188)</f>
        <v>26404.390000000003</v>
      </c>
      <c r="AA188" s="185">
        <f>Z188/$Z$220</f>
        <v>0.78636145825546711</v>
      </c>
      <c r="AC188" s="117">
        <f t="shared" si="281"/>
        <v>8494.4000000000015</v>
      </c>
      <c r="AD188" s="117">
        <f t="shared" si="282"/>
        <v>17892.650000000001</v>
      </c>
      <c r="AE188" s="117">
        <f t="shared" si="283"/>
        <v>17.34</v>
      </c>
      <c r="AF188" s="117">
        <f>SUM(AC188:AE188)</f>
        <v>26404.390000000003</v>
      </c>
      <c r="AG188" s="185">
        <f>AD188/AF188</f>
        <v>0.67763921075245437</v>
      </c>
      <c r="AI188" s="6" t="s">
        <v>26</v>
      </c>
      <c r="AJ188" s="89">
        <v>1019.1199999999999</v>
      </c>
      <c r="AK188" s="89">
        <v>1405.6999999999998</v>
      </c>
      <c r="AL188" s="382">
        <f t="shared" si="321"/>
        <v>0.72499110763320762</v>
      </c>
    </row>
    <row r="189" spans="1:43" x14ac:dyDescent="0.35">
      <c r="A189" s="6" t="s">
        <v>41</v>
      </c>
      <c r="B189" s="12">
        <v>4.41</v>
      </c>
      <c r="C189" s="12">
        <v>6.12</v>
      </c>
      <c r="D189" s="12">
        <v>4.51</v>
      </c>
      <c r="E189" s="12">
        <v>4.91</v>
      </c>
      <c r="F189" s="12">
        <v>56.519999999999996</v>
      </c>
      <c r="G189" s="12">
        <v>20.83</v>
      </c>
      <c r="H189" s="12">
        <v>4.95</v>
      </c>
      <c r="I189" s="12">
        <v>2.1</v>
      </c>
      <c r="J189" s="12">
        <v>29.450000000000003</v>
      </c>
      <c r="K189" s="12">
        <v>5.27</v>
      </c>
      <c r="L189" s="12">
        <v>16.399999999999999</v>
      </c>
      <c r="M189" s="12">
        <v>46.249999999999993</v>
      </c>
      <c r="N189" s="12">
        <v>18.84</v>
      </c>
      <c r="O189" s="12">
        <v>23.300000000000004</v>
      </c>
      <c r="P189" s="12">
        <v>49.23</v>
      </c>
      <c r="Q189" s="12">
        <v>63.620000000000005</v>
      </c>
      <c r="R189" s="12">
        <v>367.18999999999988</v>
      </c>
      <c r="S189" s="12">
        <v>384.03999999999996</v>
      </c>
      <c r="T189" s="12">
        <v>592.12999999999988</v>
      </c>
      <c r="U189" s="12">
        <v>1054.9199999999996</v>
      </c>
      <c r="V189" s="12">
        <v>1249.4600000000003</v>
      </c>
      <c r="W189" s="12">
        <v>1173.4899999999998</v>
      </c>
      <c r="X189" s="12">
        <v>883.21999999999946</v>
      </c>
      <c r="Y189" s="12">
        <v>2.0900000000000003</v>
      </c>
      <c r="Z189" s="12">
        <f t="shared" si="284"/>
        <v>6063.2499999999991</v>
      </c>
      <c r="AA189" s="24">
        <f t="shared" si="285"/>
        <v>0.18057247721941161</v>
      </c>
      <c r="AC189" s="89">
        <f t="shared" si="281"/>
        <v>1700.0699999999997</v>
      </c>
      <c r="AD189" s="89">
        <f t="shared" si="282"/>
        <v>4361.0899999999992</v>
      </c>
      <c r="AE189" s="89">
        <f t="shared" si="283"/>
        <v>2.0900000000000003</v>
      </c>
      <c r="AF189" s="89">
        <f t="shared" ref="AF189:AF193" si="324">SUM(AC189:AE189)</f>
        <v>6063.2499999999991</v>
      </c>
      <c r="AG189" s="24">
        <f t="shared" ref="AG189:AG193" si="325">AD189/AF189</f>
        <v>0.71926607017688526</v>
      </c>
      <c r="AI189" s="6" t="s">
        <v>55</v>
      </c>
      <c r="AJ189" s="89">
        <v>720.45999999999992</v>
      </c>
      <c r="AK189" s="89">
        <v>1075.55</v>
      </c>
      <c r="AL189" s="382">
        <f t="shared" si="321"/>
        <v>0.66985263353633018</v>
      </c>
    </row>
    <row r="190" spans="1:43" x14ac:dyDescent="0.35">
      <c r="A190" s="6" t="s">
        <v>42</v>
      </c>
      <c r="B190" s="12">
        <v>47.489999999999995</v>
      </c>
      <c r="C190" s="12">
        <v>28.359999999999996</v>
      </c>
      <c r="D190" s="12">
        <v>32.260000000000005</v>
      </c>
      <c r="E190" s="12">
        <v>32.07</v>
      </c>
      <c r="F190" s="12">
        <v>6.8099999999999987</v>
      </c>
      <c r="G190" s="12">
        <v>12.98</v>
      </c>
      <c r="H190" s="12">
        <v>13.660000000000002</v>
      </c>
      <c r="I190" s="12">
        <v>22.98</v>
      </c>
      <c r="J190" s="12">
        <v>21.000000000000004</v>
      </c>
      <c r="K190" s="12">
        <v>6.7299999999999995</v>
      </c>
      <c r="L190" s="12">
        <v>49.559999999999995</v>
      </c>
      <c r="M190" s="12">
        <v>71.84</v>
      </c>
      <c r="N190" s="12">
        <v>54.179999999999993</v>
      </c>
      <c r="O190" s="12">
        <v>118.45999999999997</v>
      </c>
      <c r="P190" s="12">
        <v>158.17999999999998</v>
      </c>
      <c r="Q190" s="12">
        <v>319.55000000000013</v>
      </c>
      <c r="R190" s="12">
        <v>757.67000000000019</v>
      </c>
      <c r="S190" s="12">
        <v>538.23000000000013</v>
      </c>
      <c r="T190" s="12">
        <v>889.85000000000014</v>
      </c>
      <c r="U190" s="12">
        <v>1373.2900000000004</v>
      </c>
      <c r="V190" s="12">
        <v>1355.4899999999996</v>
      </c>
      <c r="W190" s="12">
        <v>1154.6499999999994</v>
      </c>
      <c r="X190" s="12">
        <v>1032.53</v>
      </c>
      <c r="Y190" s="54">
        <v>5.4400000000000013</v>
      </c>
      <c r="Z190" s="12">
        <f t="shared" si="284"/>
        <v>8103.26</v>
      </c>
      <c r="AA190" s="24">
        <f t="shared" si="285"/>
        <v>0.2413269668499517</v>
      </c>
      <c r="AC190" s="89">
        <f t="shared" si="281"/>
        <v>3181.8600000000006</v>
      </c>
      <c r="AD190" s="89">
        <f t="shared" si="282"/>
        <v>4915.9599999999991</v>
      </c>
      <c r="AE190" s="89">
        <f t="shared" si="283"/>
        <v>5.4400000000000013</v>
      </c>
      <c r="AF190" s="89">
        <f t="shared" si="324"/>
        <v>8103.2599999999993</v>
      </c>
      <c r="AG190" s="24">
        <f t="shared" si="325"/>
        <v>0.60666447824702641</v>
      </c>
      <c r="AI190" s="182" t="s">
        <v>53</v>
      </c>
      <c r="AJ190" s="89">
        <v>492.36</v>
      </c>
      <c r="AK190" s="89">
        <v>675.97</v>
      </c>
      <c r="AL190" s="382">
        <f t="shared" si="321"/>
        <v>0.72837551962365188</v>
      </c>
    </row>
    <row r="191" spans="1:43" x14ac:dyDescent="0.35">
      <c r="A191" s="6" t="s">
        <v>43</v>
      </c>
      <c r="B191" s="12">
        <v>76.350000000000009</v>
      </c>
      <c r="C191" s="12">
        <v>20.39</v>
      </c>
      <c r="D191" s="12">
        <v>2.2400000000000002</v>
      </c>
      <c r="E191" s="12">
        <v>1.29</v>
      </c>
      <c r="F191" s="12">
        <v>0.56999999999999995</v>
      </c>
      <c r="G191" s="12">
        <v>34.58</v>
      </c>
      <c r="H191" s="12">
        <v>30.11</v>
      </c>
      <c r="I191" s="12">
        <v>84.38</v>
      </c>
      <c r="J191" s="12">
        <v>11.53</v>
      </c>
      <c r="K191" s="12">
        <v>3.48</v>
      </c>
      <c r="L191" s="12">
        <v>3.8200000000000003</v>
      </c>
      <c r="M191" s="12">
        <v>10.18</v>
      </c>
      <c r="N191" s="12">
        <v>6.31</v>
      </c>
      <c r="O191" s="12">
        <v>21.020000000000003</v>
      </c>
      <c r="P191" s="12">
        <v>9.3600000000000012</v>
      </c>
      <c r="Q191" s="12">
        <v>35.250000000000007</v>
      </c>
      <c r="R191" s="12">
        <v>93.730000000000018</v>
      </c>
      <c r="S191" s="12">
        <v>232.90999999999994</v>
      </c>
      <c r="T191" s="12">
        <v>410.03</v>
      </c>
      <c r="U191" s="12">
        <v>862.5</v>
      </c>
      <c r="V191" s="12">
        <v>965.37999999999988</v>
      </c>
      <c r="W191" s="12">
        <v>797.6899999999996</v>
      </c>
      <c r="X191" s="12">
        <v>821.27</v>
      </c>
      <c r="Y191" s="12">
        <v>5.9700000000000006</v>
      </c>
      <c r="Z191" s="12">
        <f t="shared" si="284"/>
        <v>4540.3399999999992</v>
      </c>
      <c r="AA191" s="24">
        <f t="shared" si="285"/>
        <v>0.13521798395553264</v>
      </c>
      <c r="AC191" s="89">
        <f t="shared" si="281"/>
        <v>1087.53</v>
      </c>
      <c r="AD191" s="89">
        <f t="shared" si="282"/>
        <v>3446.8399999999997</v>
      </c>
      <c r="AE191" s="89">
        <f t="shared" si="283"/>
        <v>5.9700000000000006</v>
      </c>
      <c r="AF191" s="89">
        <f t="shared" si="324"/>
        <v>4540.34</v>
      </c>
      <c r="AG191" s="24">
        <f t="shared" si="325"/>
        <v>0.75915900571322847</v>
      </c>
      <c r="AI191" s="182" t="s">
        <v>54</v>
      </c>
      <c r="AJ191" s="89">
        <v>215.03</v>
      </c>
      <c r="AK191" s="89">
        <v>314.33999999999997</v>
      </c>
      <c r="AL191" s="382">
        <f t="shared" si="321"/>
        <v>0.68406820640071264</v>
      </c>
    </row>
    <row r="192" spans="1:43" x14ac:dyDescent="0.35">
      <c r="A192" s="6" t="s">
        <v>44</v>
      </c>
      <c r="B192" s="12"/>
      <c r="C192" s="12"/>
      <c r="D192" s="12"/>
      <c r="E192" s="12"/>
      <c r="F192" s="12"/>
      <c r="G192" s="12">
        <v>1.5</v>
      </c>
      <c r="H192" s="12"/>
      <c r="I192" s="12"/>
      <c r="J192" s="12"/>
      <c r="K192" s="12"/>
      <c r="L192" s="12">
        <v>0.12</v>
      </c>
      <c r="M192" s="12">
        <v>4.79</v>
      </c>
      <c r="N192" s="12"/>
      <c r="O192" s="12">
        <v>1.2</v>
      </c>
      <c r="P192" s="12"/>
      <c r="Q192" s="12">
        <v>0.91</v>
      </c>
      <c r="R192" s="12">
        <v>24.869999999999997</v>
      </c>
      <c r="S192" s="12">
        <v>15.120000000000001</v>
      </c>
      <c r="T192" s="12">
        <v>33.17</v>
      </c>
      <c r="U192" s="12">
        <v>30.050000000000004</v>
      </c>
      <c r="V192" s="12">
        <v>24.360000000000003</v>
      </c>
      <c r="W192" s="12">
        <v>51.459999999999994</v>
      </c>
      <c r="X192" s="12">
        <v>56.709999999999994</v>
      </c>
      <c r="Y192" s="12">
        <v>0.12</v>
      </c>
      <c r="Z192" s="12">
        <f t="shared" si="284"/>
        <v>244.38</v>
      </c>
      <c r="AA192" s="24">
        <f t="shared" si="285"/>
        <v>7.2779948019428223E-3</v>
      </c>
      <c r="AC192" s="89">
        <f t="shared" si="281"/>
        <v>81.680000000000007</v>
      </c>
      <c r="AD192" s="89">
        <f t="shared" si="282"/>
        <v>162.57999999999998</v>
      </c>
      <c r="AE192" s="89">
        <f t="shared" si="283"/>
        <v>0.12</v>
      </c>
      <c r="AF192" s="89">
        <f t="shared" si="324"/>
        <v>244.38</v>
      </c>
      <c r="AG192" s="24">
        <f t="shared" si="325"/>
        <v>0.66527539078484321</v>
      </c>
      <c r="AI192" s="6" t="s">
        <v>29</v>
      </c>
      <c r="AJ192" s="89">
        <v>201.37</v>
      </c>
      <c r="AK192" s="89">
        <v>479.68</v>
      </c>
      <c r="AL192" s="382">
        <f t="shared" si="321"/>
        <v>0.41980070046697798</v>
      </c>
    </row>
    <row r="193" spans="1:38" x14ac:dyDescent="0.35">
      <c r="A193" s="6" t="s">
        <v>45</v>
      </c>
      <c r="B193" s="12">
        <v>24.59</v>
      </c>
      <c r="C193" s="12">
        <v>43.749999999999993</v>
      </c>
      <c r="D193" s="12">
        <v>0.28000000000000003</v>
      </c>
      <c r="E193" s="12">
        <v>17.07</v>
      </c>
      <c r="F193" s="12">
        <v>7.5200000000000005</v>
      </c>
      <c r="G193" s="12">
        <v>18.37</v>
      </c>
      <c r="H193" s="12">
        <v>42.009999999999991</v>
      </c>
      <c r="I193" s="12">
        <v>20.230000000000004</v>
      </c>
      <c r="J193" s="12">
        <v>26.71</v>
      </c>
      <c r="K193" s="12">
        <v>19.960000000000004</v>
      </c>
      <c r="L193" s="12">
        <v>61.270000000000017</v>
      </c>
      <c r="M193" s="12">
        <v>79.95999999999998</v>
      </c>
      <c r="N193" s="12">
        <v>52.77</v>
      </c>
      <c r="O193" s="12">
        <v>92.90000000000002</v>
      </c>
      <c r="P193" s="12">
        <v>91.840000000000018</v>
      </c>
      <c r="Q193" s="12">
        <v>153.25999999999996</v>
      </c>
      <c r="R193" s="12">
        <v>440.21999999999974</v>
      </c>
      <c r="S193" s="12">
        <v>536.51</v>
      </c>
      <c r="T193" s="12">
        <v>714.04000000000008</v>
      </c>
      <c r="U193" s="12">
        <v>1194.4599999999996</v>
      </c>
      <c r="V193" s="12">
        <v>1491.9500000000019</v>
      </c>
      <c r="W193" s="12">
        <v>1507.0100000000002</v>
      </c>
      <c r="X193" s="12">
        <v>812.7600000000001</v>
      </c>
      <c r="Y193" s="12">
        <v>3.7199999999999984</v>
      </c>
      <c r="Z193" s="12">
        <f t="shared" si="284"/>
        <v>7453.1600000000017</v>
      </c>
      <c r="AA193" s="24">
        <f t="shared" si="285"/>
        <v>0.22196603542862828</v>
      </c>
      <c r="AC193" s="89">
        <f t="shared" si="281"/>
        <v>2443.2599999999998</v>
      </c>
      <c r="AD193" s="89">
        <f t="shared" si="282"/>
        <v>5006.1800000000021</v>
      </c>
      <c r="AE193" s="89">
        <f t="shared" si="283"/>
        <v>3.7199999999999984</v>
      </c>
      <c r="AF193" s="89">
        <f t="shared" si="324"/>
        <v>7453.1600000000026</v>
      </c>
      <c r="AG193" s="24">
        <f t="shared" si="325"/>
        <v>0.67168556692731674</v>
      </c>
      <c r="AI193" s="6" t="s">
        <v>21</v>
      </c>
      <c r="AJ193" s="89">
        <v>189.64</v>
      </c>
      <c r="AK193" s="89">
        <v>292</v>
      </c>
      <c r="AL193" s="382">
        <f t="shared" si="321"/>
        <v>0.64945205479452051</v>
      </c>
    </row>
    <row r="194" spans="1:38" x14ac:dyDescent="0.35">
      <c r="A194" s="116" t="s">
        <v>16</v>
      </c>
      <c r="B194" s="117">
        <f>SUM(B195:B203)</f>
        <v>5.44</v>
      </c>
      <c r="C194" s="117">
        <f t="shared" ref="C194:Y194" si="326">SUM(C195:C203)</f>
        <v>0.86</v>
      </c>
      <c r="D194" s="117">
        <f t="shared" si="326"/>
        <v>0</v>
      </c>
      <c r="E194" s="117">
        <f t="shared" si="326"/>
        <v>0</v>
      </c>
      <c r="F194" s="117">
        <f t="shared" si="326"/>
        <v>0</v>
      </c>
      <c r="G194" s="117">
        <f t="shared" si="326"/>
        <v>0.75</v>
      </c>
      <c r="H194" s="117">
        <f t="shared" si="326"/>
        <v>16.34</v>
      </c>
      <c r="I194" s="117">
        <f t="shared" si="326"/>
        <v>0.32</v>
      </c>
      <c r="J194" s="117">
        <f t="shared" si="326"/>
        <v>0</v>
      </c>
      <c r="K194" s="117">
        <f t="shared" si="326"/>
        <v>0.44</v>
      </c>
      <c r="L194" s="117">
        <f t="shared" si="326"/>
        <v>11.78</v>
      </c>
      <c r="M194" s="117">
        <f t="shared" si="326"/>
        <v>14</v>
      </c>
      <c r="N194" s="117">
        <f t="shared" si="326"/>
        <v>11.629999999999999</v>
      </c>
      <c r="O194" s="117">
        <f t="shared" si="326"/>
        <v>36.42</v>
      </c>
      <c r="P194" s="117">
        <f t="shared" si="326"/>
        <v>29.48</v>
      </c>
      <c r="Q194" s="117">
        <f t="shared" si="326"/>
        <v>33.910000000000004</v>
      </c>
      <c r="R194" s="117">
        <f t="shared" si="326"/>
        <v>67.88000000000001</v>
      </c>
      <c r="S194" s="117">
        <f t="shared" si="326"/>
        <v>96.53</v>
      </c>
      <c r="T194" s="117">
        <f t="shared" si="326"/>
        <v>139.87</v>
      </c>
      <c r="U194" s="117">
        <f t="shared" si="326"/>
        <v>290.89</v>
      </c>
      <c r="V194" s="117">
        <f t="shared" si="326"/>
        <v>279.55</v>
      </c>
      <c r="W194" s="117">
        <f t="shared" si="326"/>
        <v>299.81</v>
      </c>
      <c r="X194" s="117">
        <f t="shared" si="326"/>
        <v>182.10000000000002</v>
      </c>
      <c r="Y194" s="117">
        <f t="shared" si="326"/>
        <v>3.37</v>
      </c>
      <c r="Z194" s="117">
        <f>SUM(B194:Y194)</f>
        <v>1521.37</v>
      </c>
      <c r="AA194" s="185">
        <f>Z194/$Z$220</f>
        <v>4.5308629805351303E-2</v>
      </c>
      <c r="AC194" s="117">
        <f t="shared" si="281"/>
        <v>465.65</v>
      </c>
      <c r="AD194" s="117">
        <f t="shared" si="282"/>
        <v>1052.3499999999999</v>
      </c>
      <c r="AE194" s="117">
        <f t="shared" si="283"/>
        <v>3.37</v>
      </c>
      <c r="AF194" s="117">
        <f>SUM(AC194:AE194)</f>
        <v>1521.37</v>
      </c>
      <c r="AG194" s="185">
        <f>AD194/AF194</f>
        <v>0.69171207530055145</v>
      </c>
      <c r="AI194" s="6" t="s">
        <v>22</v>
      </c>
      <c r="AJ194" s="89">
        <v>182.91</v>
      </c>
      <c r="AK194" s="89">
        <v>245.4</v>
      </c>
      <c r="AL194" s="382">
        <f t="shared" si="321"/>
        <v>0.74535452322738383</v>
      </c>
    </row>
    <row r="195" spans="1:38" x14ac:dyDescent="0.35">
      <c r="A195" s="6" t="s">
        <v>46</v>
      </c>
      <c r="B195" s="12"/>
      <c r="C195" s="12"/>
      <c r="D195" s="12"/>
      <c r="E195" s="12"/>
      <c r="F195" s="12"/>
      <c r="G195" s="12"/>
      <c r="H195" s="12"/>
      <c r="I195" s="12"/>
      <c r="J195" s="12"/>
      <c r="K195" s="12"/>
      <c r="L195" s="12"/>
      <c r="M195" s="12"/>
      <c r="N195" s="12"/>
      <c r="O195" s="12"/>
      <c r="P195" s="12">
        <v>7.77</v>
      </c>
      <c r="Q195" s="12">
        <v>9.1</v>
      </c>
      <c r="R195" s="12">
        <v>11.980000000000002</v>
      </c>
      <c r="S195" s="12">
        <v>7.53</v>
      </c>
      <c r="T195" s="12">
        <v>10.460000000000003</v>
      </c>
      <c r="U195" s="12">
        <v>16.78</v>
      </c>
      <c r="V195" s="12">
        <v>21.720000000000002</v>
      </c>
      <c r="W195" s="12"/>
      <c r="X195" s="12">
        <v>4.24</v>
      </c>
      <c r="Y195" s="12"/>
      <c r="Z195" s="12">
        <f t="shared" si="284"/>
        <v>89.58</v>
      </c>
      <c r="AA195" s="24">
        <f t="shared" si="285"/>
        <v>2.6678237759147146E-3</v>
      </c>
      <c r="AC195" s="89">
        <f t="shared" si="281"/>
        <v>46.84</v>
      </c>
      <c r="AD195" s="89">
        <f t="shared" si="282"/>
        <v>42.74</v>
      </c>
      <c r="AE195" s="89">
        <f t="shared" si="283"/>
        <v>0</v>
      </c>
      <c r="AF195" s="89">
        <f t="shared" ref="AF195:AF203" si="327">SUM(AC195:AE195)</f>
        <v>89.580000000000013</v>
      </c>
      <c r="AG195" s="24">
        <f t="shared" ref="AG195:AG198" si="328">AD195/AF195</f>
        <v>0.47711542755079256</v>
      </c>
      <c r="AI195" s="405" t="s">
        <v>30</v>
      </c>
      <c r="AJ195" s="89">
        <v>173.54000000000002</v>
      </c>
      <c r="AK195" s="89">
        <v>209.48000000000002</v>
      </c>
      <c r="AL195" s="382">
        <f t="shared" si="321"/>
        <v>0.82843230857361083</v>
      </c>
    </row>
    <row r="196" spans="1:38" x14ac:dyDescent="0.35">
      <c r="A196" s="6" t="s">
        <v>47</v>
      </c>
      <c r="B196" s="12"/>
      <c r="C196" s="12"/>
      <c r="D196" s="12"/>
      <c r="E196" s="12"/>
      <c r="F196" s="12"/>
      <c r="G196" s="12"/>
      <c r="H196" s="12"/>
      <c r="I196" s="12"/>
      <c r="J196" s="12"/>
      <c r="K196" s="12"/>
      <c r="L196" s="12"/>
      <c r="M196" s="12"/>
      <c r="N196" s="12"/>
      <c r="O196" s="12"/>
      <c r="P196" s="12">
        <v>1.88</v>
      </c>
      <c r="Q196" s="12">
        <v>4.5599999999999996</v>
      </c>
      <c r="R196" s="12">
        <v>0.16</v>
      </c>
      <c r="S196" s="12"/>
      <c r="T196" s="12">
        <v>3.9400000000000004</v>
      </c>
      <c r="U196" s="12">
        <v>35.46</v>
      </c>
      <c r="V196" s="12">
        <v>8.6000000000000014</v>
      </c>
      <c r="W196" s="12">
        <v>1.78</v>
      </c>
      <c r="X196" s="12">
        <v>1.48</v>
      </c>
      <c r="Y196" s="12"/>
      <c r="Z196" s="12">
        <f t="shared" si="284"/>
        <v>57.86</v>
      </c>
      <c r="AA196" s="24">
        <f t="shared" si="285"/>
        <v>1.7231556561110226E-3</v>
      </c>
      <c r="AC196" s="89">
        <f t="shared" si="281"/>
        <v>10.54</v>
      </c>
      <c r="AD196" s="89">
        <f t="shared" si="282"/>
        <v>47.32</v>
      </c>
      <c r="AE196" s="89">
        <f t="shared" si="283"/>
        <v>0</v>
      </c>
      <c r="AF196" s="89">
        <f t="shared" si="327"/>
        <v>57.86</v>
      </c>
      <c r="AG196" s="24">
        <f t="shared" si="328"/>
        <v>0.81783615623919803</v>
      </c>
      <c r="AI196" s="6" t="s">
        <v>44</v>
      </c>
      <c r="AJ196" s="89">
        <v>162.57999999999998</v>
      </c>
      <c r="AK196" s="89">
        <v>244.38</v>
      </c>
      <c r="AL196" s="382">
        <f t="shared" si="321"/>
        <v>0.66527539078484321</v>
      </c>
    </row>
    <row r="197" spans="1:38" x14ac:dyDescent="0.35">
      <c r="A197" s="182" t="s">
        <v>48</v>
      </c>
      <c r="B197" s="12">
        <v>0.08</v>
      </c>
      <c r="C197" s="12">
        <v>0.44</v>
      </c>
      <c r="D197" s="12"/>
      <c r="E197" s="12"/>
      <c r="F197" s="12"/>
      <c r="G197" s="12">
        <v>0.75</v>
      </c>
      <c r="H197" s="12"/>
      <c r="I197" s="12"/>
      <c r="J197" s="12"/>
      <c r="K197" s="12"/>
      <c r="L197" s="12"/>
      <c r="M197" s="12"/>
      <c r="N197" s="12"/>
      <c r="O197" s="12"/>
      <c r="P197" s="12">
        <v>1.42</v>
      </c>
      <c r="Q197" s="12"/>
      <c r="R197" s="12"/>
      <c r="S197" s="12">
        <v>0.56999999999999995</v>
      </c>
      <c r="T197" s="12"/>
      <c r="U197" s="12">
        <v>3.64</v>
      </c>
      <c r="V197" s="12">
        <v>1.3</v>
      </c>
      <c r="W197" s="12">
        <v>0.81</v>
      </c>
      <c r="X197" s="12">
        <v>1.0900000000000001</v>
      </c>
      <c r="Y197" s="12"/>
      <c r="Z197" s="12">
        <f t="shared" si="284"/>
        <v>10.100000000000001</v>
      </c>
      <c r="AA197" s="24">
        <f t="shared" si="285"/>
        <v>3.0079281242173056E-4</v>
      </c>
      <c r="AC197" s="89">
        <f t="shared" si="281"/>
        <v>3.26</v>
      </c>
      <c r="AD197" s="89">
        <f t="shared" si="282"/>
        <v>6.84</v>
      </c>
      <c r="AE197" s="89">
        <f t="shared" si="283"/>
        <v>0</v>
      </c>
      <c r="AF197" s="89">
        <f t="shared" si="327"/>
        <v>10.1</v>
      </c>
      <c r="AG197" s="24">
        <f t="shared" si="328"/>
        <v>0.67722772277227727</v>
      </c>
      <c r="AI197" s="6" t="s">
        <v>33</v>
      </c>
      <c r="AJ197" s="89">
        <v>154.69999999999999</v>
      </c>
      <c r="AK197" s="89">
        <v>209.45999999999998</v>
      </c>
      <c r="AL197" s="382">
        <f t="shared" si="321"/>
        <v>0.73856583595913305</v>
      </c>
    </row>
    <row r="198" spans="1:38" x14ac:dyDescent="0.35">
      <c r="A198" s="182" t="s">
        <v>49</v>
      </c>
      <c r="B198" s="12"/>
      <c r="C198" s="12"/>
      <c r="D198" s="12"/>
      <c r="E198" s="12"/>
      <c r="F198" s="12"/>
      <c r="G198" s="12"/>
      <c r="H198" s="12">
        <v>16.34</v>
      </c>
      <c r="I198" s="12"/>
      <c r="J198" s="12"/>
      <c r="K198" s="12"/>
      <c r="L198" s="12"/>
      <c r="M198" s="12">
        <v>1.1299999999999999</v>
      </c>
      <c r="N198" s="12"/>
      <c r="O198" s="12">
        <v>3.55</v>
      </c>
      <c r="P198" s="12">
        <v>1.41</v>
      </c>
      <c r="Q198" s="12"/>
      <c r="R198" s="12">
        <v>3.23</v>
      </c>
      <c r="S198" s="12">
        <v>3.52</v>
      </c>
      <c r="T198" s="12">
        <v>2.5299999999999998</v>
      </c>
      <c r="U198" s="12">
        <v>18.14</v>
      </c>
      <c r="V198" s="54">
        <v>7.42</v>
      </c>
      <c r="W198" s="12">
        <v>2.41</v>
      </c>
      <c r="X198" s="12">
        <v>0.90999999999999992</v>
      </c>
      <c r="Y198" s="12"/>
      <c r="Z198" s="12">
        <f t="shared" si="284"/>
        <v>60.59</v>
      </c>
      <c r="AA198" s="24">
        <f t="shared" si="285"/>
        <v>1.8044590598646191E-3</v>
      </c>
      <c r="AC198" s="89">
        <f t="shared" si="281"/>
        <v>31.71</v>
      </c>
      <c r="AD198" s="89">
        <f t="shared" si="282"/>
        <v>28.880000000000003</v>
      </c>
      <c r="AE198" s="89">
        <f t="shared" si="283"/>
        <v>0</v>
      </c>
      <c r="AF198" s="89">
        <f t="shared" si="327"/>
        <v>60.59</v>
      </c>
      <c r="AG198" s="24">
        <f t="shared" si="328"/>
        <v>0.47664631127248724</v>
      </c>
      <c r="AI198" s="6" t="s">
        <v>7</v>
      </c>
      <c r="AJ198" s="89">
        <v>139.63</v>
      </c>
      <c r="AK198" s="89">
        <v>190.52</v>
      </c>
      <c r="AL198" s="382">
        <f t="shared" si="321"/>
        <v>0.73288893554482459</v>
      </c>
    </row>
    <row r="199" spans="1:38" x14ac:dyDescent="0.35">
      <c r="A199" s="182" t="s">
        <v>50</v>
      </c>
      <c r="B199" s="12"/>
      <c r="C199" s="12"/>
      <c r="D199" s="12"/>
      <c r="E199" s="12"/>
      <c r="F199" s="12"/>
      <c r="G199" s="12"/>
      <c r="H199" s="12"/>
      <c r="I199" s="12"/>
      <c r="J199" s="12"/>
      <c r="K199" s="12"/>
      <c r="L199" s="12"/>
      <c r="M199" s="12"/>
      <c r="N199" s="12">
        <v>0.9</v>
      </c>
      <c r="O199" s="12">
        <v>0.25</v>
      </c>
      <c r="P199" s="12"/>
      <c r="Q199" s="12"/>
      <c r="R199" s="12">
        <v>1.22</v>
      </c>
      <c r="S199" s="12">
        <v>7.3</v>
      </c>
      <c r="T199" s="12">
        <v>13.22</v>
      </c>
      <c r="U199" s="12">
        <v>10.24</v>
      </c>
      <c r="V199" s="12">
        <v>62.91</v>
      </c>
      <c r="W199" s="12">
        <v>12.649999999999999</v>
      </c>
      <c r="X199" s="12">
        <v>2.3200000000000003</v>
      </c>
      <c r="Y199" s="12"/>
      <c r="Z199" s="12">
        <f t="shared" si="284"/>
        <v>111.00999999999999</v>
      </c>
      <c r="AA199" s="24">
        <f t="shared" si="285"/>
        <v>3.3060406046471584E-3</v>
      </c>
      <c r="AC199" s="89">
        <f t="shared" si="281"/>
        <v>22.89</v>
      </c>
      <c r="AD199" s="89">
        <f t="shared" si="282"/>
        <v>88.119999999999976</v>
      </c>
      <c r="AE199" s="89">
        <f t="shared" si="283"/>
        <v>0</v>
      </c>
      <c r="AF199" s="89">
        <f t="shared" si="327"/>
        <v>111.00999999999998</v>
      </c>
      <c r="AG199" s="24"/>
      <c r="AI199" s="6" t="s">
        <v>28</v>
      </c>
      <c r="AJ199" s="89">
        <v>123.45999999999998</v>
      </c>
      <c r="AK199" s="89">
        <v>384.92</v>
      </c>
      <c r="AL199" s="382">
        <f t="shared" si="321"/>
        <v>0.32074197235789248</v>
      </c>
    </row>
    <row r="200" spans="1:38" x14ac:dyDescent="0.35">
      <c r="A200" s="182" t="s">
        <v>51</v>
      </c>
      <c r="B200" s="12"/>
      <c r="C200" s="12"/>
      <c r="D200" s="12"/>
      <c r="E200" s="12"/>
      <c r="F200" s="12"/>
      <c r="G200" s="12"/>
      <c r="H200" s="12"/>
      <c r="I200" s="12"/>
      <c r="J200" s="12"/>
      <c r="K200" s="12"/>
      <c r="L200" s="12"/>
      <c r="M200" s="12">
        <v>0.42</v>
      </c>
      <c r="N200" s="12">
        <v>3.18</v>
      </c>
      <c r="O200" s="12">
        <v>10.55</v>
      </c>
      <c r="P200" s="12">
        <v>1.4500000000000002</v>
      </c>
      <c r="Q200" s="12"/>
      <c r="R200" s="12"/>
      <c r="S200" s="12">
        <v>16.13</v>
      </c>
      <c r="T200" s="12">
        <v>37.519999999999996</v>
      </c>
      <c r="U200" s="12">
        <v>34.459999999999994</v>
      </c>
      <c r="V200" s="12">
        <v>37.520000000000003</v>
      </c>
      <c r="W200" s="12">
        <v>24.14</v>
      </c>
      <c r="X200" s="12">
        <v>3.52</v>
      </c>
      <c r="Y200" s="12"/>
      <c r="Z200" s="12">
        <f t="shared" si="284"/>
        <v>168.89000000000001</v>
      </c>
      <c r="AA200" s="24">
        <f t="shared" si="285"/>
        <v>5.0297918900897099E-3</v>
      </c>
      <c r="AC200" s="89">
        <f t="shared" si="281"/>
        <v>69.25</v>
      </c>
      <c r="AD200" s="89">
        <f t="shared" si="282"/>
        <v>99.639999999999986</v>
      </c>
      <c r="AE200" s="89">
        <f t="shared" si="283"/>
        <v>0</v>
      </c>
      <c r="AF200" s="89">
        <f t="shared" si="327"/>
        <v>168.89</v>
      </c>
      <c r="AG200" s="24">
        <f t="shared" ref="AG200" si="329">AD200/AF200</f>
        <v>0.58996980283024447</v>
      </c>
      <c r="AI200" s="6" t="s">
        <v>8</v>
      </c>
      <c r="AJ200" s="89">
        <v>112.55</v>
      </c>
      <c r="AK200" s="89">
        <v>240.56999999999996</v>
      </c>
      <c r="AL200" s="382">
        <f t="shared" si="321"/>
        <v>0.46784719624225801</v>
      </c>
    </row>
    <row r="201" spans="1:38" x14ac:dyDescent="0.35">
      <c r="A201" s="182" t="s">
        <v>52</v>
      </c>
      <c r="B201" s="12"/>
      <c r="C201" s="12"/>
      <c r="D201" s="12"/>
      <c r="E201" s="12"/>
      <c r="F201" s="12"/>
      <c r="G201" s="12"/>
      <c r="H201" s="12"/>
      <c r="I201" s="12">
        <v>0.32</v>
      </c>
      <c r="J201" s="12"/>
      <c r="K201" s="12"/>
      <c r="L201" s="12"/>
      <c r="M201" s="12"/>
      <c r="N201" s="12"/>
      <c r="O201" s="12"/>
      <c r="P201" s="12"/>
      <c r="Q201" s="12"/>
      <c r="R201" s="12"/>
      <c r="S201" s="12">
        <v>0.59</v>
      </c>
      <c r="T201" s="12">
        <v>0.17</v>
      </c>
      <c r="U201" s="12">
        <v>16.190000000000001</v>
      </c>
      <c r="V201" s="12">
        <v>11.47</v>
      </c>
      <c r="W201" s="12">
        <v>3.76</v>
      </c>
      <c r="X201" s="12"/>
      <c r="Y201" s="12">
        <v>0.53</v>
      </c>
      <c r="Z201" s="12">
        <f t="shared" si="284"/>
        <v>33.03</v>
      </c>
      <c r="AA201" s="24">
        <f t="shared" si="285"/>
        <v>9.8368184101878795E-4</v>
      </c>
      <c r="AC201" s="89">
        <f t="shared" si="281"/>
        <v>1.0799999999999998</v>
      </c>
      <c r="AD201" s="89">
        <f t="shared" si="282"/>
        <v>31.42</v>
      </c>
      <c r="AE201" s="89">
        <f t="shared" si="283"/>
        <v>0.53</v>
      </c>
      <c r="AF201" s="89">
        <f t="shared" si="327"/>
        <v>33.03</v>
      </c>
      <c r="AG201" s="24"/>
      <c r="AI201" s="182" t="s">
        <v>51</v>
      </c>
      <c r="AJ201" s="89">
        <v>99.639999999999986</v>
      </c>
      <c r="AK201" s="89">
        <v>168.89</v>
      </c>
      <c r="AL201" s="382">
        <f t="shared" si="321"/>
        <v>0.58996980283024447</v>
      </c>
    </row>
    <row r="202" spans="1:38" x14ac:dyDescent="0.35">
      <c r="A202" s="182" t="s">
        <v>53</v>
      </c>
      <c r="B202" s="12">
        <v>5.36</v>
      </c>
      <c r="C202" s="12"/>
      <c r="D202" s="12"/>
      <c r="E202" s="12"/>
      <c r="F202" s="12"/>
      <c r="G202" s="12"/>
      <c r="H202" s="12"/>
      <c r="I202" s="12"/>
      <c r="J202" s="12"/>
      <c r="K202" s="12">
        <v>0.44</v>
      </c>
      <c r="L202" s="12">
        <v>11.78</v>
      </c>
      <c r="M202" s="12">
        <v>3.5300000000000002</v>
      </c>
      <c r="N202" s="12">
        <v>3.1499999999999995</v>
      </c>
      <c r="O202" s="12">
        <v>7.17</v>
      </c>
      <c r="P202" s="12">
        <v>12.690000000000001</v>
      </c>
      <c r="Q202" s="12">
        <v>12.37</v>
      </c>
      <c r="R202" s="12">
        <v>49.67</v>
      </c>
      <c r="S202" s="12">
        <v>40.82</v>
      </c>
      <c r="T202" s="12">
        <v>34</v>
      </c>
      <c r="U202" s="12">
        <v>77.36999999999999</v>
      </c>
      <c r="V202" s="12">
        <v>77.970000000000027</v>
      </c>
      <c r="W202" s="12">
        <v>192.26999999999998</v>
      </c>
      <c r="X202" s="12">
        <v>144.75000000000003</v>
      </c>
      <c r="Y202" s="12">
        <v>2.63</v>
      </c>
      <c r="Z202" s="12">
        <f t="shared" si="284"/>
        <v>675.96999999999991</v>
      </c>
      <c r="AA202" s="24">
        <f t="shared" si="285"/>
        <v>2.0131377961655164E-2</v>
      </c>
      <c r="AC202" s="89">
        <f t="shared" si="281"/>
        <v>180.98</v>
      </c>
      <c r="AD202" s="89">
        <f t="shared" si="282"/>
        <v>492.36</v>
      </c>
      <c r="AE202" s="89">
        <f t="shared" si="283"/>
        <v>2.63</v>
      </c>
      <c r="AF202" s="89">
        <f t="shared" si="327"/>
        <v>675.97</v>
      </c>
      <c r="AG202" s="24">
        <f t="shared" ref="AG202:AG203" si="330">AD202/AF202</f>
        <v>0.72837551962365188</v>
      </c>
      <c r="AI202" s="182" t="s">
        <v>50</v>
      </c>
      <c r="AJ202" s="89">
        <v>88.119999999999976</v>
      </c>
      <c r="AK202" s="89">
        <v>111.00999999999998</v>
      </c>
      <c r="AL202" s="382">
        <f t="shared" si="321"/>
        <v>0.79380236014773442</v>
      </c>
    </row>
    <row r="203" spans="1:38" x14ac:dyDescent="0.35">
      <c r="A203" s="182" t="s">
        <v>54</v>
      </c>
      <c r="B203" s="12"/>
      <c r="C203" s="12">
        <v>0.42</v>
      </c>
      <c r="D203" s="12"/>
      <c r="E203" s="12"/>
      <c r="F203" s="12"/>
      <c r="G203" s="12"/>
      <c r="H203" s="12"/>
      <c r="I203" s="12"/>
      <c r="J203" s="12"/>
      <c r="K203" s="12"/>
      <c r="L203" s="12"/>
      <c r="M203" s="12">
        <v>8.92</v>
      </c>
      <c r="N203" s="12">
        <v>4.4000000000000004</v>
      </c>
      <c r="O203" s="12">
        <v>14.899999999999999</v>
      </c>
      <c r="P203" s="12">
        <v>2.86</v>
      </c>
      <c r="Q203" s="12">
        <v>7.8800000000000008</v>
      </c>
      <c r="R203" s="12">
        <v>1.62</v>
      </c>
      <c r="S203" s="12">
        <v>20.07</v>
      </c>
      <c r="T203" s="12">
        <v>38.03</v>
      </c>
      <c r="U203" s="12">
        <v>78.610000000000014</v>
      </c>
      <c r="V203" s="12">
        <v>50.64</v>
      </c>
      <c r="W203" s="12">
        <v>61.989999999999995</v>
      </c>
      <c r="X203" s="12">
        <v>23.79</v>
      </c>
      <c r="Y203" s="12">
        <v>0.21</v>
      </c>
      <c r="Z203" s="12">
        <f t="shared" si="284"/>
        <v>314.34000000000003</v>
      </c>
      <c r="AA203" s="24">
        <f t="shared" si="285"/>
        <v>9.361506203628394E-3</v>
      </c>
      <c r="AC203" s="89">
        <f t="shared" si="281"/>
        <v>99.1</v>
      </c>
      <c r="AD203" s="89">
        <f t="shared" si="282"/>
        <v>215.03</v>
      </c>
      <c r="AE203" s="89">
        <f t="shared" si="283"/>
        <v>0.21</v>
      </c>
      <c r="AF203" s="89">
        <f t="shared" si="327"/>
        <v>314.33999999999997</v>
      </c>
      <c r="AG203" s="24">
        <f t="shared" si="330"/>
        <v>0.68406820640071264</v>
      </c>
      <c r="AI203" s="6" t="s">
        <v>36</v>
      </c>
      <c r="AJ203" s="89">
        <v>80.63</v>
      </c>
      <c r="AK203" s="89">
        <v>165.7</v>
      </c>
      <c r="AL203" s="382">
        <f t="shared" si="321"/>
        <v>0.48660229330114668</v>
      </c>
    </row>
    <row r="204" spans="1:38" x14ac:dyDescent="0.35">
      <c r="A204" s="116" t="s">
        <v>17</v>
      </c>
      <c r="B204" s="117">
        <f>SUM(B205:B206)</f>
        <v>6.19</v>
      </c>
      <c r="C204" s="117">
        <f t="shared" ref="C204:Y204" si="331">SUM(C205:C206)</f>
        <v>2.98</v>
      </c>
      <c r="D204" s="117">
        <f t="shared" si="331"/>
        <v>0</v>
      </c>
      <c r="E204" s="117">
        <f t="shared" si="331"/>
        <v>0</v>
      </c>
      <c r="F204" s="117">
        <f t="shared" si="331"/>
        <v>0</v>
      </c>
      <c r="G204" s="117">
        <f t="shared" si="331"/>
        <v>0</v>
      </c>
      <c r="H204" s="117">
        <f t="shared" si="331"/>
        <v>0.02</v>
      </c>
      <c r="I204" s="117">
        <f t="shared" si="331"/>
        <v>4.4399999999999995</v>
      </c>
      <c r="J204" s="117">
        <f t="shared" si="331"/>
        <v>0</v>
      </c>
      <c r="K204" s="117">
        <f t="shared" si="331"/>
        <v>0</v>
      </c>
      <c r="L204" s="117">
        <f t="shared" si="331"/>
        <v>0.54</v>
      </c>
      <c r="M204" s="117">
        <f t="shared" si="331"/>
        <v>2.7800000000000002</v>
      </c>
      <c r="N204" s="117">
        <f t="shared" si="331"/>
        <v>3.28</v>
      </c>
      <c r="O204" s="117">
        <f t="shared" si="331"/>
        <v>54.56</v>
      </c>
      <c r="P204" s="117">
        <f t="shared" si="331"/>
        <v>15.53</v>
      </c>
      <c r="Q204" s="117">
        <f t="shared" si="331"/>
        <v>97.669999999999987</v>
      </c>
      <c r="R204" s="117">
        <f t="shared" si="331"/>
        <v>85.670000000000016</v>
      </c>
      <c r="S204" s="117">
        <f t="shared" si="331"/>
        <v>82.57</v>
      </c>
      <c r="T204" s="117">
        <f t="shared" si="331"/>
        <v>69.539999999999992</v>
      </c>
      <c r="U204" s="117">
        <f t="shared" si="331"/>
        <v>206.24000000000004</v>
      </c>
      <c r="V204" s="117">
        <f t="shared" si="331"/>
        <v>249.21999999999997</v>
      </c>
      <c r="W204" s="117">
        <f t="shared" si="331"/>
        <v>239.25999999999991</v>
      </c>
      <c r="X204" s="117">
        <f t="shared" si="331"/>
        <v>102.71</v>
      </c>
      <c r="Y204" s="117">
        <f t="shared" si="331"/>
        <v>3.6199999999999988</v>
      </c>
      <c r="Z204" s="117">
        <f>SUM(B204:Y204)</f>
        <v>1226.82</v>
      </c>
      <c r="AA204" s="185">
        <f>Z204/$Z$220</f>
        <v>3.653649882527004E-2</v>
      </c>
      <c r="AC204" s="117">
        <f t="shared" si="281"/>
        <v>425.77</v>
      </c>
      <c r="AD204" s="117">
        <f t="shared" si="282"/>
        <v>797.43</v>
      </c>
      <c r="AE204" s="117">
        <f t="shared" si="283"/>
        <v>3.6199999999999988</v>
      </c>
      <c r="AF204" s="117">
        <f>SUM(AC204:AE204)</f>
        <v>1226.8199999999997</v>
      </c>
      <c r="AG204" s="185">
        <f>AD204/AF204</f>
        <v>0.64999755465349451</v>
      </c>
      <c r="AI204" s="6" t="s">
        <v>56</v>
      </c>
      <c r="AJ204" s="89">
        <v>76.97</v>
      </c>
      <c r="AK204" s="89">
        <v>151.26999999999998</v>
      </c>
      <c r="AL204" s="382">
        <f t="shared" si="321"/>
        <v>0.50882527930191057</v>
      </c>
    </row>
    <row r="205" spans="1:38" x14ac:dyDescent="0.35">
      <c r="A205" s="6" t="s">
        <v>55</v>
      </c>
      <c r="B205" s="12">
        <v>3.7</v>
      </c>
      <c r="C205" s="12">
        <v>2.25</v>
      </c>
      <c r="D205" s="12"/>
      <c r="E205" s="12"/>
      <c r="F205" s="12"/>
      <c r="G205" s="12"/>
      <c r="H205" s="12"/>
      <c r="I205" s="12">
        <v>4.4399999999999995</v>
      </c>
      <c r="J205" s="12"/>
      <c r="K205" s="12"/>
      <c r="L205" s="12"/>
      <c r="M205" s="12">
        <v>0.53</v>
      </c>
      <c r="N205" s="12">
        <v>3.28</v>
      </c>
      <c r="O205" s="12">
        <v>52.88</v>
      </c>
      <c r="P205" s="12">
        <v>15.09</v>
      </c>
      <c r="Q205" s="12">
        <v>60.47</v>
      </c>
      <c r="R205" s="12">
        <v>77.500000000000014</v>
      </c>
      <c r="S205" s="12">
        <v>72.319999999999993</v>
      </c>
      <c r="T205" s="12">
        <v>59.18</v>
      </c>
      <c r="U205" s="12">
        <v>192.17000000000004</v>
      </c>
      <c r="V205" s="12">
        <v>245.24999999999997</v>
      </c>
      <c r="W205" s="12">
        <v>213.93999999999991</v>
      </c>
      <c r="X205" s="12">
        <v>69.099999999999994</v>
      </c>
      <c r="Y205" s="54">
        <v>3.4499999999999988</v>
      </c>
      <c r="Z205" s="12">
        <f t="shared" si="284"/>
        <v>1075.55</v>
      </c>
      <c r="AA205" s="24">
        <f t="shared" si="285"/>
        <v>3.2031456376256658E-2</v>
      </c>
      <c r="AC205" s="89">
        <f t="shared" si="281"/>
        <v>351.64</v>
      </c>
      <c r="AD205" s="89">
        <f t="shared" si="282"/>
        <v>720.45999999999992</v>
      </c>
      <c r="AE205" s="89">
        <f t="shared" si="283"/>
        <v>3.4499999999999988</v>
      </c>
      <c r="AF205" s="89">
        <f t="shared" ref="AF205:AF206" si="332">SUM(AC205:AE205)</f>
        <v>1075.55</v>
      </c>
      <c r="AG205" s="24">
        <f t="shared" ref="AG205:AG206" si="333">AD205/AF205</f>
        <v>0.66985263353633018</v>
      </c>
      <c r="AI205" s="6" t="s">
        <v>6</v>
      </c>
      <c r="AJ205" s="89">
        <v>68</v>
      </c>
      <c r="AK205" s="89">
        <v>96.14</v>
      </c>
      <c r="AL205" s="382">
        <f t="shared" si="321"/>
        <v>0.70730185146661118</v>
      </c>
    </row>
    <row r="206" spans="1:38" x14ac:dyDescent="0.35">
      <c r="A206" s="6" t="s">
        <v>56</v>
      </c>
      <c r="B206" s="12">
        <v>2.4900000000000002</v>
      </c>
      <c r="C206" s="12">
        <v>0.73</v>
      </c>
      <c r="D206" s="12"/>
      <c r="E206" s="12"/>
      <c r="F206" s="12"/>
      <c r="G206" s="12"/>
      <c r="H206" s="12">
        <v>0.02</v>
      </c>
      <c r="I206" s="12"/>
      <c r="J206" s="12"/>
      <c r="K206" s="12"/>
      <c r="L206" s="12">
        <v>0.54</v>
      </c>
      <c r="M206" s="12">
        <v>2.25</v>
      </c>
      <c r="N206" s="12"/>
      <c r="O206" s="12">
        <v>1.68</v>
      </c>
      <c r="P206" s="12">
        <v>0.44</v>
      </c>
      <c r="Q206" s="12">
        <v>37.199999999999996</v>
      </c>
      <c r="R206" s="54">
        <v>8.17</v>
      </c>
      <c r="S206" s="12">
        <v>10.25</v>
      </c>
      <c r="T206" s="12">
        <v>10.36</v>
      </c>
      <c r="U206" s="12">
        <v>14.07</v>
      </c>
      <c r="V206" s="12">
        <v>3.9699999999999998</v>
      </c>
      <c r="W206" s="12">
        <v>25.32</v>
      </c>
      <c r="X206" s="12">
        <v>33.61</v>
      </c>
      <c r="Y206" s="54">
        <v>0.16999999999999998</v>
      </c>
      <c r="Z206" s="12">
        <f t="shared" si="284"/>
        <v>151.26999999999995</v>
      </c>
      <c r="AA206" s="24">
        <f t="shared" si="285"/>
        <v>4.5050424490133819E-3</v>
      </c>
      <c r="AC206" s="89">
        <f t="shared" si="281"/>
        <v>74.13</v>
      </c>
      <c r="AD206" s="89">
        <f t="shared" si="282"/>
        <v>76.97</v>
      </c>
      <c r="AE206" s="89">
        <f t="shared" si="283"/>
        <v>0.16999999999999998</v>
      </c>
      <c r="AF206" s="89">
        <f t="shared" si="332"/>
        <v>151.26999999999998</v>
      </c>
      <c r="AG206" s="24">
        <f t="shared" si="333"/>
        <v>0.50882527930191057</v>
      </c>
      <c r="AI206" s="6" t="s">
        <v>32</v>
      </c>
      <c r="AJ206" s="89">
        <v>66.510000000000005</v>
      </c>
      <c r="AK206" s="89">
        <v>126.58000000000001</v>
      </c>
      <c r="AL206" s="382">
        <f t="shared" si="321"/>
        <v>0.52543845789224208</v>
      </c>
    </row>
    <row r="207" spans="1:38" x14ac:dyDescent="0.35">
      <c r="A207" s="116" t="s">
        <v>64</v>
      </c>
      <c r="B207" s="117">
        <f>SUM(B208:B209)</f>
        <v>0</v>
      </c>
      <c r="C207" s="117">
        <f t="shared" ref="C207:Y207" si="334">SUM(C208:C209)</f>
        <v>0</v>
      </c>
      <c r="D207" s="117">
        <f t="shared" si="334"/>
        <v>0</v>
      </c>
      <c r="E207" s="117">
        <f t="shared" si="334"/>
        <v>0</v>
      </c>
      <c r="F207" s="117">
        <f t="shared" si="334"/>
        <v>0</v>
      </c>
      <c r="G207" s="117">
        <f t="shared" si="334"/>
        <v>0</v>
      </c>
      <c r="H207" s="117">
        <f t="shared" si="334"/>
        <v>0</v>
      </c>
      <c r="I207" s="117">
        <f t="shared" si="334"/>
        <v>0</v>
      </c>
      <c r="J207" s="117">
        <f t="shared" si="334"/>
        <v>0</v>
      </c>
      <c r="K207" s="117">
        <f t="shared" si="334"/>
        <v>0</v>
      </c>
      <c r="L207" s="117">
        <f t="shared" si="334"/>
        <v>0</v>
      </c>
      <c r="M207" s="117">
        <f t="shared" si="334"/>
        <v>0</v>
      </c>
      <c r="N207" s="117">
        <f t="shared" si="334"/>
        <v>0</v>
      </c>
      <c r="O207" s="117">
        <f t="shared" si="334"/>
        <v>0</v>
      </c>
      <c r="P207" s="117">
        <f t="shared" si="334"/>
        <v>0</v>
      </c>
      <c r="Q207" s="117">
        <f t="shared" si="334"/>
        <v>0</v>
      </c>
      <c r="R207" s="117">
        <f t="shared" si="334"/>
        <v>0</v>
      </c>
      <c r="S207" s="117">
        <f t="shared" si="334"/>
        <v>0</v>
      </c>
      <c r="T207" s="117">
        <f t="shared" si="334"/>
        <v>0.3</v>
      </c>
      <c r="U207" s="117">
        <f t="shared" si="334"/>
        <v>0</v>
      </c>
      <c r="V207" s="117">
        <f t="shared" si="334"/>
        <v>0</v>
      </c>
      <c r="W207" s="117">
        <f t="shared" si="334"/>
        <v>2.14</v>
      </c>
      <c r="X207" s="117">
        <f t="shared" si="334"/>
        <v>0.25</v>
      </c>
      <c r="Y207" s="117">
        <f t="shared" si="334"/>
        <v>0</v>
      </c>
      <c r="Z207" s="117">
        <f>SUM(B207:Y207)</f>
        <v>2.69</v>
      </c>
      <c r="AA207" s="185">
        <f>Z207/$Z$220</f>
        <v>8.0112145090540109E-5</v>
      </c>
      <c r="AC207" s="117">
        <f t="shared" si="281"/>
        <v>0.3</v>
      </c>
      <c r="AD207" s="117">
        <f t="shared" si="282"/>
        <v>2.39</v>
      </c>
      <c r="AE207" s="117">
        <f t="shared" si="283"/>
        <v>0</v>
      </c>
      <c r="AF207" s="117">
        <f>SUM(AC207:AE207)</f>
        <v>2.69</v>
      </c>
      <c r="AG207" s="185"/>
    </row>
    <row r="208" spans="1:38" x14ac:dyDescent="0.35">
      <c r="A208" s="6" t="s">
        <v>65</v>
      </c>
      <c r="B208" s="12"/>
      <c r="C208" s="12"/>
      <c r="D208" s="12"/>
      <c r="E208" s="12"/>
      <c r="F208" s="12"/>
      <c r="G208" s="12"/>
      <c r="H208" s="12"/>
      <c r="I208" s="12"/>
      <c r="J208" s="12"/>
      <c r="K208" s="12"/>
      <c r="L208" s="12"/>
      <c r="M208" s="12"/>
      <c r="N208" s="12"/>
      <c r="O208" s="12"/>
      <c r="P208" s="12"/>
      <c r="Q208" s="12"/>
      <c r="R208" s="12"/>
      <c r="S208" s="12"/>
      <c r="T208" s="12">
        <v>0.3</v>
      </c>
      <c r="U208" s="12"/>
      <c r="V208" s="12"/>
      <c r="W208" s="12"/>
      <c r="X208" s="12"/>
      <c r="Y208" s="12"/>
      <c r="Z208" s="12">
        <f t="shared" si="284"/>
        <v>0.3</v>
      </c>
      <c r="AA208" s="24">
        <f t="shared" si="285"/>
        <v>8.9344399729226875E-6</v>
      </c>
      <c r="AC208" s="89">
        <f t="shared" si="281"/>
        <v>0.3</v>
      </c>
      <c r="AD208" s="89">
        <f t="shared" si="282"/>
        <v>0</v>
      </c>
      <c r="AE208" s="89">
        <f t="shared" si="283"/>
        <v>0</v>
      </c>
      <c r="AF208" s="89">
        <f t="shared" ref="AF208:AF209" si="335">SUM(AC208:AE208)</f>
        <v>0.3</v>
      </c>
      <c r="AG208" s="24"/>
    </row>
    <row r="209" spans="1:33" x14ac:dyDescent="0.35">
      <c r="A209" s="7" t="s">
        <v>66</v>
      </c>
      <c r="B209" s="12"/>
      <c r="C209" s="12"/>
      <c r="D209" s="12"/>
      <c r="E209" s="12"/>
      <c r="F209" s="12"/>
      <c r="G209" s="12"/>
      <c r="H209" s="12"/>
      <c r="I209" s="12"/>
      <c r="J209" s="12"/>
      <c r="K209" s="12"/>
      <c r="L209" s="12"/>
      <c r="M209" s="12"/>
      <c r="N209" s="12"/>
      <c r="O209" s="12"/>
      <c r="P209" s="12"/>
      <c r="Q209" s="12"/>
      <c r="R209" s="12"/>
      <c r="S209" s="12"/>
      <c r="T209" s="12"/>
      <c r="U209" s="12"/>
      <c r="V209" s="12"/>
      <c r="W209" s="12">
        <v>2.14</v>
      </c>
      <c r="X209" s="12">
        <v>0.25</v>
      </c>
      <c r="Y209" s="12"/>
      <c r="Z209" s="12">
        <f t="shared" si="284"/>
        <v>2.39</v>
      </c>
      <c r="AA209" s="24">
        <f t="shared" si="285"/>
        <v>7.1177705117617425E-5</v>
      </c>
      <c r="AC209" s="89">
        <f t="shared" si="281"/>
        <v>0</v>
      </c>
      <c r="AD209" s="89">
        <f t="shared" si="282"/>
        <v>2.39</v>
      </c>
      <c r="AE209" s="89">
        <f t="shared" si="283"/>
        <v>0</v>
      </c>
      <c r="AF209" s="89">
        <f t="shared" si="335"/>
        <v>2.39</v>
      </c>
      <c r="AG209" s="24"/>
    </row>
    <row r="210" spans="1:33" x14ac:dyDescent="0.35">
      <c r="A210" s="116" t="s">
        <v>18</v>
      </c>
      <c r="B210" s="117">
        <f>B211</f>
        <v>0</v>
      </c>
      <c r="C210" s="117"/>
      <c r="D210" s="117"/>
      <c r="E210" s="117"/>
      <c r="F210" s="117"/>
      <c r="G210" s="117"/>
      <c r="H210" s="117"/>
      <c r="I210" s="117"/>
      <c r="J210" s="117"/>
      <c r="K210" s="117"/>
      <c r="L210" s="117"/>
      <c r="M210" s="117"/>
      <c r="N210" s="117"/>
      <c r="O210" s="117">
        <f t="shared" ref="O210" si="336">O211</f>
        <v>0.15</v>
      </c>
      <c r="P210" s="117"/>
      <c r="Q210" s="117"/>
      <c r="R210" s="117"/>
      <c r="S210" s="117"/>
      <c r="T210" s="117"/>
      <c r="U210" s="117"/>
      <c r="V210" s="117"/>
      <c r="W210" s="117"/>
      <c r="X210" s="117"/>
      <c r="Y210" s="117"/>
      <c r="Z210" s="117">
        <f>SUM(B210:Y210)</f>
        <v>0.15</v>
      </c>
      <c r="AA210" s="185">
        <f>Z210/$Z$220</f>
        <v>4.4672199864613438E-6</v>
      </c>
      <c r="AC210" s="117">
        <f t="shared" si="281"/>
        <v>0.15</v>
      </c>
      <c r="AD210" s="117">
        <f t="shared" si="282"/>
        <v>0</v>
      </c>
      <c r="AE210" s="117">
        <f t="shared" si="283"/>
        <v>0</v>
      </c>
      <c r="AF210" s="117">
        <f>SUM(AC210:AE210)</f>
        <v>0.15</v>
      </c>
      <c r="AG210" s="185"/>
    </row>
    <row r="211" spans="1:33" x14ac:dyDescent="0.35">
      <c r="A211" s="6" t="s">
        <v>18</v>
      </c>
      <c r="B211" s="12"/>
      <c r="C211" s="12"/>
      <c r="D211" s="12"/>
      <c r="E211" s="12"/>
      <c r="F211" s="12"/>
      <c r="G211" s="12"/>
      <c r="H211" s="12"/>
      <c r="I211" s="12"/>
      <c r="J211" s="12"/>
      <c r="K211" s="12"/>
      <c r="L211" s="12"/>
      <c r="M211" s="12"/>
      <c r="N211" s="12"/>
      <c r="O211" s="12">
        <v>0.15</v>
      </c>
      <c r="P211" s="12"/>
      <c r="Q211" s="12"/>
      <c r="R211" s="12"/>
      <c r="S211" s="12"/>
      <c r="T211" s="12"/>
      <c r="U211" s="12"/>
      <c r="V211" s="12"/>
      <c r="W211" s="12"/>
      <c r="X211" s="12"/>
      <c r="Y211" s="12"/>
      <c r="Z211" s="12">
        <f t="shared" si="284"/>
        <v>0.15</v>
      </c>
      <c r="AA211" s="24">
        <f t="shared" si="285"/>
        <v>4.4672199864613438E-6</v>
      </c>
      <c r="AC211" s="89">
        <f t="shared" si="281"/>
        <v>0.15</v>
      </c>
      <c r="AD211" s="89">
        <f t="shared" si="282"/>
        <v>0</v>
      </c>
      <c r="AE211" s="89">
        <f t="shared" si="283"/>
        <v>0</v>
      </c>
      <c r="AF211" s="89">
        <f t="shared" ref="AF211" si="337">SUM(AC211:AE211)</f>
        <v>0.15</v>
      </c>
      <c r="AG211" s="24"/>
    </row>
    <row r="212" spans="1:33" x14ac:dyDescent="0.35">
      <c r="A212" s="116" t="s">
        <v>20</v>
      </c>
      <c r="B212" s="117">
        <v>0.18</v>
      </c>
      <c r="C212" s="117">
        <v>3.4</v>
      </c>
      <c r="D212" s="117"/>
      <c r="E212" s="117"/>
      <c r="F212" s="117"/>
      <c r="G212" s="117">
        <v>0.17</v>
      </c>
      <c r="H212" s="117"/>
      <c r="I212" s="117"/>
      <c r="J212" s="117"/>
      <c r="K212" s="117"/>
      <c r="L212" s="117">
        <v>0.3</v>
      </c>
      <c r="M212" s="117"/>
      <c r="N212" s="117"/>
      <c r="O212" s="117"/>
      <c r="P212" s="117"/>
      <c r="Q212" s="117"/>
      <c r="R212" s="117">
        <v>0.3</v>
      </c>
      <c r="S212" s="117">
        <v>1.68</v>
      </c>
      <c r="T212" s="117">
        <v>1.84</v>
      </c>
      <c r="U212" s="117">
        <v>2.8499999999999996</v>
      </c>
      <c r="V212" s="117">
        <v>23.54</v>
      </c>
      <c r="W212" s="117">
        <v>9.9700000000000006</v>
      </c>
      <c r="X212" s="117">
        <v>10.180000000000001</v>
      </c>
      <c r="Y212" s="117">
        <v>0.06</v>
      </c>
      <c r="Z212" s="117">
        <f>SUM(B212:Y212)</f>
        <v>54.47</v>
      </c>
      <c r="AA212" s="185">
        <f>Z212/$Z$220</f>
        <v>1.6221964844169961E-3</v>
      </c>
      <c r="AC212" s="117">
        <f t="shared" si="281"/>
        <v>7.8699999999999992</v>
      </c>
      <c r="AD212" s="117">
        <f t="shared" si="282"/>
        <v>46.54</v>
      </c>
      <c r="AE212" s="117">
        <f t="shared" si="283"/>
        <v>0.06</v>
      </c>
      <c r="AF212" s="117">
        <f>SUM(AC212:AE212)</f>
        <v>54.47</v>
      </c>
      <c r="AG212" s="185">
        <f>AD212/AF212</f>
        <v>0.85441527446300713</v>
      </c>
    </row>
    <row r="213" spans="1:33" x14ac:dyDescent="0.35">
      <c r="A213" s="6" t="s">
        <v>20</v>
      </c>
      <c r="B213" s="12">
        <v>0.18</v>
      </c>
      <c r="C213" s="12">
        <v>3.4</v>
      </c>
      <c r="D213" s="12"/>
      <c r="E213" s="12"/>
      <c r="F213" s="12"/>
      <c r="G213" s="12">
        <v>0.17</v>
      </c>
      <c r="H213" s="12"/>
      <c r="I213" s="12"/>
      <c r="J213" s="12"/>
      <c r="K213" s="12"/>
      <c r="L213" s="12">
        <v>0.3</v>
      </c>
      <c r="M213" s="12"/>
      <c r="N213" s="12"/>
      <c r="O213" s="12"/>
      <c r="P213" s="12"/>
      <c r="Q213" s="12"/>
      <c r="R213" s="12">
        <v>0.3</v>
      </c>
      <c r="S213" s="12">
        <v>1.68</v>
      </c>
      <c r="T213" s="12">
        <v>1.84</v>
      </c>
      <c r="U213" s="12">
        <v>2.8499999999999996</v>
      </c>
      <c r="V213" s="12">
        <v>23.54</v>
      </c>
      <c r="W213" s="12">
        <v>9.9700000000000006</v>
      </c>
      <c r="X213" s="12">
        <v>10.180000000000001</v>
      </c>
      <c r="Y213" s="12">
        <v>0.06</v>
      </c>
      <c r="Z213" s="12">
        <f t="shared" si="284"/>
        <v>54.47</v>
      </c>
      <c r="AA213" s="24">
        <f t="shared" si="285"/>
        <v>1.6221964844169961E-3</v>
      </c>
      <c r="AC213" s="89">
        <f t="shared" si="281"/>
        <v>7.8699999999999992</v>
      </c>
      <c r="AD213" s="89">
        <f t="shared" si="282"/>
        <v>46.54</v>
      </c>
      <c r="AE213" s="89">
        <f t="shared" si="283"/>
        <v>0.06</v>
      </c>
      <c r="AF213" s="89">
        <f t="shared" ref="AF213" si="338">SUM(AC213:AE213)</f>
        <v>54.47</v>
      </c>
      <c r="AG213" s="24">
        <f t="shared" ref="AG213" si="339">AD213/AF213</f>
        <v>0.85441527446300713</v>
      </c>
    </row>
    <row r="214" spans="1:33" x14ac:dyDescent="0.35">
      <c r="A214" s="116" t="s">
        <v>21</v>
      </c>
      <c r="B214" s="117">
        <v>0.35</v>
      </c>
      <c r="C214" s="117"/>
      <c r="D214" s="117"/>
      <c r="E214" s="117"/>
      <c r="F214" s="117"/>
      <c r="G214" s="117"/>
      <c r="H214" s="117"/>
      <c r="I214" s="117"/>
      <c r="J214" s="117">
        <v>0.16</v>
      </c>
      <c r="K214" s="117"/>
      <c r="L214" s="117"/>
      <c r="M214" s="117"/>
      <c r="N214" s="117"/>
      <c r="O214" s="117"/>
      <c r="P214" s="117">
        <v>3.74</v>
      </c>
      <c r="Q214" s="117"/>
      <c r="R214" s="117">
        <v>48.24</v>
      </c>
      <c r="S214" s="117">
        <v>34.200000000000003</v>
      </c>
      <c r="T214" s="117">
        <v>15.430000000000001</v>
      </c>
      <c r="U214" s="117">
        <v>49.68</v>
      </c>
      <c r="V214" s="117">
        <v>32.01</v>
      </c>
      <c r="W214" s="117">
        <v>46.9</v>
      </c>
      <c r="X214" s="117">
        <v>61.05</v>
      </c>
      <c r="Y214" s="138">
        <v>0.24</v>
      </c>
      <c r="Z214" s="117">
        <f>SUM(B214:Y214)</f>
        <v>292</v>
      </c>
      <c r="AA214" s="185">
        <f>Z214/$Z$220</f>
        <v>8.6961882403114171E-3</v>
      </c>
      <c r="AC214" s="117">
        <f t="shared" si="281"/>
        <v>102.12</v>
      </c>
      <c r="AD214" s="117">
        <f t="shared" si="282"/>
        <v>189.64</v>
      </c>
      <c r="AE214" s="117">
        <f t="shared" si="283"/>
        <v>0.24</v>
      </c>
      <c r="AF214" s="117">
        <f>SUM(AC214:AE214)</f>
        <v>292</v>
      </c>
      <c r="AG214" s="185">
        <f>AD214/AF214</f>
        <v>0.64945205479452051</v>
      </c>
    </row>
    <row r="215" spans="1:33" x14ac:dyDescent="0.35">
      <c r="A215" s="6" t="s">
        <v>21</v>
      </c>
      <c r="B215" s="12">
        <v>0.35</v>
      </c>
      <c r="C215" s="12"/>
      <c r="D215" s="12"/>
      <c r="E215" s="12"/>
      <c r="F215" s="12"/>
      <c r="G215" s="12"/>
      <c r="H215" s="12"/>
      <c r="I215" s="12"/>
      <c r="J215" s="12">
        <v>0.16</v>
      </c>
      <c r="K215" s="12"/>
      <c r="L215" s="12"/>
      <c r="M215" s="12"/>
      <c r="N215" s="12"/>
      <c r="O215" s="12"/>
      <c r="P215" s="12">
        <v>3.74</v>
      </c>
      <c r="Q215" s="12"/>
      <c r="R215" s="12">
        <v>48.24</v>
      </c>
      <c r="S215" s="12">
        <v>34.200000000000003</v>
      </c>
      <c r="T215" s="12">
        <v>15.430000000000001</v>
      </c>
      <c r="U215" s="12">
        <v>49.68</v>
      </c>
      <c r="V215" s="12">
        <v>32.01</v>
      </c>
      <c r="W215" s="12">
        <v>46.9</v>
      </c>
      <c r="X215" s="12">
        <v>61.05</v>
      </c>
      <c r="Y215" s="54">
        <v>0.24</v>
      </c>
      <c r="Z215" s="12">
        <f t="shared" si="284"/>
        <v>292</v>
      </c>
      <c r="AA215" s="24">
        <f t="shared" si="285"/>
        <v>8.6961882403114171E-3</v>
      </c>
      <c r="AC215" s="89">
        <f t="shared" si="281"/>
        <v>102.12</v>
      </c>
      <c r="AD215" s="89">
        <f t="shared" si="282"/>
        <v>189.64</v>
      </c>
      <c r="AE215" s="89">
        <f t="shared" si="283"/>
        <v>0.24</v>
      </c>
      <c r="AF215" s="89">
        <f t="shared" ref="AF215" si="340">SUM(AC215:AE215)</f>
        <v>292</v>
      </c>
      <c r="AG215" s="24">
        <f t="shared" ref="AG215" si="341">AD215/AF215</f>
        <v>0.64945205479452051</v>
      </c>
    </row>
    <row r="216" spans="1:33" x14ac:dyDescent="0.35">
      <c r="A216" s="116" t="s">
        <v>22</v>
      </c>
      <c r="B216" s="117"/>
      <c r="C216" s="117"/>
      <c r="D216" s="117"/>
      <c r="E216" s="117"/>
      <c r="F216" s="117"/>
      <c r="G216" s="117"/>
      <c r="H216" s="117"/>
      <c r="I216" s="117"/>
      <c r="J216" s="117"/>
      <c r="K216" s="117"/>
      <c r="L216" s="117"/>
      <c r="M216" s="117"/>
      <c r="N216" s="117">
        <v>0.71</v>
      </c>
      <c r="O216" s="117">
        <v>0.04</v>
      </c>
      <c r="P216" s="117">
        <v>0.82</v>
      </c>
      <c r="Q216" s="117">
        <v>24.14</v>
      </c>
      <c r="R216" s="117">
        <v>13.33</v>
      </c>
      <c r="S216" s="117">
        <v>5.53</v>
      </c>
      <c r="T216" s="117">
        <v>17.899999999999999</v>
      </c>
      <c r="U216" s="117">
        <v>20.02</v>
      </c>
      <c r="V216" s="117">
        <v>73.56</v>
      </c>
      <c r="W216" s="117">
        <v>32.11</v>
      </c>
      <c r="X216" s="117">
        <v>57.22</v>
      </c>
      <c r="Y216" s="138">
        <v>0.02</v>
      </c>
      <c r="Z216" s="117">
        <f>SUM(B216:Y216)</f>
        <v>245.40000000000003</v>
      </c>
      <c r="AA216" s="185">
        <f>Z216/$Z$220</f>
        <v>7.30837189785076E-3</v>
      </c>
      <c r="AC216" s="117">
        <f t="shared" si="281"/>
        <v>62.47</v>
      </c>
      <c r="AD216" s="117">
        <f t="shared" si="282"/>
        <v>182.91</v>
      </c>
      <c r="AE216" s="117">
        <f t="shared" si="283"/>
        <v>0.02</v>
      </c>
      <c r="AF216" s="117">
        <f>SUM(AC216:AE216)</f>
        <v>245.4</v>
      </c>
      <c r="AG216" s="185">
        <f>AD216/AF216</f>
        <v>0.74535452322738383</v>
      </c>
    </row>
    <row r="217" spans="1:33" x14ac:dyDescent="0.35">
      <c r="A217" s="6" t="s">
        <v>22</v>
      </c>
      <c r="B217" s="12"/>
      <c r="C217" s="12"/>
      <c r="D217" s="12"/>
      <c r="E217" s="12"/>
      <c r="F217" s="12"/>
      <c r="G217" s="12"/>
      <c r="H217" s="12"/>
      <c r="I217" s="12"/>
      <c r="J217" s="12"/>
      <c r="K217" s="12"/>
      <c r="L217" s="12"/>
      <c r="M217" s="12"/>
      <c r="N217" s="12">
        <v>0.71</v>
      </c>
      <c r="O217" s="12">
        <v>0.04</v>
      </c>
      <c r="P217" s="12">
        <v>0.82</v>
      </c>
      <c r="Q217" s="12">
        <v>24.14</v>
      </c>
      <c r="R217" s="12">
        <v>13.33</v>
      </c>
      <c r="S217" s="12">
        <v>5.53</v>
      </c>
      <c r="T217" s="12">
        <v>17.899999999999999</v>
      </c>
      <c r="U217" s="12">
        <v>20.02</v>
      </c>
      <c r="V217" s="12">
        <v>73.56</v>
      </c>
      <c r="W217" s="12">
        <v>32.11</v>
      </c>
      <c r="X217" s="12">
        <v>57.22</v>
      </c>
      <c r="Y217" s="54">
        <v>0.02</v>
      </c>
      <c r="Z217" s="12">
        <f t="shared" si="284"/>
        <v>245.40000000000003</v>
      </c>
      <c r="AA217" s="24">
        <f t="shared" si="285"/>
        <v>7.30837189785076E-3</v>
      </c>
      <c r="AC217" s="89">
        <f t="shared" si="281"/>
        <v>62.47</v>
      </c>
      <c r="AD217" s="89">
        <f t="shared" si="282"/>
        <v>182.91</v>
      </c>
      <c r="AE217" s="89">
        <f t="shared" si="283"/>
        <v>0.02</v>
      </c>
      <c r="AF217" s="89">
        <f t="shared" ref="AF217" si="342">SUM(AC217:AE217)</f>
        <v>245.4</v>
      </c>
      <c r="AG217" s="24">
        <f t="shared" ref="AG217" si="343">AD217/AF217</f>
        <v>0.74535452322738383</v>
      </c>
    </row>
    <row r="218" spans="1:33" x14ac:dyDescent="0.35">
      <c r="A218" s="116" t="s">
        <v>23</v>
      </c>
      <c r="B218" s="117"/>
      <c r="C218" s="117"/>
      <c r="D218" s="117"/>
      <c r="E218" s="117"/>
      <c r="F218" s="117"/>
      <c r="G218" s="117"/>
      <c r="H218" s="117"/>
      <c r="I218" s="117"/>
      <c r="J218" s="117"/>
      <c r="K218" s="117"/>
      <c r="L218" s="117"/>
      <c r="M218" s="117"/>
      <c r="N218" s="117"/>
      <c r="O218" s="117"/>
      <c r="P218" s="117"/>
      <c r="Q218" s="117"/>
      <c r="R218" s="117"/>
      <c r="S218" s="117">
        <v>0.46</v>
      </c>
      <c r="T218" s="117"/>
      <c r="U218" s="117">
        <v>2.41</v>
      </c>
      <c r="V218" s="117"/>
      <c r="W218" s="117">
        <v>10.62</v>
      </c>
      <c r="X218" s="117"/>
      <c r="Y218" s="117">
        <v>0.14000000000000001</v>
      </c>
      <c r="Z218" s="117">
        <f>SUM(B218:Y218)</f>
        <v>13.629999999999999</v>
      </c>
      <c r="AA218" s="185">
        <f>Z218/$Z$220</f>
        <v>4.0592138943645412E-4</v>
      </c>
      <c r="AC218" s="117">
        <f t="shared" si="281"/>
        <v>0.46</v>
      </c>
      <c r="AD218" s="117">
        <f t="shared" si="282"/>
        <v>13.03</v>
      </c>
      <c r="AE218" s="117">
        <f t="shared" si="283"/>
        <v>0.14000000000000001</v>
      </c>
      <c r="AF218" s="117">
        <f>SUM(AC218:AE218)</f>
        <v>13.63</v>
      </c>
      <c r="AG218" s="185">
        <f>AD218/AF218</f>
        <v>0.95597945707997056</v>
      </c>
    </row>
    <row r="219" spans="1:33" x14ac:dyDescent="0.35">
      <c r="A219" s="6" t="s">
        <v>23</v>
      </c>
      <c r="B219" s="12"/>
      <c r="C219" s="12"/>
      <c r="D219" s="12"/>
      <c r="E219" s="12"/>
      <c r="F219" s="12"/>
      <c r="G219" s="12"/>
      <c r="H219" s="12"/>
      <c r="I219" s="12"/>
      <c r="J219" s="12"/>
      <c r="K219" s="12"/>
      <c r="L219" s="12"/>
      <c r="M219" s="12"/>
      <c r="N219" s="12"/>
      <c r="O219" s="12"/>
      <c r="P219" s="12"/>
      <c r="Q219" s="12"/>
      <c r="R219" s="12"/>
      <c r="S219" s="12">
        <v>0.46</v>
      </c>
      <c r="T219" s="12"/>
      <c r="U219" s="12">
        <v>2.41</v>
      </c>
      <c r="V219" s="12"/>
      <c r="W219" s="12">
        <v>10.62</v>
      </c>
      <c r="X219" s="12"/>
      <c r="Y219" s="12">
        <v>0.14000000000000001</v>
      </c>
      <c r="Z219" s="12">
        <f t="shared" si="284"/>
        <v>13.629999999999999</v>
      </c>
      <c r="AA219" s="24">
        <f t="shared" si="285"/>
        <v>4.0592138943645412E-4</v>
      </c>
      <c r="AC219" s="89">
        <f t="shared" si="281"/>
        <v>0.46</v>
      </c>
      <c r="AD219" s="89">
        <f t="shared" si="282"/>
        <v>13.03</v>
      </c>
      <c r="AE219" s="89">
        <f t="shared" si="283"/>
        <v>0.14000000000000001</v>
      </c>
      <c r="AF219" s="89">
        <f t="shared" ref="AF219" si="344">SUM(AC219:AE219)</f>
        <v>13.63</v>
      </c>
      <c r="AG219" s="24">
        <f t="shared" ref="AG219:AG220" si="345">AD219/AF219</f>
        <v>0.95597945707997056</v>
      </c>
    </row>
    <row r="220" spans="1:33" ht="15.5" x14ac:dyDescent="0.35">
      <c r="A220" s="179" t="s">
        <v>25</v>
      </c>
      <c r="B220" s="213">
        <f>SUM(B218,B216,B214,B212,B210,B207,B204,B194,B188,B183,B179,B175,B166)</f>
        <v>327.55</v>
      </c>
      <c r="C220" s="213">
        <f t="shared" ref="C220:Z220" si="346">SUM(C218,C216,C214,C212,C210,C207,C204,C194,C188,C183,C179,C175,C166)</f>
        <v>175.21999999999997</v>
      </c>
      <c r="D220" s="213">
        <f t="shared" si="346"/>
        <v>40.490000000000009</v>
      </c>
      <c r="E220" s="213">
        <f t="shared" si="346"/>
        <v>59.64</v>
      </c>
      <c r="F220" s="213">
        <f t="shared" si="346"/>
        <v>78.170000000000016</v>
      </c>
      <c r="G220" s="213">
        <f t="shared" si="346"/>
        <v>93.210000000000008</v>
      </c>
      <c r="H220" s="213">
        <f t="shared" si="346"/>
        <v>124.83999999999999</v>
      </c>
      <c r="I220" s="213">
        <f t="shared" si="346"/>
        <v>154.70999999999998</v>
      </c>
      <c r="J220" s="213">
        <f t="shared" si="346"/>
        <v>120.04999999999998</v>
      </c>
      <c r="K220" s="213">
        <f t="shared" si="346"/>
        <v>68.87</v>
      </c>
      <c r="L220" s="213">
        <f t="shared" si="346"/>
        <v>159.62</v>
      </c>
      <c r="M220" s="213">
        <f t="shared" si="346"/>
        <v>298.96999999999997</v>
      </c>
      <c r="N220" s="213">
        <f t="shared" si="346"/>
        <v>197.32</v>
      </c>
      <c r="O220" s="213">
        <f t="shared" si="346"/>
        <v>370.56</v>
      </c>
      <c r="P220" s="213">
        <f t="shared" si="346"/>
        <v>433.89000000000004</v>
      </c>
      <c r="Q220" s="213">
        <f t="shared" si="346"/>
        <v>846.1400000000001</v>
      </c>
      <c r="R220" s="213">
        <f t="shared" si="346"/>
        <v>2108.75</v>
      </c>
      <c r="S220" s="213">
        <f t="shared" si="346"/>
        <v>2203.04</v>
      </c>
      <c r="T220" s="213">
        <f t="shared" si="346"/>
        <v>3270.7400000000007</v>
      </c>
      <c r="U220" s="213">
        <f t="shared" si="346"/>
        <v>5587.94</v>
      </c>
      <c r="V220" s="213">
        <f t="shared" si="346"/>
        <v>6162.9700000000021</v>
      </c>
      <c r="W220" s="213">
        <f t="shared" si="346"/>
        <v>6192.5199999999986</v>
      </c>
      <c r="X220" s="213">
        <f t="shared" si="346"/>
        <v>4475.55</v>
      </c>
      <c r="Y220" s="213">
        <f t="shared" si="346"/>
        <v>27.17</v>
      </c>
      <c r="Z220" s="213">
        <f t="shared" si="346"/>
        <v>33577.930000000008</v>
      </c>
      <c r="AA220" s="213">
        <f>SUM(AA218,AA216,AA214,AA212,AA210,AA207,AA204,AA194,AA188,AA183,AA179,AA175,AA166)</f>
        <v>0.99999999999999989</v>
      </c>
      <c r="AC220" s="213">
        <f t="shared" si="281"/>
        <v>11131.78</v>
      </c>
      <c r="AD220" s="213">
        <f t="shared" si="282"/>
        <v>22418.98</v>
      </c>
      <c r="AE220" s="213">
        <f t="shared" si="283"/>
        <v>27.17</v>
      </c>
      <c r="AF220" s="213">
        <f>SUM(AC220:AE220)</f>
        <v>33577.93</v>
      </c>
      <c r="AG220" s="204">
        <f t="shared" si="345"/>
        <v>0.66767010354718115</v>
      </c>
    </row>
    <row r="221" spans="1:33" x14ac:dyDescent="0.35">
      <c r="A221" s="378" t="s">
        <v>253</v>
      </c>
      <c r="B221" s="379"/>
      <c r="C221" s="379">
        <f>C220+B220</f>
        <v>502.77</v>
      </c>
      <c r="D221" s="379">
        <f>D220+C221</f>
        <v>543.26</v>
      </c>
      <c r="E221" s="379">
        <f>E220+D221</f>
        <v>602.9</v>
      </c>
      <c r="F221" s="379">
        <f t="shared" ref="F221" si="347">F220+E221</f>
        <v>681.06999999999994</v>
      </c>
      <c r="G221" s="379">
        <f t="shared" ref="G221" si="348">G220+F221</f>
        <v>774.28</v>
      </c>
      <c r="H221" s="379">
        <f t="shared" ref="H221" si="349">H220+G221</f>
        <v>899.12</v>
      </c>
      <c r="I221" s="379">
        <f t="shared" ref="I221" si="350">I220+H221</f>
        <v>1053.83</v>
      </c>
      <c r="J221" s="379">
        <f t="shared" ref="J221" si="351">J220+I221</f>
        <v>1173.8799999999999</v>
      </c>
      <c r="K221" s="379">
        <f t="shared" ref="K221" si="352">K220+J221</f>
        <v>1242.75</v>
      </c>
      <c r="L221" s="379">
        <f t="shared" ref="L221" si="353">L220+K221</f>
        <v>1402.37</v>
      </c>
      <c r="M221" s="379">
        <f t="shared" ref="M221" si="354">M220+L221</f>
        <v>1701.34</v>
      </c>
      <c r="N221" s="379">
        <f t="shared" ref="N221" si="355">N220+M221</f>
        <v>1898.6599999999999</v>
      </c>
      <c r="O221" s="379">
        <f t="shared" ref="O221" si="356">O220+N221</f>
        <v>2269.2199999999998</v>
      </c>
      <c r="P221" s="379">
        <f t="shared" ref="P221" si="357">P220+O221</f>
        <v>2703.1099999999997</v>
      </c>
      <c r="Q221" s="379">
        <f t="shared" ref="Q221" si="358">Q220+P221</f>
        <v>3549.25</v>
      </c>
      <c r="R221" s="379">
        <f t="shared" ref="R221" si="359">R220+Q221</f>
        <v>5658</v>
      </c>
      <c r="S221" s="379">
        <f t="shared" ref="S221" si="360">S220+R221</f>
        <v>7861.04</v>
      </c>
      <c r="T221" s="379">
        <f t="shared" ref="T221" si="361">T220+S221</f>
        <v>11131.78</v>
      </c>
      <c r="U221" s="379">
        <f t="shared" ref="U221" si="362">U220+T221</f>
        <v>16719.72</v>
      </c>
      <c r="V221" s="379">
        <f t="shared" ref="V221" si="363">V220+U221</f>
        <v>22882.690000000002</v>
      </c>
      <c r="W221" s="379">
        <f t="shared" ref="W221" si="364">W220+V221</f>
        <v>29075.21</v>
      </c>
      <c r="X221" s="379">
        <f t="shared" ref="X221" si="365">X220+W221</f>
        <v>33550.76</v>
      </c>
    </row>
    <row r="222" spans="1:33" x14ac:dyDescent="0.35">
      <c r="A222" s="380" t="s">
        <v>254</v>
      </c>
      <c r="B222" s="379"/>
      <c r="C222" s="381"/>
      <c r="D222" s="381">
        <f>D221/C221-1</f>
        <v>8.0533842512480858E-2</v>
      </c>
      <c r="E222" s="381">
        <f t="shared" ref="E222" si="366">E221/D221-1</f>
        <v>0.10978168832603163</v>
      </c>
      <c r="F222" s="381">
        <f t="shared" ref="F222" si="367">F221/E221-1</f>
        <v>0.12965665947918392</v>
      </c>
      <c r="G222" s="381">
        <f t="shared" ref="G222" si="368">G221/F221-1</f>
        <v>0.13685817904180198</v>
      </c>
      <c r="H222" s="381">
        <f t="shared" ref="H222" si="369">H221/G221-1</f>
        <v>0.16123366224104974</v>
      </c>
      <c r="I222" s="381">
        <f t="shared" ref="I222" si="370">I221/H221-1</f>
        <v>0.17206824450573888</v>
      </c>
      <c r="J222" s="381">
        <f t="shared" ref="J222" si="371">J221/I221-1</f>
        <v>0.11391780457948619</v>
      </c>
      <c r="K222" s="381">
        <f t="shared" ref="K222" si="372">K221/J221-1</f>
        <v>5.8668688451971374E-2</v>
      </c>
      <c r="L222" s="381">
        <f t="shared" ref="L222" si="373">L221/K221-1</f>
        <v>0.12844095755381213</v>
      </c>
      <c r="M222" s="381">
        <f t="shared" ref="M222" si="374">M221/L221-1</f>
        <v>0.21318910130707303</v>
      </c>
      <c r="N222" s="381">
        <f t="shared" ref="N222" si="375">N221/M221-1</f>
        <v>0.11597916936062158</v>
      </c>
      <c r="O222" s="381">
        <f t="shared" ref="O222" si="376">O221/N221-1</f>
        <v>0.19516922461104147</v>
      </c>
      <c r="P222" s="381">
        <f t="shared" ref="P222" si="377">P221/O221-1</f>
        <v>0.19120667013334969</v>
      </c>
      <c r="Q222" s="381">
        <f t="shared" ref="Q222" si="378">Q221/P221-1</f>
        <v>0.31302462718868274</v>
      </c>
      <c r="R222" s="381">
        <f t="shared" ref="R222" si="379">R221/Q221-1</f>
        <v>0.59413960695921664</v>
      </c>
      <c r="S222" s="381">
        <f t="shared" ref="S222" si="380">S221/R221-1</f>
        <v>0.38936726758571938</v>
      </c>
      <c r="T222" s="381">
        <f t="shared" ref="T222" si="381">T221/S221-1</f>
        <v>0.41606962946378601</v>
      </c>
      <c r="U222" s="381">
        <f t="shared" ref="U222" si="382">U221/T221-1</f>
        <v>0.50198081528740235</v>
      </c>
      <c r="V222" s="381">
        <f t="shared" ref="V222" si="383">V221/U221-1</f>
        <v>0.3686048570191367</v>
      </c>
      <c r="W222" s="381">
        <f t="shared" ref="W222" si="384">W221/V221-1</f>
        <v>0.27062028109457392</v>
      </c>
      <c r="X222" s="381">
        <f t="shared" ref="X222" si="385">X221/W221-1</f>
        <v>0.15393010059084711</v>
      </c>
    </row>
    <row r="223" spans="1:33" x14ac:dyDescent="0.35">
      <c r="A223" s="380"/>
      <c r="B223" s="379"/>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row>
    <row r="224" spans="1:33" ht="15.5" x14ac:dyDescent="0.35">
      <c r="A224" s="179" t="s">
        <v>99</v>
      </c>
      <c r="B224" s="122" t="s">
        <v>100</v>
      </c>
      <c r="C224" s="122">
        <v>2000</v>
      </c>
      <c r="D224" s="122">
        <v>2001</v>
      </c>
      <c r="E224" s="122">
        <v>2002</v>
      </c>
      <c r="F224" s="122">
        <v>2003</v>
      </c>
      <c r="G224" s="122">
        <v>2004</v>
      </c>
      <c r="H224" s="122">
        <v>2005</v>
      </c>
      <c r="I224" s="122">
        <v>2006</v>
      </c>
      <c r="J224" s="122">
        <v>2007</v>
      </c>
      <c r="K224" s="122">
        <v>2008</v>
      </c>
      <c r="L224" s="122">
        <v>2009</v>
      </c>
      <c r="M224" s="122">
        <v>2010</v>
      </c>
      <c r="N224" s="122">
        <v>2011</v>
      </c>
      <c r="O224" s="122">
        <v>2012</v>
      </c>
      <c r="P224" s="122">
        <v>2013</v>
      </c>
      <c r="Q224" s="122">
        <v>2014</v>
      </c>
      <c r="R224" s="122">
        <v>2015</v>
      </c>
      <c r="S224" s="122">
        <v>2016</v>
      </c>
      <c r="T224" s="122">
        <v>2017</v>
      </c>
      <c r="U224" s="122">
        <v>2018</v>
      </c>
      <c r="V224" s="122">
        <v>2019</v>
      </c>
      <c r="W224" s="122">
        <v>2020</v>
      </c>
      <c r="X224" s="123">
        <v>2021</v>
      </c>
      <c r="Y224" s="123" t="s">
        <v>90</v>
      </c>
    </row>
    <row r="225" spans="1:25" x14ac:dyDescent="0.35">
      <c r="A225" s="116" t="s">
        <v>5</v>
      </c>
      <c r="B225" s="22">
        <f t="shared" ref="B225:Y225" si="386">B166/$Z$166</f>
        <v>1.2420038624090546E-2</v>
      </c>
      <c r="C225" s="22">
        <f t="shared" si="386"/>
        <v>1.5357830231055998E-2</v>
      </c>
      <c r="D225" s="22">
        <f t="shared" si="386"/>
        <v>0</v>
      </c>
      <c r="E225" s="22">
        <f t="shared" si="386"/>
        <v>5.5411471158165328E-4</v>
      </c>
      <c r="F225" s="22">
        <f t="shared" si="386"/>
        <v>2.1541619260896224E-3</v>
      </c>
      <c r="G225" s="22">
        <f t="shared" si="386"/>
        <v>1.1475748464708795E-4</v>
      </c>
      <c r="H225" s="22">
        <f t="shared" si="386"/>
        <v>5.8198438642451744E-3</v>
      </c>
      <c r="I225" s="22">
        <f t="shared" si="386"/>
        <v>6.6297038273260521E-3</v>
      </c>
      <c r="J225" s="22">
        <f t="shared" si="386"/>
        <v>7.8002301707263497E-3</v>
      </c>
      <c r="K225" s="22">
        <f t="shared" si="386"/>
        <v>3.6951910056362319E-3</v>
      </c>
      <c r="L225" s="22">
        <f t="shared" si="386"/>
        <v>3.3279670547655509E-3</v>
      </c>
      <c r="M225" s="22">
        <f t="shared" si="386"/>
        <v>1.8036597801246591E-2</v>
      </c>
      <c r="N225" s="22">
        <f t="shared" si="386"/>
        <v>1.5547999777042602E-2</v>
      </c>
      <c r="O225" s="22">
        <f t="shared" si="386"/>
        <v>5.0755596066769182E-3</v>
      </c>
      <c r="P225" s="22">
        <f t="shared" si="386"/>
        <v>2.1803922082946712E-2</v>
      </c>
      <c r="Q225" s="22">
        <f t="shared" si="386"/>
        <v>3.5574820240597264E-2</v>
      </c>
      <c r="R225" s="22">
        <f t="shared" si="386"/>
        <v>5.8824686630097281E-2</v>
      </c>
      <c r="S225" s="22">
        <f t="shared" si="386"/>
        <v>8.4163139240174309E-2</v>
      </c>
      <c r="T225" s="22">
        <f t="shared" si="386"/>
        <v>9.7068438085058259E-2</v>
      </c>
      <c r="U225" s="22">
        <f t="shared" si="386"/>
        <v>0.11391155804597512</v>
      </c>
      <c r="V225" s="22">
        <f t="shared" si="386"/>
        <v>9.7638946723018052E-2</v>
      </c>
      <c r="W225" s="22">
        <f t="shared" si="386"/>
        <v>0.25909944883619518</v>
      </c>
      <c r="X225" s="22">
        <f t="shared" si="386"/>
        <v>0.13490234138056534</v>
      </c>
      <c r="Y225" s="384">
        <f t="shared" si="386"/>
        <v>4.7870265024213847E-4</v>
      </c>
    </row>
    <row r="226" spans="1:25" x14ac:dyDescent="0.35">
      <c r="A226" s="116" t="s">
        <v>12</v>
      </c>
      <c r="B226" s="22">
        <f t="shared" ref="B226:Y226" si="387">B175/$Z$175</f>
        <v>7.3272854152128409E-3</v>
      </c>
      <c r="C226" s="22">
        <f t="shared" si="387"/>
        <v>1.2024263245477482E-2</v>
      </c>
      <c r="D226" s="22">
        <f t="shared" si="387"/>
        <v>0</v>
      </c>
      <c r="E226" s="22">
        <f t="shared" si="387"/>
        <v>0</v>
      </c>
      <c r="F226" s="22">
        <f t="shared" si="387"/>
        <v>0</v>
      </c>
      <c r="G226" s="22">
        <f t="shared" si="387"/>
        <v>0</v>
      </c>
      <c r="H226" s="22">
        <f t="shared" si="387"/>
        <v>0</v>
      </c>
      <c r="I226" s="22">
        <f t="shared" si="387"/>
        <v>0</v>
      </c>
      <c r="J226" s="22">
        <f t="shared" si="387"/>
        <v>2.5766278383166034E-3</v>
      </c>
      <c r="K226" s="22">
        <f t="shared" si="387"/>
        <v>0</v>
      </c>
      <c r="L226" s="22">
        <f t="shared" si="387"/>
        <v>6.5489290890546996E-3</v>
      </c>
      <c r="M226" s="22">
        <f t="shared" si="387"/>
        <v>2.0398303720006441E-3</v>
      </c>
      <c r="N226" s="22">
        <f t="shared" si="387"/>
        <v>0</v>
      </c>
      <c r="O226" s="22">
        <f t="shared" si="387"/>
        <v>2.845026571474583E-3</v>
      </c>
      <c r="P226" s="22">
        <f t="shared" si="387"/>
        <v>2.1257179666111976E-2</v>
      </c>
      <c r="Q226" s="22">
        <f t="shared" si="387"/>
        <v>8.5082398411079497E-3</v>
      </c>
      <c r="R226" s="22">
        <f t="shared" si="387"/>
        <v>5.0781040313489727E-2</v>
      </c>
      <c r="S226" s="22">
        <f t="shared" si="387"/>
        <v>3.462343657737936E-2</v>
      </c>
      <c r="T226" s="22">
        <f t="shared" si="387"/>
        <v>0.16420634494605188</v>
      </c>
      <c r="U226" s="22">
        <f t="shared" si="387"/>
        <v>0.30138493746309519</v>
      </c>
      <c r="V226" s="22">
        <f t="shared" si="387"/>
        <v>0.22701164850501906</v>
      </c>
      <c r="W226" s="22">
        <f t="shared" si="387"/>
        <v>9.9468570508347218E-2</v>
      </c>
      <c r="X226" s="22">
        <f t="shared" si="387"/>
        <v>5.7437328895807611E-2</v>
      </c>
      <c r="Y226" s="384">
        <f t="shared" si="387"/>
        <v>1.9593107520532505E-3</v>
      </c>
    </row>
    <row r="227" spans="1:25" x14ac:dyDescent="0.35">
      <c r="A227" s="116" t="s">
        <v>13</v>
      </c>
      <c r="B227" s="22">
        <f t="shared" ref="B227:Y227" si="388">B179/$Z$179</f>
        <v>2.6574919919326132E-2</v>
      </c>
      <c r="C227" s="22">
        <f t="shared" si="388"/>
        <v>0</v>
      </c>
      <c r="D227" s="22">
        <f t="shared" si="388"/>
        <v>0</v>
      </c>
      <c r="E227" s="22">
        <f t="shared" si="388"/>
        <v>0</v>
      </c>
      <c r="F227" s="22">
        <f t="shared" si="388"/>
        <v>0</v>
      </c>
      <c r="G227" s="22">
        <f t="shared" si="388"/>
        <v>0</v>
      </c>
      <c r="H227" s="22">
        <f t="shared" si="388"/>
        <v>0</v>
      </c>
      <c r="I227" s="22">
        <f t="shared" si="388"/>
        <v>0</v>
      </c>
      <c r="J227" s="22">
        <f t="shared" si="388"/>
        <v>3.7786214260291849E-2</v>
      </c>
      <c r="K227" s="22">
        <f t="shared" si="388"/>
        <v>0.12884090639459009</v>
      </c>
      <c r="L227" s="22">
        <f t="shared" si="388"/>
        <v>1.8982085656661526E-3</v>
      </c>
      <c r="M227" s="22">
        <f t="shared" si="388"/>
        <v>0</v>
      </c>
      <c r="N227" s="22">
        <f t="shared" si="388"/>
        <v>6.7030489975086005E-3</v>
      </c>
      <c r="O227" s="22">
        <f t="shared" si="388"/>
        <v>3.4523668288053151E-2</v>
      </c>
      <c r="P227" s="22">
        <f t="shared" si="388"/>
        <v>7.652153280341677E-3</v>
      </c>
      <c r="Q227" s="22">
        <f t="shared" si="388"/>
        <v>3.6540514889073436E-2</v>
      </c>
      <c r="R227" s="22">
        <f t="shared" si="388"/>
        <v>6.7149128010440137E-2</v>
      </c>
      <c r="S227" s="22">
        <f t="shared" si="388"/>
        <v>1.2753588800569461E-2</v>
      </c>
      <c r="T227" s="22">
        <f t="shared" si="388"/>
        <v>0.15328034167754181</v>
      </c>
      <c r="U227" s="22">
        <f t="shared" si="388"/>
        <v>8.5597342508008073E-2</v>
      </c>
      <c r="V227" s="22">
        <f t="shared" si="388"/>
        <v>0.12166330525566495</v>
      </c>
      <c r="W227" s="22">
        <f t="shared" si="388"/>
        <v>0.1557124214023016</v>
      </c>
      <c r="X227" s="22">
        <f t="shared" si="388"/>
        <v>0.12219717641475857</v>
      </c>
      <c r="Y227" s="384">
        <f t="shared" si="388"/>
        <v>1.127061335864278E-3</v>
      </c>
    </row>
    <row r="228" spans="1:25" x14ac:dyDescent="0.35">
      <c r="A228" s="116" t="s">
        <v>14</v>
      </c>
      <c r="B228" s="22">
        <f t="shared" ref="B228:Y228" si="389">B183/$Z$183</f>
        <v>0.51987253253076027</v>
      </c>
      <c r="C228" s="22">
        <f t="shared" si="389"/>
        <v>7.984420642648489E-2</v>
      </c>
      <c r="D228" s="22">
        <f t="shared" si="389"/>
        <v>5.3111445516508789E-3</v>
      </c>
      <c r="E228" s="22">
        <f t="shared" si="389"/>
        <v>1.1551739399840662E-2</v>
      </c>
      <c r="F228" s="22">
        <f t="shared" si="389"/>
        <v>7.9667168274763186E-4</v>
      </c>
      <c r="G228" s="22">
        <f t="shared" si="389"/>
        <v>1.6287509958396031E-2</v>
      </c>
      <c r="H228" s="22">
        <f t="shared" si="389"/>
        <v>0</v>
      </c>
      <c r="I228" s="22">
        <f t="shared" si="389"/>
        <v>1.7703815172169599E-4</v>
      </c>
      <c r="J228" s="22">
        <f t="shared" si="389"/>
        <v>3.5407630344339198E-4</v>
      </c>
      <c r="K228" s="22">
        <f t="shared" si="389"/>
        <v>0</v>
      </c>
      <c r="L228" s="22">
        <f t="shared" si="389"/>
        <v>1.2923785075683807E-2</v>
      </c>
      <c r="M228" s="22">
        <f t="shared" si="389"/>
        <v>5.9307780826768151E-2</v>
      </c>
      <c r="N228" s="22">
        <f t="shared" si="389"/>
        <v>4.6472514826945196E-3</v>
      </c>
      <c r="O228" s="22">
        <f t="shared" si="389"/>
        <v>6.6389306895635986E-4</v>
      </c>
      <c r="P228" s="22">
        <f t="shared" si="389"/>
        <v>0</v>
      </c>
      <c r="Q228" s="22">
        <f t="shared" si="389"/>
        <v>0</v>
      </c>
      <c r="R228" s="22">
        <f t="shared" si="389"/>
        <v>0</v>
      </c>
      <c r="S228" s="22">
        <f t="shared" si="389"/>
        <v>1.5579357351509249E-2</v>
      </c>
      <c r="T228" s="22">
        <f t="shared" si="389"/>
        <v>1.5800655041161366E-2</v>
      </c>
      <c r="U228" s="22">
        <f t="shared" si="389"/>
        <v>0.11724351597769317</v>
      </c>
      <c r="V228" s="22">
        <f t="shared" si="389"/>
        <v>6.8912100557670164E-2</v>
      </c>
      <c r="W228" s="22">
        <f t="shared" si="389"/>
        <v>6.1387979109498086E-2</v>
      </c>
      <c r="X228" s="22">
        <f t="shared" si="389"/>
        <v>9.3387625033194629E-3</v>
      </c>
      <c r="Y228" s="385">
        <f t="shared" si="389"/>
        <v>0</v>
      </c>
    </row>
    <row r="229" spans="1:25" x14ac:dyDescent="0.35">
      <c r="A229" s="116" t="s">
        <v>15</v>
      </c>
      <c r="B229" s="22">
        <f t="shared" ref="B229:Y229" si="390">B188/$Z$188</f>
        <v>5.7884313934160186E-3</v>
      </c>
      <c r="C229" s="22">
        <f t="shared" si="390"/>
        <v>3.7349849778767841E-3</v>
      </c>
      <c r="D229" s="22">
        <f t="shared" si="390"/>
        <v>1.4880101377081614E-3</v>
      </c>
      <c r="E229" s="22">
        <f t="shared" si="390"/>
        <v>2.0958636044991004E-3</v>
      </c>
      <c r="F229" s="22">
        <f t="shared" si="390"/>
        <v>2.704853245994321E-3</v>
      </c>
      <c r="G229" s="22">
        <f t="shared" si="390"/>
        <v>3.3426259799980229E-3</v>
      </c>
      <c r="H229" s="22">
        <f t="shared" si="390"/>
        <v>3.4361710306505841E-3</v>
      </c>
      <c r="I229" s="22">
        <f t="shared" si="390"/>
        <v>4.9116832466116426E-3</v>
      </c>
      <c r="J229" s="22">
        <f t="shared" si="390"/>
        <v>3.3589111507593998E-3</v>
      </c>
      <c r="K229" s="22">
        <f t="shared" si="390"/>
        <v>1.3422010506586215E-3</v>
      </c>
      <c r="L229" s="22">
        <f t="shared" si="390"/>
        <v>4.967734532022895E-3</v>
      </c>
      <c r="M229" s="22">
        <f t="shared" si="390"/>
        <v>8.0675978502059674E-3</v>
      </c>
      <c r="N229" s="22">
        <f t="shared" si="390"/>
        <v>5.0029559478556402E-3</v>
      </c>
      <c r="O229" s="22">
        <f t="shared" si="390"/>
        <v>9.7286852678664399E-3</v>
      </c>
      <c r="P229" s="22">
        <f t="shared" si="390"/>
        <v>1.1687829182950259E-2</v>
      </c>
      <c r="Q229" s="22">
        <f t="shared" si="390"/>
        <v>2.1685409130830141E-2</v>
      </c>
      <c r="R229" s="22">
        <f t="shared" si="390"/>
        <v>6.3765154203524479E-2</v>
      </c>
      <c r="S229" s="22">
        <f t="shared" si="390"/>
        <v>6.4641144900525999E-2</v>
      </c>
      <c r="T229" s="22">
        <f t="shared" si="390"/>
        <v>9.9953833434515998E-2</v>
      </c>
      <c r="U229" s="22">
        <f t="shared" si="390"/>
        <v>0.17100262494229174</v>
      </c>
      <c r="V229" s="22">
        <f t="shared" si="390"/>
        <v>0.19264372325965498</v>
      </c>
      <c r="W229" s="22">
        <f t="shared" si="390"/>
        <v>0.17740610557562583</v>
      </c>
      <c r="X229" s="22">
        <f t="shared" si="390"/>
        <v>0.13658675697488182</v>
      </c>
      <c r="Y229" s="384">
        <f t="shared" si="390"/>
        <v>6.5670897907507035E-4</v>
      </c>
    </row>
    <row r="230" spans="1:25" x14ac:dyDescent="0.35">
      <c r="A230" s="116" t="s">
        <v>16</v>
      </c>
      <c r="B230" s="22">
        <f t="shared" ref="B230:Y230" si="391">B194/$Z$194</f>
        <v>3.5757245114600663E-3</v>
      </c>
      <c r="C230" s="22">
        <f t="shared" si="391"/>
        <v>5.6527997791464273E-4</v>
      </c>
      <c r="D230" s="22">
        <f t="shared" si="391"/>
        <v>0</v>
      </c>
      <c r="E230" s="22">
        <f t="shared" si="391"/>
        <v>0</v>
      </c>
      <c r="F230" s="22">
        <f t="shared" si="391"/>
        <v>0</v>
      </c>
      <c r="G230" s="22">
        <f t="shared" si="391"/>
        <v>4.9297672492556056E-4</v>
      </c>
      <c r="H230" s="22">
        <f t="shared" si="391"/>
        <v>1.0740319580378212E-2</v>
      </c>
      <c r="I230" s="22">
        <f t="shared" si="391"/>
        <v>2.1033673596823916E-4</v>
      </c>
      <c r="J230" s="22">
        <f t="shared" si="391"/>
        <v>0</v>
      </c>
      <c r="K230" s="22">
        <f t="shared" si="391"/>
        <v>2.8921301195632885E-4</v>
      </c>
      <c r="L230" s="22">
        <f t="shared" si="391"/>
        <v>7.7430210928308039E-3</v>
      </c>
      <c r="M230" s="22">
        <f t="shared" si="391"/>
        <v>9.2022321986104643E-3</v>
      </c>
      <c r="N230" s="22">
        <f t="shared" si="391"/>
        <v>7.6444257478456915E-3</v>
      </c>
      <c r="O230" s="22">
        <f t="shared" si="391"/>
        <v>2.3938949762385222E-2</v>
      </c>
      <c r="P230" s="22">
        <f t="shared" si="391"/>
        <v>1.9377271801074035E-2</v>
      </c>
      <c r="Q230" s="22">
        <f t="shared" si="391"/>
        <v>2.2289120989634346E-2</v>
      </c>
      <c r="R230" s="22">
        <f t="shared" si="391"/>
        <v>4.4617680117262741E-2</v>
      </c>
      <c r="S230" s="22">
        <f t="shared" si="391"/>
        <v>6.3449391009419154E-2</v>
      </c>
      <c r="T230" s="22">
        <f t="shared" si="391"/>
        <v>9.1936872687117546E-2</v>
      </c>
      <c r="U230" s="22">
        <f t="shared" si="391"/>
        <v>0.19120266601812841</v>
      </c>
      <c r="V230" s="22">
        <f t="shared" si="391"/>
        <v>0.18374885793725396</v>
      </c>
      <c r="W230" s="22">
        <f t="shared" si="391"/>
        <v>0.19706580253324307</v>
      </c>
      <c r="X230" s="22">
        <f t="shared" si="391"/>
        <v>0.11969474881192611</v>
      </c>
      <c r="Y230" s="384">
        <f t="shared" si="391"/>
        <v>2.2151087506655188E-3</v>
      </c>
    </row>
    <row r="231" spans="1:25" x14ac:dyDescent="0.35">
      <c r="A231" s="116" t="s">
        <v>18</v>
      </c>
      <c r="B231" s="22">
        <f t="shared" ref="B231:Y231" si="392">B210/$Z$210</f>
        <v>0</v>
      </c>
      <c r="C231" s="22">
        <f t="shared" si="392"/>
        <v>0</v>
      </c>
      <c r="D231" s="22">
        <f t="shared" si="392"/>
        <v>0</v>
      </c>
      <c r="E231" s="22">
        <f t="shared" si="392"/>
        <v>0</v>
      </c>
      <c r="F231" s="22">
        <f t="shared" si="392"/>
        <v>0</v>
      </c>
      <c r="G231" s="22">
        <f t="shared" si="392"/>
        <v>0</v>
      </c>
      <c r="H231" s="22">
        <f t="shared" si="392"/>
        <v>0</v>
      </c>
      <c r="I231" s="22">
        <f t="shared" si="392"/>
        <v>0</v>
      </c>
      <c r="J231" s="22">
        <f t="shared" si="392"/>
        <v>0</v>
      </c>
      <c r="K231" s="22">
        <f t="shared" si="392"/>
        <v>0</v>
      </c>
      <c r="L231" s="22">
        <f t="shared" si="392"/>
        <v>0</v>
      </c>
      <c r="M231" s="22">
        <f t="shared" si="392"/>
        <v>0</v>
      </c>
      <c r="N231" s="22">
        <f t="shared" si="392"/>
        <v>0</v>
      </c>
      <c r="O231" s="22">
        <f t="shared" si="392"/>
        <v>1</v>
      </c>
      <c r="P231" s="22">
        <f t="shared" si="392"/>
        <v>0</v>
      </c>
      <c r="Q231" s="22">
        <f t="shared" si="392"/>
        <v>0</v>
      </c>
      <c r="R231" s="22">
        <f t="shared" si="392"/>
        <v>0</v>
      </c>
      <c r="S231" s="22">
        <f t="shared" si="392"/>
        <v>0</v>
      </c>
      <c r="T231" s="22">
        <f t="shared" si="392"/>
        <v>0</v>
      </c>
      <c r="U231" s="22">
        <f t="shared" si="392"/>
        <v>0</v>
      </c>
      <c r="V231" s="22">
        <f t="shared" si="392"/>
        <v>0</v>
      </c>
      <c r="W231" s="22">
        <f t="shared" si="392"/>
        <v>0</v>
      </c>
      <c r="X231" s="22">
        <f t="shared" si="392"/>
        <v>0</v>
      </c>
      <c r="Y231" s="385">
        <f t="shared" si="392"/>
        <v>0</v>
      </c>
    </row>
    <row r="232" spans="1:25" x14ac:dyDescent="0.35">
      <c r="A232" s="116" t="s">
        <v>17</v>
      </c>
      <c r="B232" s="22">
        <f t="shared" ref="B232:Y232" si="393">B204/$Z$204</f>
        <v>5.0455649565543442E-3</v>
      </c>
      <c r="C232" s="22">
        <f t="shared" si="393"/>
        <v>2.4290441955625115E-3</v>
      </c>
      <c r="D232" s="22">
        <f t="shared" si="393"/>
        <v>0</v>
      </c>
      <c r="E232" s="22">
        <f t="shared" si="393"/>
        <v>0</v>
      </c>
      <c r="F232" s="22">
        <f t="shared" si="393"/>
        <v>0</v>
      </c>
      <c r="G232" s="22">
        <f t="shared" si="393"/>
        <v>0</v>
      </c>
      <c r="H232" s="22">
        <f t="shared" si="393"/>
        <v>1.6302310037332292E-5</v>
      </c>
      <c r="I232" s="22">
        <f t="shared" si="393"/>
        <v>3.6191128282877681E-3</v>
      </c>
      <c r="J232" s="22">
        <f t="shared" si="393"/>
        <v>0</v>
      </c>
      <c r="K232" s="22">
        <f t="shared" si="393"/>
        <v>0</v>
      </c>
      <c r="L232" s="22">
        <f t="shared" si="393"/>
        <v>4.4016237100797187E-4</v>
      </c>
      <c r="M232" s="22">
        <f t="shared" si="393"/>
        <v>2.2660210951891886E-3</v>
      </c>
      <c r="N232" s="22">
        <f t="shared" si="393"/>
        <v>2.6735788461224957E-3</v>
      </c>
      <c r="O232" s="22">
        <f t="shared" si="393"/>
        <v>4.447270178184249E-2</v>
      </c>
      <c r="P232" s="22">
        <f t="shared" si="393"/>
        <v>1.2658743743988524E-2</v>
      </c>
      <c r="Q232" s="22">
        <f t="shared" si="393"/>
        <v>7.9612331067312234E-2</v>
      </c>
      <c r="R232" s="22">
        <f t="shared" si="393"/>
        <v>6.9830945044912884E-2</v>
      </c>
      <c r="S232" s="22">
        <f t="shared" si="393"/>
        <v>6.7304086989126363E-2</v>
      </c>
      <c r="T232" s="22">
        <f t="shared" si="393"/>
        <v>5.6683131999804369E-2</v>
      </c>
      <c r="U232" s="22">
        <f t="shared" si="393"/>
        <v>0.16810942110497062</v>
      </c>
      <c r="V232" s="22">
        <f t="shared" si="393"/>
        <v>0.20314308537519765</v>
      </c>
      <c r="W232" s="22">
        <f t="shared" si="393"/>
        <v>0.19502453497660613</v>
      </c>
      <c r="X232" s="22">
        <f t="shared" si="393"/>
        <v>8.372051319671997E-2</v>
      </c>
      <c r="Y232" s="384">
        <f t="shared" si="393"/>
        <v>2.9507181167571436E-3</v>
      </c>
    </row>
    <row r="233" spans="1:25" x14ac:dyDescent="0.35">
      <c r="A233" s="116" t="s">
        <v>20</v>
      </c>
      <c r="B233" s="22">
        <f t="shared" ref="B233:Y233" si="394">B212/$Z$212</f>
        <v>3.3045713236644022E-3</v>
      </c>
      <c r="C233" s="22">
        <f t="shared" si="394"/>
        <v>6.241968055810538E-2</v>
      </c>
      <c r="D233" s="22">
        <f t="shared" si="394"/>
        <v>0</v>
      </c>
      <c r="E233" s="22">
        <f t="shared" si="394"/>
        <v>0</v>
      </c>
      <c r="F233" s="22">
        <f t="shared" si="394"/>
        <v>0</v>
      </c>
      <c r="G233" s="22">
        <f t="shared" si="394"/>
        <v>3.1209840279052691E-3</v>
      </c>
      <c r="H233" s="22">
        <f t="shared" si="394"/>
        <v>0</v>
      </c>
      <c r="I233" s="22">
        <f t="shared" si="394"/>
        <v>0</v>
      </c>
      <c r="J233" s="22">
        <f t="shared" si="394"/>
        <v>0</v>
      </c>
      <c r="K233" s="22">
        <f t="shared" si="394"/>
        <v>0</v>
      </c>
      <c r="L233" s="22">
        <f t="shared" si="394"/>
        <v>5.5076188727740038E-3</v>
      </c>
      <c r="M233" s="22">
        <f t="shared" si="394"/>
        <v>0</v>
      </c>
      <c r="N233" s="22">
        <f t="shared" si="394"/>
        <v>0</v>
      </c>
      <c r="O233" s="22">
        <f t="shared" si="394"/>
        <v>0</v>
      </c>
      <c r="P233" s="22">
        <f t="shared" si="394"/>
        <v>0</v>
      </c>
      <c r="Q233" s="22">
        <f t="shared" si="394"/>
        <v>0</v>
      </c>
      <c r="R233" s="22">
        <f t="shared" si="394"/>
        <v>5.5076188727740038E-3</v>
      </c>
      <c r="S233" s="22">
        <f t="shared" si="394"/>
        <v>3.0842665687534424E-2</v>
      </c>
      <c r="T233" s="22">
        <f t="shared" si="394"/>
        <v>3.3780062419680561E-2</v>
      </c>
      <c r="U233" s="22">
        <f t="shared" si="394"/>
        <v>5.2322379291353034E-2</v>
      </c>
      <c r="V233" s="22">
        <f t="shared" si="394"/>
        <v>0.43216449421700015</v>
      </c>
      <c r="W233" s="22">
        <f t="shared" si="394"/>
        <v>0.18303653387185609</v>
      </c>
      <c r="X233" s="22">
        <f t="shared" si="394"/>
        <v>0.1868918670827979</v>
      </c>
      <c r="Y233" s="384">
        <f t="shared" si="394"/>
        <v>1.1015237745548008E-3</v>
      </c>
    </row>
    <row r="234" spans="1:25" x14ac:dyDescent="0.35">
      <c r="A234" s="116" t="s">
        <v>21</v>
      </c>
      <c r="B234" s="22">
        <f t="shared" ref="B234:Y234" si="395">B214/$Z$214</f>
        <v>1.1986301369863012E-3</v>
      </c>
      <c r="C234" s="22">
        <f t="shared" si="395"/>
        <v>0</v>
      </c>
      <c r="D234" s="22">
        <f t="shared" si="395"/>
        <v>0</v>
      </c>
      <c r="E234" s="22">
        <f t="shared" si="395"/>
        <v>0</v>
      </c>
      <c r="F234" s="22">
        <f t="shared" si="395"/>
        <v>0</v>
      </c>
      <c r="G234" s="22">
        <f t="shared" si="395"/>
        <v>0</v>
      </c>
      <c r="H234" s="22">
        <f t="shared" si="395"/>
        <v>0</v>
      </c>
      <c r="I234" s="22">
        <f t="shared" si="395"/>
        <v>0</v>
      </c>
      <c r="J234" s="22">
        <f t="shared" si="395"/>
        <v>5.4794520547945202E-4</v>
      </c>
      <c r="K234" s="22">
        <f t="shared" si="395"/>
        <v>0</v>
      </c>
      <c r="L234" s="22">
        <f t="shared" si="395"/>
        <v>0</v>
      </c>
      <c r="M234" s="22">
        <f t="shared" si="395"/>
        <v>0</v>
      </c>
      <c r="N234" s="22">
        <f t="shared" si="395"/>
        <v>0</v>
      </c>
      <c r="O234" s="22">
        <f t="shared" si="395"/>
        <v>0</v>
      </c>
      <c r="P234" s="22">
        <f t="shared" si="395"/>
        <v>1.2808219178082192E-2</v>
      </c>
      <c r="Q234" s="22">
        <f t="shared" si="395"/>
        <v>0</v>
      </c>
      <c r="R234" s="22">
        <f t="shared" si="395"/>
        <v>0.1652054794520548</v>
      </c>
      <c r="S234" s="22">
        <f t="shared" si="395"/>
        <v>0.11712328767123288</v>
      </c>
      <c r="T234" s="22">
        <f t="shared" si="395"/>
        <v>5.2842465753424661E-2</v>
      </c>
      <c r="U234" s="22">
        <f t="shared" si="395"/>
        <v>0.17013698630136986</v>
      </c>
      <c r="V234" s="22">
        <f t="shared" si="395"/>
        <v>0.10962328767123287</v>
      </c>
      <c r="W234" s="22">
        <f t="shared" si="395"/>
        <v>0.16061643835616438</v>
      </c>
      <c r="X234" s="22">
        <f t="shared" si="395"/>
        <v>0.20907534246575341</v>
      </c>
      <c r="Y234" s="384">
        <f t="shared" si="395"/>
        <v>8.2191780821917802E-4</v>
      </c>
    </row>
    <row r="235" spans="1:25" x14ac:dyDescent="0.35">
      <c r="A235" s="116" t="s">
        <v>22</v>
      </c>
      <c r="B235" s="22">
        <f t="shared" ref="B235:Y235" si="396">B216/$Z$216</f>
        <v>0</v>
      </c>
      <c r="C235" s="22">
        <f t="shared" si="396"/>
        <v>0</v>
      </c>
      <c r="D235" s="22">
        <f t="shared" si="396"/>
        <v>0</v>
      </c>
      <c r="E235" s="22">
        <f t="shared" si="396"/>
        <v>0</v>
      </c>
      <c r="F235" s="22">
        <f t="shared" si="396"/>
        <v>0</v>
      </c>
      <c r="G235" s="22">
        <f t="shared" si="396"/>
        <v>0</v>
      </c>
      <c r="H235" s="22">
        <f t="shared" si="396"/>
        <v>0</v>
      </c>
      <c r="I235" s="22">
        <f t="shared" si="396"/>
        <v>0</v>
      </c>
      <c r="J235" s="22">
        <f t="shared" si="396"/>
        <v>0</v>
      </c>
      <c r="K235" s="22">
        <f t="shared" si="396"/>
        <v>0</v>
      </c>
      <c r="L235" s="22">
        <f t="shared" si="396"/>
        <v>0</v>
      </c>
      <c r="M235" s="22">
        <f t="shared" si="396"/>
        <v>0</v>
      </c>
      <c r="N235" s="22">
        <f t="shared" si="396"/>
        <v>2.8932355338223302E-3</v>
      </c>
      <c r="O235" s="22">
        <f t="shared" si="396"/>
        <v>1.6299918500407496E-4</v>
      </c>
      <c r="P235" s="22">
        <f t="shared" si="396"/>
        <v>3.3414832925835365E-3</v>
      </c>
      <c r="Q235" s="22">
        <f t="shared" si="396"/>
        <v>9.8370008149959234E-2</v>
      </c>
      <c r="R235" s="22">
        <f t="shared" si="396"/>
        <v>5.4319478402607979E-2</v>
      </c>
      <c r="S235" s="22">
        <f t="shared" si="396"/>
        <v>2.2534637326813364E-2</v>
      </c>
      <c r="T235" s="22">
        <f t="shared" si="396"/>
        <v>7.2942135289323543E-2</v>
      </c>
      <c r="U235" s="22">
        <f t="shared" si="396"/>
        <v>8.1581092094539509E-2</v>
      </c>
      <c r="V235" s="22">
        <f t="shared" si="396"/>
        <v>0.29975550122249384</v>
      </c>
      <c r="W235" s="22">
        <f t="shared" si="396"/>
        <v>0.13084759576202118</v>
      </c>
      <c r="X235" s="22">
        <f t="shared" si="396"/>
        <v>0.23317033414832922</v>
      </c>
      <c r="Y235" s="384">
        <f t="shared" si="396"/>
        <v>8.1499592502037478E-5</v>
      </c>
    </row>
    <row r="236" spans="1:25" x14ac:dyDescent="0.35">
      <c r="A236" s="116" t="s">
        <v>23</v>
      </c>
      <c r="B236" s="22">
        <f t="shared" ref="B236:Y236" si="397">B218/$Z$218</f>
        <v>0</v>
      </c>
      <c r="C236" s="22">
        <f t="shared" si="397"/>
        <v>0</v>
      </c>
      <c r="D236" s="22">
        <f t="shared" si="397"/>
        <v>0</v>
      </c>
      <c r="E236" s="22">
        <f t="shared" si="397"/>
        <v>0</v>
      </c>
      <c r="F236" s="22">
        <f t="shared" si="397"/>
        <v>0</v>
      </c>
      <c r="G236" s="22">
        <f t="shared" si="397"/>
        <v>0</v>
      </c>
      <c r="H236" s="22">
        <f t="shared" si="397"/>
        <v>0</v>
      </c>
      <c r="I236" s="22">
        <f t="shared" si="397"/>
        <v>0</v>
      </c>
      <c r="J236" s="22">
        <f t="shared" si="397"/>
        <v>0</v>
      </c>
      <c r="K236" s="22">
        <f t="shared" si="397"/>
        <v>0</v>
      </c>
      <c r="L236" s="22">
        <f t="shared" si="397"/>
        <v>0</v>
      </c>
      <c r="M236" s="22">
        <f t="shared" si="397"/>
        <v>0</v>
      </c>
      <c r="N236" s="22">
        <f t="shared" si="397"/>
        <v>0</v>
      </c>
      <c r="O236" s="22">
        <f t="shared" si="397"/>
        <v>0</v>
      </c>
      <c r="P236" s="22">
        <f t="shared" si="397"/>
        <v>0</v>
      </c>
      <c r="Q236" s="22">
        <f t="shared" si="397"/>
        <v>0</v>
      </c>
      <c r="R236" s="22">
        <f t="shared" si="397"/>
        <v>0</v>
      </c>
      <c r="S236" s="22">
        <f t="shared" si="397"/>
        <v>3.3749082905355839E-2</v>
      </c>
      <c r="T236" s="22">
        <f t="shared" si="397"/>
        <v>0</v>
      </c>
      <c r="U236" s="22">
        <f t="shared" si="397"/>
        <v>0.17681584739545123</v>
      </c>
      <c r="V236" s="22">
        <f t="shared" si="397"/>
        <v>0</v>
      </c>
      <c r="W236" s="22">
        <f t="shared" si="397"/>
        <v>0.77916360968451948</v>
      </c>
      <c r="X236" s="22">
        <f t="shared" si="397"/>
        <v>0</v>
      </c>
      <c r="Y236" s="384">
        <f t="shared" si="397"/>
        <v>1.0271460014673515E-2</v>
      </c>
    </row>
    <row r="237" spans="1:25" x14ac:dyDescent="0.35">
      <c r="A237" s="116" t="s">
        <v>25</v>
      </c>
      <c r="B237" s="22">
        <f t="shared" ref="B237:Y237" si="398">B220/$Z$220</f>
        <v>9.7549193771027561E-3</v>
      </c>
      <c r="C237" s="22">
        <f t="shared" si="398"/>
        <v>5.2183085735183774E-3</v>
      </c>
      <c r="D237" s="22">
        <f t="shared" si="398"/>
        <v>1.2058515816787991E-3</v>
      </c>
      <c r="E237" s="22">
        <f t="shared" si="398"/>
        <v>1.7761666666170305E-3</v>
      </c>
      <c r="F237" s="22">
        <f t="shared" si="398"/>
        <v>2.3280172422778891E-3</v>
      </c>
      <c r="G237" s="22">
        <f t="shared" si="398"/>
        <v>2.7759304995870794E-3</v>
      </c>
      <c r="H237" s="22">
        <f t="shared" si="398"/>
        <v>3.7179182873988944E-3</v>
      </c>
      <c r="I237" s="22">
        <f t="shared" si="398"/>
        <v>4.6074906940362301E-3</v>
      </c>
      <c r="J237" s="22">
        <f t="shared" si="398"/>
        <v>3.5752650624978955E-3</v>
      </c>
      <c r="K237" s="22">
        <f t="shared" si="398"/>
        <v>2.0510496031172854E-3</v>
      </c>
      <c r="L237" s="22">
        <f t="shared" si="398"/>
        <v>4.7537176949263987E-3</v>
      </c>
      <c r="M237" s="22">
        <f t="shared" si="398"/>
        <v>8.9037650623489863E-3</v>
      </c>
      <c r="N237" s="22">
        <f t="shared" si="398"/>
        <v>5.8764789848570163E-3</v>
      </c>
      <c r="O237" s="22">
        <f t="shared" si="398"/>
        <v>1.1035820254554105E-2</v>
      </c>
      <c r="P237" s="22">
        <f t="shared" si="398"/>
        <v>1.2921880532838086E-2</v>
      </c>
      <c r="Q237" s="22">
        <f t="shared" si="398"/>
        <v>2.5199290128962683E-2</v>
      </c>
      <c r="R237" s="22">
        <f t="shared" si="398"/>
        <v>6.2801667643002393E-2</v>
      </c>
      <c r="S237" s="22">
        <f t="shared" si="398"/>
        <v>6.5609762126491999E-2</v>
      </c>
      <c r="T237" s="22">
        <f t="shared" si="398"/>
        <v>9.7407433990123873E-2</v>
      </c>
      <c r="U237" s="22">
        <f t="shared" si="398"/>
        <v>0.16641704834097867</v>
      </c>
      <c r="V237" s="22">
        <f t="shared" si="398"/>
        <v>0.18354228506641121</v>
      </c>
      <c r="W237" s="22">
        <f t="shared" si="398"/>
        <v>0.18442232740374398</v>
      </c>
      <c r="X237" s="22">
        <f t="shared" si="398"/>
        <v>0.13328844273604715</v>
      </c>
      <c r="Y237" s="384">
        <f t="shared" si="398"/>
        <v>8.0916244688103152E-4</v>
      </c>
    </row>
    <row r="240" spans="1:25" ht="15" x14ac:dyDescent="0.35">
      <c r="A240" s="284" t="s">
        <v>67</v>
      </c>
      <c r="B240" s="284"/>
    </row>
    <row r="241" spans="1:33" ht="15.5" x14ac:dyDescent="0.35">
      <c r="A241" s="290" t="s">
        <v>109</v>
      </c>
      <c r="B241" s="290"/>
      <c r="AB241" s="111"/>
    </row>
    <row r="243" spans="1:33" ht="39" x14ac:dyDescent="0.35">
      <c r="A243" s="126" t="s">
        <v>0</v>
      </c>
      <c r="B243" s="214" t="s">
        <v>89</v>
      </c>
      <c r="C243" s="214">
        <v>2000</v>
      </c>
      <c r="D243" s="214">
        <v>2001</v>
      </c>
      <c r="E243" s="214">
        <v>2002</v>
      </c>
      <c r="F243" s="214">
        <v>2003</v>
      </c>
      <c r="G243" s="214">
        <v>2004</v>
      </c>
      <c r="H243" s="214">
        <v>2005</v>
      </c>
      <c r="I243" s="214">
        <v>2006</v>
      </c>
      <c r="J243" s="214">
        <v>2007</v>
      </c>
      <c r="K243" s="214">
        <v>2008</v>
      </c>
      <c r="L243" s="214">
        <v>2009</v>
      </c>
      <c r="M243" s="214">
        <v>2010</v>
      </c>
      <c r="N243" s="214">
        <v>2011</v>
      </c>
      <c r="O243" s="214">
        <v>2012</v>
      </c>
      <c r="P243" s="214">
        <v>2013</v>
      </c>
      <c r="Q243" s="214">
        <v>2014</v>
      </c>
      <c r="R243" s="214">
        <v>2015</v>
      </c>
      <c r="S243" s="214">
        <v>2016</v>
      </c>
      <c r="T243" s="214">
        <v>2017</v>
      </c>
      <c r="U243" s="214">
        <v>2018</v>
      </c>
      <c r="V243" s="214">
        <v>2019</v>
      </c>
      <c r="W243" s="214">
        <v>2020</v>
      </c>
      <c r="X243" s="214">
        <v>2021</v>
      </c>
      <c r="Y243" s="214" t="s">
        <v>90</v>
      </c>
      <c r="Z243" s="214" t="s">
        <v>91</v>
      </c>
      <c r="AA243" s="126" t="s">
        <v>92</v>
      </c>
      <c r="AC243" s="127" t="s">
        <v>110</v>
      </c>
      <c r="AD243" s="127" t="s">
        <v>108</v>
      </c>
      <c r="AE243" s="127" t="s">
        <v>94</v>
      </c>
      <c r="AF243" s="127" t="s">
        <v>96</v>
      </c>
      <c r="AG243" s="127" t="s">
        <v>97</v>
      </c>
    </row>
    <row r="244" spans="1:33" x14ac:dyDescent="0.35">
      <c r="A244" s="11" t="s">
        <v>5</v>
      </c>
      <c r="B244" s="119">
        <f>SUM(B245:B252)</f>
        <v>70.22</v>
      </c>
      <c r="C244" s="119">
        <f t="shared" ref="C244:Y244" si="399">SUM(C245:C252)</f>
        <v>1.76</v>
      </c>
      <c r="D244" s="119">
        <f t="shared" si="399"/>
        <v>0.52</v>
      </c>
      <c r="E244" s="119">
        <f t="shared" si="399"/>
        <v>4.16</v>
      </c>
      <c r="F244" s="119">
        <f t="shared" si="399"/>
        <v>3.06</v>
      </c>
      <c r="G244" s="119">
        <f t="shared" si="399"/>
        <v>2.7</v>
      </c>
      <c r="H244" s="119">
        <f t="shared" si="399"/>
        <v>5.7299999999999995</v>
      </c>
      <c r="I244" s="119">
        <f t="shared" si="399"/>
        <v>0.89</v>
      </c>
      <c r="J244" s="119">
        <f t="shared" si="399"/>
        <v>0</v>
      </c>
      <c r="K244" s="119">
        <f t="shared" si="399"/>
        <v>2.04</v>
      </c>
      <c r="L244" s="119">
        <f t="shared" si="399"/>
        <v>11.97</v>
      </c>
      <c r="M244" s="119">
        <f t="shared" si="399"/>
        <v>3.27</v>
      </c>
      <c r="N244" s="119">
        <f t="shared" si="399"/>
        <v>6.1099999999999994</v>
      </c>
      <c r="O244" s="119">
        <f t="shared" si="399"/>
        <v>8.379999999999999</v>
      </c>
      <c r="P244" s="119">
        <f t="shared" si="399"/>
        <v>57.22</v>
      </c>
      <c r="Q244" s="119">
        <f t="shared" si="399"/>
        <v>34.81</v>
      </c>
      <c r="R244" s="119">
        <f t="shared" si="399"/>
        <v>55.860000000000007</v>
      </c>
      <c r="S244" s="119">
        <f t="shared" si="399"/>
        <v>81.570000000000007</v>
      </c>
      <c r="T244" s="119">
        <f t="shared" si="399"/>
        <v>121.56</v>
      </c>
      <c r="U244" s="119">
        <f t="shared" si="399"/>
        <v>167.51999999999998</v>
      </c>
      <c r="V244" s="119">
        <f t="shared" si="399"/>
        <v>95.44</v>
      </c>
      <c r="W244" s="119">
        <f t="shared" si="399"/>
        <v>215.17999999999998</v>
      </c>
      <c r="X244" s="119">
        <f t="shared" si="399"/>
        <v>149.26999999999998</v>
      </c>
      <c r="Y244" s="119">
        <f t="shared" si="399"/>
        <v>0.45999999999999996</v>
      </c>
      <c r="Z244" s="119">
        <f>SUM(B244:Y244)</f>
        <v>1099.6999999999998</v>
      </c>
      <c r="AA244" s="144">
        <f>Z244/$Z$295</f>
        <v>8.989368398164356E-2</v>
      </c>
      <c r="AC244" s="119">
        <f t="shared" ref="AC244:AC275" si="400">SUM(B244:U244)</f>
        <v>639.34999999999991</v>
      </c>
      <c r="AD244" s="119">
        <f t="shared" ref="AD244:AD275" si="401">SUM(V244:X244)</f>
        <v>459.89</v>
      </c>
      <c r="AE244" s="131">
        <f>Y244</f>
        <v>0.45999999999999996</v>
      </c>
      <c r="AF244" s="119">
        <f>SUM(AC244:AE244)</f>
        <v>1099.6999999999998</v>
      </c>
      <c r="AG244" s="143">
        <f>AD244/AF244</f>
        <v>0.41819587160134586</v>
      </c>
    </row>
    <row r="245" spans="1:33" x14ac:dyDescent="0.35">
      <c r="A245" s="15" t="s">
        <v>6</v>
      </c>
      <c r="B245" s="12"/>
      <c r="C245" s="12"/>
      <c r="D245" s="12"/>
      <c r="E245" s="12"/>
      <c r="F245" s="12"/>
      <c r="G245" s="12"/>
      <c r="H245" s="12"/>
      <c r="I245" s="12"/>
      <c r="J245" s="12"/>
      <c r="K245" s="12"/>
      <c r="L245" s="12"/>
      <c r="M245" s="12"/>
      <c r="N245" s="12"/>
      <c r="O245" s="12"/>
      <c r="P245" s="12"/>
      <c r="Q245" s="12"/>
      <c r="R245" s="54">
        <v>1.1200000000000001</v>
      </c>
      <c r="S245" s="12">
        <v>0.39</v>
      </c>
      <c r="T245" s="12">
        <v>0.97</v>
      </c>
      <c r="U245" s="12">
        <v>0.76</v>
      </c>
      <c r="V245" s="12">
        <v>2.12</v>
      </c>
      <c r="W245" s="12">
        <v>0.1</v>
      </c>
      <c r="X245" s="12">
        <v>2.66</v>
      </c>
      <c r="Y245" s="12"/>
      <c r="Z245" s="12">
        <f t="shared" ref="Z245:Z294" si="402">SUM(B245:Y245)</f>
        <v>8.120000000000001</v>
      </c>
      <c r="AA245" s="150">
        <f>Z245/$Z$295</f>
        <v>6.6375985626165857E-4</v>
      </c>
      <c r="AC245" s="12">
        <f t="shared" si="400"/>
        <v>3.24</v>
      </c>
      <c r="AD245" s="12">
        <f t="shared" si="401"/>
        <v>4.8800000000000008</v>
      </c>
      <c r="AE245" s="12">
        <f t="shared" ref="AE245:AE295" si="403">Y245</f>
        <v>0</v>
      </c>
      <c r="AF245" s="12">
        <f>SUM(AC245:AE245)</f>
        <v>8.120000000000001</v>
      </c>
      <c r="AG245" s="150">
        <f>AD245/AF245</f>
        <v>0.60098522167487689</v>
      </c>
    </row>
    <row r="246" spans="1:33" x14ac:dyDescent="0.35">
      <c r="A246" s="16" t="s">
        <v>7</v>
      </c>
      <c r="B246" s="54"/>
      <c r="C246" s="12"/>
      <c r="D246" s="12"/>
      <c r="E246" s="12"/>
      <c r="F246" s="12"/>
      <c r="G246" s="12"/>
      <c r="H246" s="12"/>
      <c r="I246" s="12"/>
      <c r="J246" s="12"/>
      <c r="K246" s="12"/>
      <c r="L246" s="12"/>
      <c r="M246" s="12"/>
      <c r="N246" s="12"/>
      <c r="O246" s="12"/>
      <c r="P246" s="12"/>
      <c r="Q246" s="12"/>
      <c r="R246" s="12"/>
      <c r="S246" s="12">
        <v>1.67</v>
      </c>
      <c r="T246" s="12"/>
      <c r="U246" s="54"/>
      <c r="V246" s="12"/>
      <c r="W246" s="12"/>
      <c r="X246" s="12"/>
      <c r="Y246" s="12"/>
      <c r="Z246" s="12">
        <f t="shared" si="402"/>
        <v>1.67</v>
      </c>
      <c r="AA246" s="150">
        <f t="shared" ref="AA246:AA271" si="404">Z246/$Z$295</f>
        <v>1.3651218718681893E-4</v>
      </c>
      <c r="AB246" s="133"/>
      <c r="AC246" s="12">
        <f t="shared" si="400"/>
        <v>1.67</v>
      </c>
      <c r="AD246" s="12">
        <f t="shared" si="401"/>
        <v>0</v>
      </c>
      <c r="AE246" s="12">
        <f t="shared" si="403"/>
        <v>0</v>
      </c>
      <c r="AF246" s="12">
        <f t="shared" ref="AF246:AF252" si="405">SUM(AC246:AE246)</f>
        <v>1.67</v>
      </c>
      <c r="AG246" s="150">
        <f t="shared" ref="AG246:AG248" si="406">AD246/AF246</f>
        <v>0</v>
      </c>
    </row>
    <row r="247" spans="1:33" x14ac:dyDescent="0.35">
      <c r="A247" s="16" t="s">
        <v>8</v>
      </c>
      <c r="B247" s="54">
        <v>9.83</v>
      </c>
      <c r="C247" s="54"/>
      <c r="D247" s="54"/>
      <c r="E247" s="54"/>
      <c r="F247" s="54"/>
      <c r="G247" s="54"/>
      <c r="H247" s="54"/>
      <c r="I247" s="54"/>
      <c r="J247" s="54"/>
      <c r="K247" s="54"/>
      <c r="L247" s="54"/>
      <c r="M247" s="54">
        <v>1.3</v>
      </c>
      <c r="N247" s="54"/>
      <c r="O247" s="12"/>
      <c r="P247" s="12">
        <v>35.47</v>
      </c>
      <c r="Q247" s="12"/>
      <c r="R247" s="12">
        <v>4.84</v>
      </c>
      <c r="S247" s="12">
        <v>17.260000000000002</v>
      </c>
      <c r="T247" s="12">
        <v>73.91</v>
      </c>
      <c r="U247" s="12">
        <v>63.09</v>
      </c>
      <c r="V247" s="12">
        <v>17.669999999999998</v>
      </c>
      <c r="W247" s="12">
        <v>69.88</v>
      </c>
      <c r="X247" s="12">
        <v>47.320000000000007</v>
      </c>
      <c r="Y247" s="12"/>
      <c r="Z247" s="12">
        <f t="shared" si="402"/>
        <v>340.57</v>
      </c>
      <c r="AA247" s="150">
        <f t="shared" si="404"/>
        <v>2.7839494365398156E-2</v>
      </c>
      <c r="AB247" s="136"/>
      <c r="AC247" s="12">
        <f t="shared" si="400"/>
        <v>205.70000000000002</v>
      </c>
      <c r="AD247" s="12">
        <f t="shared" si="401"/>
        <v>134.87</v>
      </c>
      <c r="AE247" s="12">
        <f t="shared" si="403"/>
        <v>0</v>
      </c>
      <c r="AF247" s="12">
        <f t="shared" si="405"/>
        <v>340.57000000000005</v>
      </c>
      <c r="AG247" s="150">
        <f t="shared" si="406"/>
        <v>0.39601256716680855</v>
      </c>
    </row>
    <row r="248" spans="1:33" x14ac:dyDescent="0.35">
      <c r="A248" s="16" t="s">
        <v>26</v>
      </c>
      <c r="B248" s="12">
        <v>26.5</v>
      </c>
      <c r="C248" s="12">
        <v>1.76</v>
      </c>
      <c r="D248" s="12"/>
      <c r="E248" s="12">
        <v>4.16</v>
      </c>
      <c r="F248" s="12">
        <v>3.06</v>
      </c>
      <c r="G248" s="12"/>
      <c r="H248" s="12">
        <v>0.72</v>
      </c>
      <c r="I248" s="12">
        <v>0.89</v>
      </c>
      <c r="J248" s="12"/>
      <c r="K248" s="54">
        <v>2.04</v>
      </c>
      <c r="L248" s="12">
        <v>11.97</v>
      </c>
      <c r="M248" s="54">
        <v>1.8800000000000001</v>
      </c>
      <c r="N248" s="12"/>
      <c r="O248" s="12">
        <v>3.85</v>
      </c>
      <c r="P248" s="12">
        <v>9.08</v>
      </c>
      <c r="Q248" s="12">
        <v>16.940000000000001</v>
      </c>
      <c r="R248" s="12">
        <v>11.350000000000001</v>
      </c>
      <c r="S248" s="54">
        <v>24.330000000000002</v>
      </c>
      <c r="T248" s="12">
        <v>12.73</v>
      </c>
      <c r="U248" s="12">
        <v>46.579999999999991</v>
      </c>
      <c r="V248" s="12">
        <v>39.14</v>
      </c>
      <c r="W248" s="12">
        <v>101.85</v>
      </c>
      <c r="X248" s="12">
        <v>37.74</v>
      </c>
      <c r="Y248" s="12">
        <v>0.34</v>
      </c>
      <c r="Z248" s="12">
        <f t="shared" si="402"/>
        <v>356.91</v>
      </c>
      <c r="AA248" s="150">
        <f t="shared" si="404"/>
        <v>2.9175188460387753E-2</v>
      </c>
      <c r="AB248" s="136"/>
      <c r="AC248" s="12">
        <f t="shared" si="400"/>
        <v>177.84</v>
      </c>
      <c r="AD248" s="12">
        <f t="shared" si="401"/>
        <v>178.73000000000002</v>
      </c>
      <c r="AE248" s="54">
        <f t="shared" si="403"/>
        <v>0.34</v>
      </c>
      <c r="AF248" s="12">
        <f t="shared" si="405"/>
        <v>356.91</v>
      </c>
      <c r="AG248" s="150">
        <f t="shared" si="406"/>
        <v>0.50077050236754361</v>
      </c>
    </row>
    <row r="249" spans="1:33" x14ac:dyDescent="0.35">
      <c r="A249" s="16" t="s">
        <v>27</v>
      </c>
      <c r="B249" s="12"/>
      <c r="C249" s="12"/>
      <c r="D249" s="12"/>
      <c r="E249" s="12"/>
      <c r="F249" s="12"/>
      <c r="G249" s="12"/>
      <c r="H249" s="12"/>
      <c r="I249" s="12"/>
      <c r="J249" s="12"/>
      <c r="K249" s="12"/>
      <c r="L249" s="12"/>
      <c r="M249" s="12"/>
      <c r="N249" s="12"/>
      <c r="O249" s="12"/>
      <c r="P249" s="12"/>
      <c r="Q249" s="12"/>
      <c r="R249" s="12"/>
      <c r="S249" s="12">
        <v>0.02</v>
      </c>
      <c r="T249" s="12"/>
      <c r="U249" s="12"/>
      <c r="V249" s="12"/>
      <c r="W249" s="12">
        <v>11.2</v>
      </c>
      <c r="X249" s="12"/>
      <c r="Y249" s="12"/>
      <c r="Z249" s="12">
        <f t="shared" si="402"/>
        <v>11.219999999999999</v>
      </c>
      <c r="AA249" s="150">
        <f t="shared" si="404"/>
        <v>9.1716571271623245E-4</v>
      </c>
      <c r="AB249" s="136"/>
      <c r="AC249" s="12">
        <f t="shared" si="400"/>
        <v>0.02</v>
      </c>
      <c r="AD249" s="12">
        <f t="shared" si="401"/>
        <v>11.2</v>
      </c>
      <c r="AE249" s="12">
        <f t="shared" si="403"/>
        <v>0</v>
      </c>
      <c r="AF249" s="12">
        <f t="shared" si="405"/>
        <v>11.219999999999999</v>
      </c>
      <c r="AG249" s="150"/>
    </row>
    <row r="250" spans="1:33" x14ac:dyDescent="0.35">
      <c r="A250" s="16" t="s">
        <v>28</v>
      </c>
      <c r="B250" s="12">
        <v>33.89</v>
      </c>
      <c r="C250" s="12"/>
      <c r="D250" s="12">
        <v>0.52</v>
      </c>
      <c r="E250" s="12"/>
      <c r="F250" s="12"/>
      <c r="G250" s="12"/>
      <c r="H250" s="12">
        <v>5.01</v>
      </c>
      <c r="I250" s="12"/>
      <c r="J250" s="12"/>
      <c r="K250" s="12"/>
      <c r="L250" s="12"/>
      <c r="M250" s="54">
        <v>0.09</v>
      </c>
      <c r="N250" s="12"/>
      <c r="O250" s="12">
        <v>2.34</v>
      </c>
      <c r="P250" s="12">
        <v>12.67</v>
      </c>
      <c r="Q250" s="12">
        <v>17.869999999999997</v>
      </c>
      <c r="R250" s="12">
        <v>19.64</v>
      </c>
      <c r="S250" s="12">
        <v>12.82</v>
      </c>
      <c r="T250" s="12">
        <v>9.3699999999999992</v>
      </c>
      <c r="U250" s="12">
        <v>14.280000000000001</v>
      </c>
      <c r="V250" s="12">
        <v>25.509999999999998</v>
      </c>
      <c r="W250" s="12">
        <v>28.61</v>
      </c>
      <c r="X250" s="12">
        <v>31.14</v>
      </c>
      <c r="Y250" s="12">
        <v>0.03</v>
      </c>
      <c r="Z250" s="12">
        <f t="shared" si="402"/>
        <v>213.79</v>
      </c>
      <c r="AA250" s="150">
        <f t="shared" si="404"/>
        <v>1.7476012274652706E-2</v>
      </c>
      <c r="AB250" s="133"/>
      <c r="AC250" s="12">
        <f t="shared" si="400"/>
        <v>128.50000000000003</v>
      </c>
      <c r="AD250" s="12">
        <f t="shared" si="401"/>
        <v>85.259999999999991</v>
      </c>
      <c r="AE250" s="12">
        <f t="shared" si="403"/>
        <v>0.03</v>
      </c>
      <c r="AF250" s="12">
        <f t="shared" si="405"/>
        <v>213.79000000000002</v>
      </c>
      <c r="AG250" s="150">
        <f t="shared" ref="AG250" si="407">AD250/AF250</f>
        <v>0.39880256326301505</v>
      </c>
    </row>
    <row r="251" spans="1:33" x14ac:dyDescent="0.35">
      <c r="A251" s="16" t="s">
        <v>29</v>
      </c>
      <c r="B251" s="12"/>
      <c r="C251" s="12"/>
      <c r="D251" s="12"/>
      <c r="E251" s="12"/>
      <c r="F251" s="12"/>
      <c r="G251" s="12">
        <v>0.22</v>
      </c>
      <c r="H251" s="12"/>
      <c r="I251" s="12"/>
      <c r="J251" s="12"/>
      <c r="K251" s="12"/>
      <c r="L251" s="12"/>
      <c r="M251" s="12"/>
      <c r="N251" s="12">
        <v>4.17</v>
      </c>
      <c r="O251" s="12"/>
      <c r="P251" s="12"/>
      <c r="Q251" s="12"/>
      <c r="R251" s="12">
        <v>16.73</v>
      </c>
      <c r="S251" s="12">
        <v>20.309999999999999</v>
      </c>
      <c r="T251" s="12">
        <v>1.47</v>
      </c>
      <c r="U251" s="12">
        <v>23.96</v>
      </c>
      <c r="V251" s="12">
        <v>6.74</v>
      </c>
      <c r="W251" s="12"/>
      <c r="X251" s="12">
        <v>1.83</v>
      </c>
      <c r="Y251" s="12"/>
      <c r="Z251" s="12">
        <f t="shared" si="402"/>
        <v>75.429999999999993</v>
      </c>
      <c r="AA251" s="150">
        <f t="shared" si="404"/>
        <v>6.1659366943124256E-3</v>
      </c>
      <c r="AB251" s="136"/>
      <c r="AC251" s="12">
        <f t="shared" si="400"/>
        <v>66.86</v>
      </c>
      <c r="AD251" s="12">
        <f t="shared" si="401"/>
        <v>8.57</v>
      </c>
      <c r="AE251" s="12">
        <f t="shared" si="403"/>
        <v>0</v>
      </c>
      <c r="AF251" s="12">
        <f t="shared" si="405"/>
        <v>75.430000000000007</v>
      </c>
      <c r="AG251" s="150"/>
    </row>
    <row r="252" spans="1:33" x14ac:dyDescent="0.35">
      <c r="A252" s="16" t="s">
        <v>30</v>
      </c>
      <c r="B252" s="12"/>
      <c r="C252" s="12"/>
      <c r="D252" s="12"/>
      <c r="E252" s="12"/>
      <c r="F252" s="12"/>
      <c r="G252" s="12">
        <v>2.48</v>
      </c>
      <c r="H252" s="12"/>
      <c r="I252" s="12"/>
      <c r="J252" s="12"/>
      <c r="K252" s="12"/>
      <c r="L252" s="12"/>
      <c r="M252" s="54"/>
      <c r="N252" s="12">
        <v>1.94</v>
      </c>
      <c r="O252" s="12">
        <v>2.19</v>
      </c>
      <c r="P252" s="12"/>
      <c r="Q252" s="12"/>
      <c r="R252" s="12">
        <v>2.1799999999999997</v>
      </c>
      <c r="S252" s="12">
        <v>4.7699999999999996</v>
      </c>
      <c r="T252" s="12">
        <v>23.11</v>
      </c>
      <c r="U252" s="12">
        <v>18.850000000000001</v>
      </c>
      <c r="V252" s="12">
        <v>4.26</v>
      </c>
      <c r="W252" s="12">
        <v>3.54</v>
      </c>
      <c r="X252" s="12">
        <v>28.58</v>
      </c>
      <c r="Y252" s="12">
        <v>0.09</v>
      </c>
      <c r="Z252" s="12">
        <f t="shared" si="402"/>
        <v>91.990000000000009</v>
      </c>
      <c r="AA252" s="150">
        <f t="shared" si="404"/>
        <v>7.5196144307278293E-3</v>
      </c>
      <c r="AB252" s="136"/>
      <c r="AC252" s="12">
        <f t="shared" si="400"/>
        <v>55.52</v>
      </c>
      <c r="AD252" s="12">
        <f t="shared" si="401"/>
        <v>36.379999999999995</v>
      </c>
      <c r="AE252" s="12">
        <f t="shared" si="403"/>
        <v>0.09</v>
      </c>
      <c r="AF252" s="12">
        <f t="shared" si="405"/>
        <v>91.990000000000009</v>
      </c>
      <c r="AG252" s="150">
        <f t="shared" ref="AG252" si="408">AD252/AF252</f>
        <v>0.39547776932275236</v>
      </c>
    </row>
    <row r="253" spans="1:33" x14ac:dyDescent="0.35">
      <c r="A253" s="11" t="s">
        <v>12</v>
      </c>
      <c r="B253" s="119">
        <f>SUM(B254:B256)</f>
        <v>0</v>
      </c>
      <c r="C253" s="119">
        <f t="shared" ref="C253:Y253" si="409">SUM(C254:C256)</f>
        <v>0</v>
      </c>
      <c r="D253" s="119">
        <f t="shared" si="409"/>
        <v>0</v>
      </c>
      <c r="E253" s="119">
        <f t="shared" si="409"/>
        <v>0</v>
      </c>
      <c r="F253" s="119">
        <f t="shared" si="409"/>
        <v>0</v>
      </c>
      <c r="G253" s="119">
        <f t="shared" si="409"/>
        <v>0</v>
      </c>
      <c r="H253" s="119">
        <f t="shared" si="409"/>
        <v>0</v>
      </c>
      <c r="I253" s="119">
        <f t="shared" si="409"/>
        <v>0</v>
      </c>
      <c r="J253" s="119">
        <f t="shared" si="409"/>
        <v>0</v>
      </c>
      <c r="K253" s="119">
        <f t="shared" si="409"/>
        <v>0</v>
      </c>
      <c r="L253" s="119">
        <f t="shared" si="409"/>
        <v>0</v>
      </c>
      <c r="M253" s="119">
        <f t="shared" si="409"/>
        <v>0</v>
      </c>
      <c r="N253" s="119">
        <f t="shared" si="409"/>
        <v>0</v>
      </c>
      <c r="O253" s="119">
        <f t="shared" si="409"/>
        <v>0</v>
      </c>
      <c r="P253" s="119">
        <f t="shared" si="409"/>
        <v>4.71</v>
      </c>
      <c r="Q253" s="119">
        <f t="shared" si="409"/>
        <v>4.93</v>
      </c>
      <c r="R253" s="119">
        <f t="shared" si="409"/>
        <v>3.4699999999999998</v>
      </c>
      <c r="S253" s="119">
        <f t="shared" si="409"/>
        <v>30.29</v>
      </c>
      <c r="T253" s="119">
        <f t="shared" si="409"/>
        <v>78.42</v>
      </c>
      <c r="U253" s="119">
        <f t="shared" si="409"/>
        <v>144.86000000000001</v>
      </c>
      <c r="V253" s="119">
        <f t="shared" si="409"/>
        <v>64.17</v>
      </c>
      <c r="W253" s="119">
        <f t="shared" si="409"/>
        <v>91.449999999999989</v>
      </c>
      <c r="X253" s="119">
        <f t="shared" si="409"/>
        <v>26.78</v>
      </c>
      <c r="Y253" s="119">
        <f t="shared" si="409"/>
        <v>0.4</v>
      </c>
      <c r="Z253" s="119">
        <f>SUM(B253:Y253)</f>
        <v>449.48</v>
      </c>
      <c r="AA253" s="144">
        <f>Z253/$Z$295</f>
        <v>3.6742214309419985E-2</v>
      </c>
      <c r="AB253" s="136"/>
      <c r="AC253" s="119">
        <f t="shared" si="400"/>
        <v>266.68</v>
      </c>
      <c r="AD253" s="119">
        <f t="shared" si="401"/>
        <v>182.4</v>
      </c>
      <c r="AE253" s="119">
        <f t="shared" si="403"/>
        <v>0.4</v>
      </c>
      <c r="AF253" s="119">
        <f>SUM(AC253:AE253)</f>
        <v>449.48</v>
      </c>
      <c r="AG253" s="143">
        <f>AD253/AF253</f>
        <v>0.40580226038978373</v>
      </c>
    </row>
    <row r="254" spans="1:33" x14ac:dyDescent="0.35">
      <c r="A254" s="6" t="s">
        <v>31</v>
      </c>
      <c r="B254" s="12"/>
      <c r="C254" s="12"/>
      <c r="D254" s="12"/>
      <c r="E254" s="12"/>
      <c r="F254" s="54"/>
      <c r="G254" s="12"/>
      <c r="H254" s="12"/>
      <c r="I254" s="12"/>
      <c r="J254" s="12"/>
      <c r="K254" s="12"/>
      <c r="L254" s="12"/>
      <c r="M254" s="12"/>
      <c r="N254" s="12"/>
      <c r="O254" s="12"/>
      <c r="P254" s="12"/>
      <c r="Q254" s="12">
        <v>2.76</v>
      </c>
      <c r="R254" s="12">
        <v>2.02</v>
      </c>
      <c r="S254" s="12">
        <v>0.46</v>
      </c>
      <c r="T254" s="12">
        <v>7.17</v>
      </c>
      <c r="U254" s="12">
        <v>42.15</v>
      </c>
      <c r="V254" s="12">
        <v>23.71</v>
      </c>
      <c r="W254" s="12">
        <v>40.49</v>
      </c>
      <c r="X254" s="12">
        <v>4.16</v>
      </c>
      <c r="Y254" s="12">
        <v>0.16</v>
      </c>
      <c r="Z254" s="12">
        <f t="shared" si="402"/>
        <v>123.08000000000001</v>
      </c>
      <c r="AA254" s="150">
        <f t="shared" si="404"/>
        <v>1.0061029939493218E-2</v>
      </c>
      <c r="AB254" s="133"/>
      <c r="AC254" s="12">
        <f t="shared" si="400"/>
        <v>54.56</v>
      </c>
      <c r="AD254" s="12">
        <f t="shared" si="401"/>
        <v>68.36</v>
      </c>
      <c r="AE254" s="12">
        <f t="shared" si="403"/>
        <v>0.16</v>
      </c>
      <c r="AF254" s="12">
        <f t="shared" ref="AF254:AF256" si="410">SUM(AC254:AE254)</f>
        <v>123.08</v>
      </c>
      <c r="AG254" s="150"/>
    </row>
    <row r="255" spans="1:33" x14ac:dyDescent="0.35">
      <c r="A255" s="6" t="s">
        <v>32</v>
      </c>
      <c r="B255" s="12"/>
      <c r="C255" s="12"/>
      <c r="D255" s="12"/>
      <c r="E255" s="12"/>
      <c r="F255" s="12"/>
      <c r="G255" s="12"/>
      <c r="H255" s="12"/>
      <c r="I255" s="12"/>
      <c r="J255" s="12"/>
      <c r="K255" s="12"/>
      <c r="L255" s="12"/>
      <c r="M255" s="12"/>
      <c r="N255" s="12"/>
      <c r="O255" s="12"/>
      <c r="P255" s="12">
        <v>4.71</v>
      </c>
      <c r="Q255" s="54">
        <v>0.27</v>
      </c>
      <c r="R255" s="12">
        <v>0.31</v>
      </c>
      <c r="S255" s="12">
        <v>9.48</v>
      </c>
      <c r="T255" s="12">
        <v>3.44</v>
      </c>
      <c r="U255" s="12">
        <v>13.11</v>
      </c>
      <c r="V255" s="12">
        <v>1.61</v>
      </c>
      <c r="W255" s="12">
        <v>10.130000000000001</v>
      </c>
      <c r="X255" s="12">
        <v>5.85</v>
      </c>
      <c r="Y255" s="12">
        <v>0.16</v>
      </c>
      <c r="Z255" s="12">
        <f t="shared" si="402"/>
        <v>49.07</v>
      </c>
      <c r="AA255" s="150">
        <f t="shared" si="404"/>
        <v>4.0111694762019192E-3</v>
      </c>
      <c r="AB255" s="136"/>
      <c r="AC255" s="12">
        <f t="shared" si="400"/>
        <v>31.32</v>
      </c>
      <c r="AD255" s="12">
        <f t="shared" si="401"/>
        <v>17.59</v>
      </c>
      <c r="AE255" s="12">
        <f t="shared" si="403"/>
        <v>0.16</v>
      </c>
      <c r="AF255" s="12">
        <f t="shared" si="410"/>
        <v>49.069999999999993</v>
      </c>
      <c r="AG255" s="150">
        <f t="shared" ref="AG255:AG256" si="411">AD255/AF255</f>
        <v>0.35846749541471373</v>
      </c>
    </row>
    <row r="256" spans="1:33" x14ac:dyDescent="0.35">
      <c r="A256" s="6" t="s">
        <v>33</v>
      </c>
      <c r="B256" s="12"/>
      <c r="C256" s="12"/>
      <c r="D256" s="12"/>
      <c r="E256" s="12"/>
      <c r="F256" s="12"/>
      <c r="G256" s="12"/>
      <c r="H256" s="12"/>
      <c r="I256" s="12"/>
      <c r="J256" s="12"/>
      <c r="K256" s="12"/>
      <c r="L256" s="12"/>
      <c r="M256" s="12"/>
      <c r="N256" s="12"/>
      <c r="O256" s="12"/>
      <c r="P256" s="12"/>
      <c r="Q256" s="12">
        <v>1.9</v>
      </c>
      <c r="R256" s="12">
        <v>1.1399999999999999</v>
      </c>
      <c r="S256" s="12">
        <v>20.349999999999998</v>
      </c>
      <c r="T256" s="12">
        <v>67.81</v>
      </c>
      <c r="U256" s="12">
        <v>89.600000000000009</v>
      </c>
      <c r="V256" s="12">
        <v>38.85</v>
      </c>
      <c r="W256" s="12">
        <v>40.829999999999991</v>
      </c>
      <c r="X256" s="12">
        <v>16.77</v>
      </c>
      <c r="Y256" s="12">
        <v>0.08</v>
      </c>
      <c r="Z256" s="12">
        <f t="shared" si="402"/>
        <v>277.33</v>
      </c>
      <c r="AA256" s="150">
        <f t="shared" si="404"/>
        <v>2.2670014893724846E-2</v>
      </c>
      <c r="AB256" s="136"/>
      <c r="AC256" s="12">
        <f t="shared" si="400"/>
        <v>180.8</v>
      </c>
      <c r="AD256" s="12">
        <f t="shared" si="401"/>
        <v>96.449999999999989</v>
      </c>
      <c r="AE256" s="12">
        <f t="shared" si="403"/>
        <v>0.08</v>
      </c>
      <c r="AF256" s="12">
        <f t="shared" si="410"/>
        <v>277.33</v>
      </c>
      <c r="AG256" s="150">
        <f t="shared" si="411"/>
        <v>0.34778062236324953</v>
      </c>
    </row>
    <row r="257" spans="1:43" x14ac:dyDescent="0.35">
      <c r="A257" s="11" t="s">
        <v>13</v>
      </c>
      <c r="B257" s="119">
        <f>SUM(B258:B260)</f>
        <v>0.88</v>
      </c>
      <c r="C257" s="119">
        <f t="shared" ref="C257:Y257" si="412">SUM(C258:C260)</f>
        <v>0.05</v>
      </c>
      <c r="D257" s="119">
        <f t="shared" si="412"/>
        <v>0</v>
      </c>
      <c r="E257" s="119">
        <f t="shared" si="412"/>
        <v>0</v>
      </c>
      <c r="F257" s="119">
        <f t="shared" si="412"/>
        <v>0</v>
      </c>
      <c r="G257" s="119">
        <f t="shared" si="412"/>
        <v>0</v>
      </c>
      <c r="H257" s="119">
        <f t="shared" si="412"/>
        <v>0</v>
      </c>
      <c r="I257" s="119">
        <f t="shared" si="412"/>
        <v>0</v>
      </c>
      <c r="J257" s="119">
        <f t="shared" si="412"/>
        <v>0</v>
      </c>
      <c r="K257" s="119">
        <f t="shared" si="412"/>
        <v>0</v>
      </c>
      <c r="L257" s="119">
        <f t="shared" si="412"/>
        <v>0</v>
      </c>
      <c r="M257" s="119">
        <f t="shared" si="412"/>
        <v>0</v>
      </c>
      <c r="N257" s="119">
        <f t="shared" si="412"/>
        <v>0</v>
      </c>
      <c r="O257" s="119">
        <f t="shared" si="412"/>
        <v>0</v>
      </c>
      <c r="P257" s="119">
        <f t="shared" si="412"/>
        <v>0</v>
      </c>
      <c r="Q257" s="119">
        <f t="shared" si="412"/>
        <v>5.84</v>
      </c>
      <c r="R257" s="119">
        <f t="shared" si="412"/>
        <v>0.73</v>
      </c>
      <c r="S257" s="119">
        <f t="shared" si="412"/>
        <v>16.47</v>
      </c>
      <c r="T257" s="119">
        <f t="shared" si="412"/>
        <v>1.6</v>
      </c>
      <c r="U257" s="119">
        <f t="shared" si="412"/>
        <v>7.0000000000000007E-2</v>
      </c>
      <c r="V257" s="119">
        <f t="shared" si="412"/>
        <v>1.73</v>
      </c>
      <c r="W257" s="119">
        <f t="shared" si="412"/>
        <v>9.16</v>
      </c>
      <c r="X257" s="119">
        <f t="shared" si="412"/>
        <v>0</v>
      </c>
      <c r="Y257" s="119">
        <f t="shared" si="412"/>
        <v>0.01</v>
      </c>
      <c r="Z257" s="119">
        <f>SUM(B257:Y257)</f>
        <v>36.54</v>
      </c>
      <c r="AA257" s="144">
        <f>Z257/$Z$295</f>
        <v>2.9869193531774632E-3</v>
      </c>
      <c r="AC257" s="119">
        <f t="shared" si="400"/>
        <v>25.64</v>
      </c>
      <c r="AD257" s="119">
        <f t="shared" si="401"/>
        <v>10.89</v>
      </c>
      <c r="AE257" s="119">
        <f t="shared" si="403"/>
        <v>0.01</v>
      </c>
      <c r="AF257" s="119">
        <f>SUM(AC257:AE257)</f>
        <v>36.54</v>
      </c>
      <c r="AG257" s="143">
        <f>AD257/AF257</f>
        <v>0.29802955665024633</v>
      </c>
    </row>
    <row r="258" spans="1:43" x14ac:dyDescent="0.35">
      <c r="A258" s="6" t="s">
        <v>34</v>
      </c>
      <c r="B258" s="12"/>
      <c r="C258" s="12"/>
      <c r="D258" s="12"/>
      <c r="E258" s="12"/>
      <c r="F258" s="12"/>
      <c r="G258" s="12"/>
      <c r="H258" s="12"/>
      <c r="I258" s="12"/>
      <c r="J258" s="12"/>
      <c r="K258" s="12"/>
      <c r="L258" s="12"/>
      <c r="M258" s="12"/>
      <c r="N258" s="12"/>
      <c r="O258" s="12"/>
      <c r="P258" s="12"/>
      <c r="Q258" s="12">
        <v>5.84</v>
      </c>
      <c r="R258" s="12"/>
      <c r="S258" s="12">
        <v>1.1599999999999999</v>
      </c>
      <c r="T258" s="12"/>
      <c r="U258" s="12"/>
      <c r="V258" s="12">
        <v>1.73</v>
      </c>
      <c r="W258" s="12"/>
      <c r="X258" s="12"/>
      <c r="Y258" s="12"/>
      <c r="Z258" s="12">
        <f t="shared" si="402"/>
        <v>8.73</v>
      </c>
      <c r="AA258" s="150">
        <f t="shared" si="404"/>
        <v>7.1362358930594566E-4</v>
      </c>
      <c r="AC258" s="12">
        <f t="shared" si="400"/>
        <v>7</v>
      </c>
      <c r="AD258" s="12">
        <f t="shared" si="401"/>
        <v>1.73</v>
      </c>
      <c r="AE258" s="12">
        <f t="shared" si="403"/>
        <v>0</v>
      </c>
      <c r="AF258" s="12">
        <f>SUM(AC258:AE258)</f>
        <v>8.73</v>
      </c>
      <c r="AG258" s="150">
        <f t="shared" ref="AG258" si="413">AD258/AF258</f>
        <v>0.1981672394043528</v>
      </c>
    </row>
    <row r="259" spans="1:43" x14ac:dyDescent="0.35">
      <c r="A259" s="6" t="s">
        <v>61</v>
      </c>
      <c r="B259" s="12"/>
      <c r="C259" s="54">
        <v>0.05</v>
      </c>
      <c r="D259" s="12"/>
      <c r="E259" s="12"/>
      <c r="F259" s="12"/>
      <c r="G259" s="12"/>
      <c r="H259" s="12"/>
      <c r="I259" s="12"/>
      <c r="J259" s="12"/>
      <c r="K259" s="12"/>
      <c r="L259" s="12"/>
      <c r="M259" s="12"/>
      <c r="N259" s="12"/>
      <c r="O259" s="12"/>
      <c r="P259" s="12"/>
      <c r="Q259" s="54"/>
      <c r="R259" s="12"/>
      <c r="S259" s="12"/>
      <c r="T259" s="12">
        <v>0.93</v>
      </c>
      <c r="U259" s="12"/>
      <c r="V259" s="12"/>
      <c r="W259" s="12"/>
      <c r="X259" s="12"/>
      <c r="Y259" s="12"/>
      <c r="Z259" s="12">
        <f t="shared" si="402"/>
        <v>0.98000000000000009</v>
      </c>
      <c r="AA259" s="150">
        <f t="shared" si="404"/>
        <v>8.0108948169510516E-5</v>
      </c>
      <c r="AC259" s="12">
        <f t="shared" si="400"/>
        <v>0.98000000000000009</v>
      </c>
      <c r="AD259" s="12">
        <f t="shared" si="401"/>
        <v>0</v>
      </c>
      <c r="AE259" s="12">
        <f t="shared" si="403"/>
        <v>0</v>
      </c>
      <c r="AF259" s="12">
        <f>SUM(AC259:AE259)</f>
        <v>0.98000000000000009</v>
      </c>
      <c r="AG259" s="150"/>
      <c r="AI259" s="210" t="s">
        <v>255</v>
      </c>
      <c r="AN259" s="342"/>
      <c r="AO259" s="342" t="s">
        <v>256</v>
      </c>
      <c r="AP259" s="342" t="s">
        <v>96</v>
      </c>
      <c r="AQ259" s="342" t="s">
        <v>257</v>
      </c>
    </row>
    <row r="260" spans="1:43" x14ac:dyDescent="0.35">
      <c r="A260" s="6" t="s">
        <v>36</v>
      </c>
      <c r="B260" s="12">
        <v>0.88</v>
      </c>
      <c r="C260" s="12"/>
      <c r="D260" s="12"/>
      <c r="E260" s="12"/>
      <c r="F260" s="12"/>
      <c r="G260" s="12"/>
      <c r="H260" s="12"/>
      <c r="I260" s="12"/>
      <c r="J260" s="12"/>
      <c r="K260" s="12"/>
      <c r="L260" s="54"/>
      <c r="M260" s="12"/>
      <c r="N260" s="12"/>
      <c r="O260" s="12"/>
      <c r="P260" s="12"/>
      <c r="Q260" s="12"/>
      <c r="R260" s="12">
        <v>0.73</v>
      </c>
      <c r="S260" s="12">
        <v>15.31</v>
      </c>
      <c r="T260" s="12">
        <v>0.67</v>
      </c>
      <c r="U260" s="12">
        <v>7.0000000000000007E-2</v>
      </c>
      <c r="V260" s="12"/>
      <c r="W260" s="12">
        <v>9.16</v>
      </c>
      <c r="X260" s="12"/>
      <c r="Y260" s="12">
        <v>0.01</v>
      </c>
      <c r="Z260" s="12">
        <f t="shared" si="402"/>
        <v>26.830000000000005</v>
      </c>
      <c r="AA260" s="150">
        <f t="shared" si="404"/>
        <v>2.1931868157020074E-3</v>
      </c>
      <c r="AC260" s="12">
        <f t="shared" si="400"/>
        <v>17.660000000000004</v>
      </c>
      <c r="AD260" s="12">
        <f t="shared" si="401"/>
        <v>9.16</v>
      </c>
      <c r="AE260" s="12">
        <f t="shared" si="403"/>
        <v>0.01</v>
      </c>
      <c r="AF260" s="12">
        <f>SUM(AC260:AE260)</f>
        <v>26.830000000000005</v>
      </c>
      <c r="AG260" s="150"/>
      <c r="AJ260" t="s">
        <v>256</v>
      </c>
      <c r="AK260" t="s">
        <v>96</v>
      </c>
      <c r="AL260" t="s">
        <v>257</v>
      </c>
      <c r="AN260" s="118" t="s">
        <v>15</v>
      </c>
      <c r="AO260" s="343">
        <v>4896.0200000000004</v>
      </c>
      <c r="AP260" s="343">
        <v>8917.33</v>
      </c>
      <c r="AQ260" s="190">
        <f t="shared" ref="AQ260" si="414">AO260/AP260</f>
        <v>0.54904551025923687</v>
      </c>
    </row>
    <row r="261" spans="1:43" x14ac:dyDescent="0.35">
      <c r="A261" s="11" t="s">
        <v>14</v>
      </c>
      <c r="B261" s="119">
        <f>SUM(B262:B265)</f>
        <v>118.29</v>
      </c>
      <c r="C261" s="119">
        <f t="shared" ref="C261:Y261" si="415">SUM(C262:C265)</f>
        <v>4.7</v>
      </c>
      <c r="D261" s="119">
        <f t="shared" si="415"/>
        <v>0</v>
      </c>
      <c r="E261" s="119">
        <f t="shared" si="415"/>
        <v>0</v>
      </c>
      <c r="F261" s="119">
        <f t="shared" si="415"/>
        <v>0</v>
      </c>
      <c r="G261" s="119">
        <f t="shared" si="415"/>
        <v>0</v>
      </c>
      <c r="H261" s="119">
        <f t="shared" si="415"/>
        <v>1.04</v>
      </c>
      <c r="I261" s="119">
        <f t="shared" si="415"/>
        <v>0</v>
      </c>
      <c r="J261" s="119">
        <f t="shared" si="415"/>
        <v>1.01</v>
      </c>
      <c r="K261" s="119">
        <f t="shared" si="415"/>
        <v>0.39</v>
      </c>
      <c r="L261" s="119">
        <f t="shared" si="415"/>
        <v>0</v>
      </c>
      <c r="M261" s="119">
        <f t="shared" si="415"/>
        <v>0</v>
      </c>
      <c r="N261" s="119">
        <f t="shared" si="415"/>
        <v>0</v>
      </c>
      <c r="O261" s="119">
        <f t="shared" si="415"/>
        <v>1.77</v>
      </c>
      <c r="P261" s="119">
        <f t="shared" si="415"/>
        <v>0.36</v>
      </c>
      <c r="Q261" s="119">
        <f t="shared" si="415"/>
        <v>0</v>
      </c>
      <c r="R261" s="119">
        <f t="shared" si="415"/>
        <v>18.509999999999998</v>
      </c>
      <c r="S261" s="119">
        <f t="shared" si="415"/>
        <v>31.19</v>
      </c>
      <c r="T261" s="119">
        <f t="shared" si="415"/>
        <v>7.42</v>
      </c>
      <c r="U261" s="119">
        <f t="shared" si="415"/>
        <v>40.229999999999997</v>
      </c>
      <c r="V261" s="119">
        <f t="shared" si="415"/>
        <v>30.990000000000002</v>
      </c>
      <c r="W261" s="119">
        <f t="shared" si="415"/>
        <v>70.010000000000005</v>
      </c>
      <c r="X261" s="119">
        <f t="shared" si="415"/>
        <v>99.980000000000018</v>
      </c>
      <c r="Y261" s="119">
        <f t="shared" si="415"/>
        <v>0</v>
      </c>
      <c r="Z261" s="119">
        <f>SUM(B261:Y261)</f>
        <v>425.89000000000004</v>
      </c>
      <c r="AA261" s="144">
        <f>Z261/$Z$295</f>
        <v>3.4813877485625339E-2</v>
      </c>
      <c r="AC261" s="119">
        <f t="shared" si="400"/>
        <v>224.91</v>
      </c>
      <c r="AD261" s="119">
        <f t="shared" si="401"/>
        <v>200.98000000000002</v>
      </c>
      <c r="AE261" s="119">
        <f t="shared" si="403"/>
        <v>0</v>
      </c>
      <c r="AF261" s="119">
        <f>SUM(AC261:AE261)</f>
        <v>425.89</v>
      </c>
      <c r="AG261" s="143">
        <f>AD261/AF261</f>
        <v>0.47190589119256154</v>
      </c>
      <c r="AI261" s="16" t="s">
        <v>42</v>
      </c>
      <c r="AJ261" s="12">
        <v>1647.64</v>
      </c>
      <c r="AK261" s="12">
        <v>3396.9900000000007</v>
      </c>
      <c r="AL261" s="382">
        <f>AJ261/AK261</f>
        <v>0.48502939366910108</v>
      </c>
      <c r="AN261" s="118" t="s">
        <v>5</v>
      </c>
      <c r="AO261" s="343">
        <v>459.89</v>
      </c>
      <c r="AP261" s="343">
        <v>1099.6999999999998</v>
      </c>
      <c r="AQ261" s="190">
        <f>AO261/AP261</f>
        <v>0.41819587160134586</v>
      </c>
    </row>
    <row r="262" spans="1:43" x14ac:dyDescent="0.35">
      <c r="A262" s="6" t="s">
        <v>37</v>
      </c>
      <c r="B262" s="12"/>
      <c r="C262" s="12"/>
      <c r="D262" s="12"/>
      <c r="E262" s="12"/>
      <c r="F262" s="12"/>
      <c r="G262" s="12"/>
      <c r="H262" s="12"/>
      <c r="I262" s="12"/>
      <c r="J262" s="12"/>
      <c r="K262" s="12"/>
      <c r="L262" s="12"/>
      <c r="M262" s="12"/>
      <c r="N262" s="12"/>
      <c r="O262" s="12"/>
      <c r="P262" s="12"/>
      <c r="Q262" s="12"/>
      <c r="R262" s="12"/>
      <c r="S262" s="12"/>
      <c r="T262" s="12">
        <v>0.25</v>
      </c>
      <c r="U262" s="12">
        <v>1.58</v>
      </c>
      <c r="V262" s="12"/>
      <c r="W262" s="12">
        <v>0.81</v>
      </c>
      <c r="X262" s="12"/>
      <c r="Y262" s="12"/>
      <c r="Z262" s="12">
        <f t="shared" si="402"/>
        <v>2.64</v>
      </c>
      <c r="AA262" s="150">
        <f t="shared" si="404"/>
        <v>2.1580369710970179E-4</v>
      </c>
      <c r="AC262" s="12">
        <f t="shared" si="400"/>
        <v>1.83</v>
      </c>
      <c r="AD262" s="12">
        <f t="shared" si="401"/>
        <v>0.81</v>
      </c>
      <c r="AE262" s="12">
        <f t="shared" si="403"/>
        <v>0</v>
      </c>
      <c r="AF262" s="12">
        <f t="shared" ref="AF262:AF265" si="416">SUM(AC262:AE262)</f>
        <v>2.64</v>
      </c>
      <c r="AG262" s="150"/>
      <c r="AI262" s="16" t="s">
        <v>41</v>
      </c>
      <c r="AJ262" s="12">
        <v>1363.77</v>
      </c>
      <c r="AK262" s="12">
        <v>2166.29</v>
      </c>
      <c r="AL262" s="382">
        <f t="shared" ref="AL262:AL277" si="417">AJ262/AK262</f>
        <v>0.62954175110442279</v>
      </c>
      <c r="AN262" s="118" t="s">
        <v>17</v>
      </c>
      <c r="AO262" s="343">
        <v>256.32</v>
      </c>
      <c r="AP262" s="343">
        <v>558.29000000000008</v>
      </c>
      <c r="AQ262" s="190">
        <f t="shared" ref="AQ262:AQ266" si="418">AO262/AP262</f>
        <v>0.45911622991635165</v>
      </c>
    </row>
    <row r="263" spans="1:43" x14ac:dyDescent="0.35">
      <c r="A263" s="6" t="s">
        <v>38</v>
      </c>
      <c r="B263" s="12"/>
      <c r="C263" s="54"/>
      <c r="D263" s="12"/>
      <c r="E263" s="12"/>
      <c r="F263" s="12"/>
      <c r="G263" s="12"/>
      <c r="H263" s="12"/>
      <c r="I263" s="12"/>
      <c r="J263" s="12"/>
      <c r="K263" s="12"/>
      <c r="L263" s="12"/>
      <c r="M263" s="12"/>
      <c r="N263" s="12"/>
      <c r="O263" s="12"/>
      <c r="P263" s="12"/>
      <c r="Q263" s="12"/>
      <c r="R263" s="12"/>
      <c r="S263" s="12"/>
      <c r="T263" s="12">
        <v>1.07</v>
      </c>
      <c r="U263" s="12"/>
      <c r="V263" s="12"/>
      <c r="W263" s="12"/>
      <c r="X263" s="12"/>
      <c r="Y263" s="12"/>
      <c r="Z263" s="12">
        <f t="shared" si="402"/>
        <v>1.07</v>
      </c>
      <c r="AA263" s="150">
        <f t="shared" si="404"/>
        <v>8.7465892389159439E-5</v>
      </c>
      <c r="AC263" s="12">
        <f t="shared" si="400"/>
        <v>1.07</v>
      </c>
      <c r="AD263" s="12">
        <f t="shared" si="401"/>
        <v>0</v>
      </c>
      <c r="AE263" s="12">
        <f t="shared" si="403"/>
        <v>0</v>
      </c>
      <c r="AF263" s="12">
        <f t="shared" si="416"/>
        <v>1.07</v>
      </c>
      <c r="AG263" s="150"/>
      <c r="AI263" s="16" t="s">
        <v>45</v>
      </c>
      <c r="AJ263" s="12">
        <v>1290.75</v>
      </c>
      <c r="AK263" s="12">
        <v>2503.2600000000002</v>
      </c>
      <c r="AL263" s="382">
        <f t="shared" si="417"/>
        <v>0.5156276215814577</v>
      </c>
      <c r="AN263" s="118" t="s">
        <v>14</v>
      </c>
      <c r="AO263" s="343">
        <v>200.98000000000002</v>
      </c>
      <c r="AP263" s="343">
        <v>425.89</v>
      </c>
      <c r="AQ263" s="190">
        <f t="shared" si="418"/>
        <v>0.47190589119256154</v>
      </c>
    </row>
    <row r="264" spans="1:43" x14ac:dyDescent="0.35">
      <c r="A264" s="6" t="s">
        <v>39</v>
      </c>
      <c r="B264" s="12">
        <v>118.23</v>
      </c>
      <c r="C264" s="12">
        <v>4.7</v>
      </c>
      <c r="D264" s="12"/>
      <c r="E264" s="12"/>
      <c r="F264" s="12"/>
      <c r="G264" s="12"/>
      <c r="H264" s="12">
        <v>1.04</v>
      </c>
      <c r="I264" s="12"/>
      <c r="J264" s="12">
        <v>1.01</v>
      </c>
      <c r="K264" s="12">
        <v>0.39</v>
      </c>
      <c r="L264" s="12"/>
      <c r="M264" s="12"/>
      <c r="N264" s="12"/>
      <c r="O264" s="12">
        <v>1.77</v>
      </c>
      <c r="P264" s="12"/>
      <c r="Q264" s="12"/>
      <c r="R264" s="12">
        <v>18.509999999999998</v>
      </c>
      <c r="S264" s="54">
        <v>30.93</v>
      </c>
      <c r="T264" s="12">
        <v>5.46</v>
      </c>
      <c r="U264" s="12">
        <v>36.07</v>
      </c>
      <c r="V264" s="12">
        <v>26.040000000000003</v>
      </c>
      <c r="W264" s="54">
        <v>69.2</v>
      </c>
      <c r="X264" s="12">
        <v>99.980000000000018</v>
      </c>
      <c r="Y264" s="12"/>
      <c r="Z264" s="12">
        <f t="shared" si="402"/>
        <v>413.33000000000004</v>
      </c>
      <c r="AA264" s="150">
        <f t="shared" si="404"/>
        <v>3.3787175047861003E-2</v>
      </c>
      <c r="AC264" s="12">
        <f t="shared" si="400"/>
        <v>218.11</v>
      </c>
      <c r="AD264" s="12">
        <f t="shared" si="401"/>
        <v>195.22000000000003</v>
      </c>
      <c r="AE264" s="12">
        <f t="shared" si="403"/>
        <v>0</v>
      </c>
      <c r="AF264" s="12">
        <f t="shared" si="416"/>
        <v>413.33000000000004</v>
      </c>
      <c r="AG264" s="150">
        <f t="shared" ref="AG264:AG265" si="419">AD264/AF264</f>
        <v>0.47231026056661751</v>
      </c>
      <c r="AI264" s="16" t="s">
        <v>43</v>
      </c>
      <c r="AJ264" s="12">
        <v>573.76</v>
      </c>
      <c r="AK264" s="12">
        <v>729.86</v>
      </c>
      <c r="AL264" s="382">
        <f t="shared" si="417"/>
        <v>0.78612336612501021</v>
      </c>
      <c r="AN264" s="118" t="s">
        <v>12</v>
      </c>
      <c r="AO264" s="343">
        <v>182.4</v>
      </c>
      <c r="AP264" s="343">
        <v>449.48</v>
      </c>
      <c r="AQ264" s="190">
        <f t="shared" si="418"/>
        <v>0.40580226038978373</v>
      </c>
    </row>
    <row r="265" spans="1:43" x14ac:dyDescent="0.35">
      <c r="A265" s="6" t="s">
        <v>40</v>
      </c>
      <c r="B265" s="12">
        <v>0.06</v>
      </c>
      <c r="C265" s="12"/>
      <c r="D265" s="12"/>
      <c r="E265" s="12"/>
      <c r="F265" s="12"/>
      <c r="G265" s="12"/>
      <c r="H265" s="12"/>
      <c r="I265" s="12"/>
      <c r="J265" s="12"/>
      <c r="K265" s="12"/>
      <c r="L265" s="12"/>
      <c r="M265" s="12"/>
      <c r="N265" s="12"/>
      <c r="O265" s="12"/>
      <c r="P265" s="12">
        <v>0.36</v>
      </c>
      <c r="Q265" s="12"/>
      <c r="R265" s="12"/>
      <c r="S265" s="12">
        <v>0.26</v>
      </c>
      <c r="T265" s="12">
        <v>0.64</v>
      </c>
      <c r="U265" s="54">
        <v>2.58</v>
      </c>
      <c r="V265" s="12">
        <v>4.95</v>
      </c>
      <c r="W265" s="54"/>
      <c r="X265" s="12"/>
      <c r="Y265" s="12"/>
      <c r="Z265" s="12">
        <f t="shared" si="402"/>
        <v>8.85</v>
      </c>
      <c r="AA265" s="150">
        <f t="shared" si="404"/>
        <v>7.2343284826547748E-4</v>
      </c>
      <c r="AC265" s="12">
        <f t="shared" si="400"/>
        <v>3.9</v>
      </c>
      <c r="AD265" s="12">
        <f t="shared" si="401"/>
        <v>4.95</v>
      </c>
      <c r="AE265" s="12">
        <f t="shared" si="403"/>
        <v>0</v>
      </c>
      <c r="AF265" s="12">
        <f t="shared" si="416"/>
        <v>8.85</v>
      </c>
      <c r="AG265" s="150">
        <f t="shared" si="419"/>
        <v>0.55932203389830515</v>
      </c>
      <c r="AI265" s="16" t="s">
        <v>39</v>
      </c>
      <c r="AJ265" s="12">
        <v>195.22000000000003</v>
      </c>
      <c r="AK265" s="12">
        <v>413.33000000000004</v>
      </c>
      <c r="AL265" s="382">
        <f t="shared" si="417"/>
        <v>0.47231026056661751</v>
      </c>
      <c r="AN265" s="118" t="s">
        <v>16</v>
      </c>
      <c r="AO265" s="343">
        <v>132.56</v>
      </c>
      <c r="AP265" s="343">
        <v>379.12</v>
      </c>
      <c r="AQ265" s="190">
        <f t="shared" si="418"/>
        <v>0.34965182527959487</v>
      </c>
    </row>
    <row r="266" spans="1:43" x14ac:dyDescent="0.35">
      <c r="A266" s="11" t="s">
        <v>15</v>
      </c>
      <c r="B266" s="119">
        <f>SUM(B267:B271)</f>
        <v>49.560000000000009</v>
      </c>
      <c r="C266" s="119">
        <f t="shared" ref="C266:Y266" si="420">SUM(C267:C271)</f>
        <v>107.34</v>
      </c>
      <c r="D266" s="119">
        <f t="shared" si="420"/>
        <v>38.79</v>
      </c>
      <c r="E266" s="119">
        <f t="shared" si="420"/>
        <v>0</v>
      </c>
      <c r="F266" s="119">
        <f t="shared" si="420"/>
        <v>61.879999999999995</v>
      </c>
      <c r="G266" s="119">
        <f t="shared" si="420"/>
        <v>20.27</v>
      </c>
      <c r="H266" s="119">
        <f t="shared" si="420"/>
        <v>22.96</v>
      </c>
      <c r="I266" s="119">
        <f t="shared" si="420"/>
        <v>13.030000000000001</v>
      </c>
      <c r="J266" s="119">
        <f t="shared" si="420"/>
        <v>35.049999999999997</v>
      </c>
      <c r="K266" s="119">
        <f t="shared" si="420"/>
        <v>32.510000000000005</v>
      </c>
      <c r="L266" s="119">
        <f t="shared" si="420"/>
        <v>16.559999999999999</v>
      </c>
      <c r="M266" s="119">
        <f t="shared" si="420"/>
        <v>29.92</v>
      </c>
      <c r="N266" s="119">
        <f t="shared" si="420"/>
        <v>41.480000000000004</v>
      </c>
      <c r="O266" s="119">
        <f t="shared" si="420"/>
        <v>61.140000000000008</v>
      </c>
      <c r="P266" s="119">
        <f t="shared" si="420"/>
        <v>116.43</v>
      </c>
      <c r="Q266" s="119">
        <f t="shared" si="420"/>
        <v>211.67999999999998</v>
      </c>
      <c r="R266" s="119">
        <f t="shared" si="420"/>
        <v>481.66</v>
      </c>
      <c r="S266" s="119">
        <f t="shared" si="420"/>
        <v>393.28000000000003</v>
      </c>
      <c r="T266" s="119">
        <f t="shared" si="420"/>
        <v>853.40000000000009</v>
      </c>
      <c r="U266" s="119">
        <f t="shared" si="420"/>
        <v>1430.47</v>
      </c>
      <c r="V266" s="119">
        <f t="shared" si="420"/>
        <v>1437.25</v>
      </c>
      <c r="W266" s="119">
        <f t="shared" si="420"/>
        <v>1927.1599999999999</v>
      </c>
      <c r="X266" s="119">
        <f t="shared" si="420"/>
        <v>1531.6100000000001</v>
      </c>
      <c r="Y266" s="119">
        <f t="shared" si="420"/>
        <v>3.9</v>
      </c>
      <c r="Z266" s="119">
        <f>SUM(B266:Y266)</f>
        <v>8917.33</v>
      </c>
      <c r="AA266" s="144">
        <f>Z266/$Z$295</f>
        <v>0.72893665998002155</v>
      </c>
      <c r="AC266" s="119">
        <f t="shared" si="400"/>
        <v>4017.41</v>
      </c>
      <c r="AD266" s="119">
        <f t="shared" si="401"/>
        <v>4896.0200000000004</v>
      </c>
      <c r="AE266" s="131">
        <f t="shared" si="403"/>
        <v>3.9</v>
      </c>
      <c r="AF266" s="119">
        <f>SUM(AC266:AE266)</f>
        <v>8917.33</v>
      </c>
      <c r="AG266" s="143">
        <f>AD266/AF266</f>
        <v>0.54904551025923687</v>
      </c>
      <c r="AI266" s="6" t="s">
        <v>26</v>
      </c>
      <c r="AJ266" s="12">
        <v>178.73000000000002</v>
      </c>
      <c r="AK266" s="12">
        <v>356.91</v>
      </c>
      <c r="AL266" s="382">
        <f t="shared" si="417"/>
        <v>0.50077050236754361</v>
      </c>
      <c r="AN266" s="118" t="s">
        <v>21</v>
      </c>
      <c r="AO266" s="343">
        <v>109.94</v>
      </c>
      <c r="AP266" s="343">
        <v>202.54000000000002</v>
      </c>
      <c r="AQ266" s="190">
        <f t="shared" si="418"/>
        <v>0.54280635923768139</v>
      </c>
    </row>
    <row r="267" spans="1:43" x14ac:dyDescent="0.35">
      <c r="A267" s="6" t="s">
        <v>41</v>
      </c>
      <c r="B267" s="12">
        <v>2.06</v>
      </c>
      <c r="C267" s="12">
        <v>46.42</v>
      </c>
      <c r="D267" s="12"/>
      <c r="E267" s="12"/>
      <c r="F267" s="12">
        <v>25.72</v>
      </c>
      <c r="G267" s="12">
        <v>2.99</v>
      </c>
      <c r="H267" s="12">
        <v>2.46</v>
      </c>
      <c r="I267" s="12">
        <v>0.79</v>
      </c>
      <c r="J267" s="12">
        <v>19.23</v>
      </c>
      <c r="K267" s="54"/>
      <c r="L267" s="12">
        <v>0.06</v>
      </c>
      <c r="M267" s="12">
        <v>14.24</v>
      </c>
      <c r="N267" s="12">
        <v>10.49</v>
      </c>
      <c r="O267" s="12">
        <v>7.99</v>
      </c>
      <c r="P267" s="12">
        <v>6.18</v>
      </c>
      <c r="Q267" s="12">
        <v>49.86</v>
      </c>
      <c r="R267" s="12">
        <v>45.96</v>
      </c>
      <c r="S267" s="12">
        <v>82.929999999999993</v>
      </c>
      <c r="T267" s="12">
        <v>176.83</v>
      </c>
      <c r="U267" s="12">
        <v>307.84000000000003</v>
      </c>
      <c r="V267" s="12">
        <v>443.12</v>
      </c>
      <c r="W267" s="12">
        <v>546.81999999999994</v>
      </c>
      <c r="X267" s="12">
        <v>373.83</v>
      </c>
      <c r="Y267" s="12">
        <v>0.47000000000000003</v>
      </c>
      <c r="Z267" s="12">
        <f t="shared" si="402"/>
        <v>2166.29</v>
      </c>
      <c r="AA267" s="150">
        <f t="shared" si="404"/>
        <v>0.17708082992870297</v>
      </c>
      <c r="AC267" s="12">
        <f t="shared" si="400"/>
        <v>802.05000000000007</v>
      </c>
      <c r="AD267" s="12">
        <f t="shared" si="401"/>
        <v>1363.77</v>
      </c>
      <c r="AE267" s="54">
        <f t="shared" si="403"/>
        <v>0.47000000000000003</v>
      </c>
      <c r="AF267" s="12">
        <f t="shared" ref="AF267:AF271" si="421">SUM(AC267:AE267)</f>
        <v>2166.29</v>
      </c>
      <c r="AG267" s="150">
        <f t="shared" ref="AG267:AG271" si="422">AD267/AF267</f>
        <v>0.62954175110442279</v>
      </c>
      <c r="AI267" s="6" t="s">
        <v>8</v>
      </c>
      <c r="AJ267" s="12">
        <v>134.87</v>
      </c>
      <c r="AK267" s="12">
        <v>340.57000000000005</v>
      </c>
      <c r="AL267" s="382">
        <f t="shared" si="417"/>
        <v>0.39601256716680855</v>
      </c>
    </row>
    <row r="268" spans="1:43" x14ac:dyDescent="0.35">
      <c r="A268" s="6" t="s">
        <v>42</v>
      </c>
      <c r="B268" s="12">
        <v>47.500000000000007</v>
      </c>
      <c r="C268" s="12">
        <v>35.200000000000003</v>
      </c>
      <c r="D268" s="12">
        <v>8.8699999999999992</v>
      </c>
      <c r="E268" s="54"/>
      <c r="F268" s="12">
        <v>8.56</v>
      </c>
      <c r="G268" s="12">
        <v>4.3099999999999996</v>
      </c>
      <c r="H268" s="54">
        <v>11.9</v>
      </c>
      <c r="I268" s="54">
        <v>11.810000000000002</v>
      </c>
      <c r="J268" s="12">
        <v>12.059999999999999</v>
      </c>
      <c r="K268" s="12">
        <v>14.95</v>
      </c>
      <c r="L268" s="12">
        <v>11.51</v>
      </c>
      <c r="M268" s="12">
        <v>12.29</v>
      </c>
      <c r="N268" s="12">
        <v>22.92</v>
      </c>
      <c r="O268" s="12">
        <v>25.68</v>
      </c>
      <c r="P268" s="12">
        <v>54.110000000000007</v>
      </c>
      <c r="Q268" s="12">
        <v>84.529999999999987</v>
      </c>
      <c r="R268" s="12">
        <v>226.05999999999997</v>
      </c>
      <c r="S268" s="12">
        <v>148.94</v>
      </c>
      <c r="T268" s="12">
        <v>355.23000000000013</v>
      </c>
      <c r="U268" s="12">
        <v>650.1400000000001</v>
      </c>
      <c r="V268" s="12">
        <v>590.32000000000005</v>
      </c>
      <c r="W268" s="12">
        <v>553.58000000000015</v>
      </c>
      <c r="X268" s="12">
        <v>503.74000000000007</v>
      </c>
      <c r="Y268" s="12">
        <v>2.78</v>
      </c>
      <c r="Z268" s="12">
        <f t="shared" si="402"/>
        <v>3396.9900000000007</v>
      </c>
      <c r="AA268" s="150">
        <f t="shared" si="404"/>
        <v>0.27768295494116896</v>
      </c>
      <c r="AC268" s="12">
        <f t="shared" si="400"/>
        <v>1746.5700000000004</v>
      </c>
      <c r="AD268" s="12">
        <f t="shared" si="401"/>
        <v>1647.64</v>
      </c>
      <c r="AE268" s="54">
        <f t="shared" si="403"/>
        <v>2.78</v>
      </c>
      <c r="AF268" s="12">
        <f t="shared" si="421"/>
        <v>3396.9900000000007</v>
      </c>
      <c r="AG268" s="150">
        <f t="shared" si="422"/>
        <v>0.48502939366910108</v>
      </c>
      <c r="AI268" s="6" t="s">
        <v>55</v>
      </c>
      <c r="AJ268" s="12">
        <v>128.99</v>
      </c>
      <c r="AK268" s="12">
        <v>242.92000000000002</v>
      </c>
      <c r="AL268" s="382">
        <f t="shared" si="417"/>
        <v>0.53099785937757282</v>
      </c>
    </row>
    <row r="269" spans="1:43" x14ac:dyDescent="0.35">
      <c r="A269" s="6" t="s">
        <v>43</v>
      </c>
      <c r="B269" s="12"/>
      <c r="C269" s="12"/>
      <c r="D269" s="12"/>
      <c r="E269" s="12"/>
      <c r="F269" s="12"/>
      <c r="G269" s="12"/>
      <c r="H269" s="12">
        <v>0.91</v>
      </c>
      <c r="I269" s="12"/>
      <c r="J269" s="12"/>
      <c r="K269" s="12"/>
      <c r="L269" s="12">
        <v>2.17</v>
      </c>
      <c r="M269" s="12"/>
      <c r="N269" s="54"/>
      <c r="O269" s="12">
        <v>0.2</v>
      </c>
      <c r="P269" s="12">
        <v>2.76</v>
      </c>
      <c r="Q269" s="12">
        <v>5.59</v>
      </c>
      <c r="R269" s="12">
        <v>14.35</v>
      </c>
      <c r="S269" s="12">
        <v>9.3099999999999987</v>
      </c>
      <c r="T269" s="12">
        <v>56.040000000000006</v>
      </c>
      <c r="U269" s="12">
        <v>64.62</v>
      </c>
      <c r="V269" s="12">
        <v>113.02999999999999</v>
      </c>
      <c r="W269" s="12">
        <v>292.5</v>
      </c>
      <c r="X269" s="12">
        <v>168.23000000000002</v>
      </c>
      <c r="Y269" s="12">
        <v>0.15000000000000002</v>
      </c>
      <c r="Z269" s="12">
        <f t="shared" si="402"/>
        <v>729.86</v>
      </c>
      <c r="AA269" s="150">
        <f t="shared" si="404"/>
        <v>5.966154786836627E-2</v>
      </c>
      <c r="AC269" s="12">
        <f t="shared" si="400"/>
        <v>155.94999999999999</v>
      </c>
      <c r="AD269" s="12">
        <f t="shared" si="401"/>
        <v>573.76</v>
      </c>
      <c r="AE269" s="12">
        <f t="shared" si="403"/>
        <v>0.15000000000000002</v>
      </c>
      <c r="AF269" s="12">
        <f t="shared" si="421"/>
        <v>729.86</v>
      </c>
      <c r="AG269" s="150">
        <f t="shared" si="422"/>
        <v>0.78612336612501021</v>
      </c>
      <c r="AI269" s="6" t="s">
        <v>56</v>
      </c>
      <c r="AJ269" s="12">
        <v>127.33000000000001</v>
      </c>
      <c r="AK269" s="12">
        <v>315.37</v>
      </c>
      <c r="AL269" s="382">
        <f t="shared" si="417"/>
        <v>0.40374797856486033</v>
      </c>
    </row>
    <row r="270" spans="1:43" x14ac:dyDescent="0.35">
      <c r="A270" s="6" t="s">
        <v>44</v>
      </c>
      <c r="B270" s="12"/>
      <c r="C270" s="12"/>
      <c r="D270" s="12"/>
      <c r="E270" s="12"/>
      <c r="F270" s="12"/>
      <c r="G270" s="12"/>
      <c r="H270" s="12"/>
      <c r="I270" s="12"/>
      <c r="J270" s="12"/>
      <c r="K270" s="12"/>
      <c r="L270" s="12"/>
      <c r="M270" s="12"/>
      <c r="N270" s="12"/>
      <c r="O270" s="12"/>
      <c r="P270" s="12"/>
      <c r="Q270" s="12"/>
      <c r="R270" s="12"/>
      <c r="S270" s="12"/>
      <c r="T270" s="12">
        <v>31.68</v>
      </c>
      <c r="U270" s="12">
        <v>69.05</v>
      </c>
      <c r="V270" s="12">
        <v>17.72</v>
      </c>
      <c r="W270" s="12">
        <v>2.36</v>
      </c>
      <c r="X270" s="12">
        <v>0.02</v>
      </c>
      <c r="Y270" s="12">
        <v>0.1</v>
      </c>
      <c r="Z270" s="12">
        <f t="shared" si="402"/>
        <v>120.92999999999998</v>
      </c>
      <c r="AA270" s="150">
        <f t="shared" si="404"/>
        <v>9.8852807164682699E-3</v>
      </c>
      <c r="AC270" s="12">
        <f t="shared" si="400"/>
        <v>100.72999999999999</v>
      </c>
      <c r="AD270" s="12">
        <f t="shared" si="401"/>
        <v>20.099999999999998</v>
      </c>
      <c r="AE270" s="12">
        <f t="shared" si="403"/>
        <v>0.1</v>
      </c>
      <c r="AF270" s="12">
        <f t="shared" si="421"/>
        <v>120.92999999999998</v>
      </c>
      <c r="AG270" s="150">
        <f t="shared" si="422"/>
        <v>0.16621185809972713</v>
      </c>
      <c r="AI270" s="6" t="s">
        <v>21</v>
      </c>
      <c r="AJ270" s="12">
        <v>109.94</v>
      </c>
      <c r="AK270" s="12">
        <v>202.54000000000002</v>
      </c>
      <c r="AL270" s="382">
        <f t="shared" si="417"/>
        <v>0.54280635923768139</v>
      </c>
    </row>
    <row r="271" spans="1:43" x14ac:dyDescent="0.35">
      <c r="A271" s="6" t="s">
        <v>45</v>
      </c>
      <c r="B271" s="12"/>
      <c r="C271" s="12">
        <v>25.72</v>
      </c>
      <c r="D271" s="12">
        <v>29.919999999999998</v>
      </c>
      <c r="E271" s="12"/>
      <c r="F271" s="12">
        <v>27.599999999999998</v>
      </c>
      <c r="G271" s="12">
        <v>12.969999999999999</v>
      </c>
      <c r="H271" s="12">
        <v>7.6899999999999995</v>
      </c>
      <c r="I271" s="12">
        <v>0.43000000000000005</v>
      </c>
      <c r="J271" s="12">
        <v>3.76</v>
      </c>
      <c r="K271" s="12">
        <v>17.560000000000002</v>
      </c>
      <c r="L271" s="12">
        <v>2.82</v>
      </c>
      <c r="M271" s="12">
        <v>3.3899999999999997</v>
      </c>
      <c r="N271" s="12">
        <v>8.07</v>
      </c>
      <c r="O271" s="12">
        <v>27.270000000000003</v>
      </c>
      <c r="P271" s="54">
        <v>53.379999999999995</v>
      </c>
      <c r="Q271" s="12">
        <v>71.699999999999989</v>
      </c>
      <c r="R271" s="12">
        <v>195.29000000000002</v>
      </c>
      <c r="S271" s="12">
        <v>152.10000000000002</v>
      </c>
      <c r="T271" s="12">
        <v>233.62000000000003</v>
      </c>
      <c r="U271" s="12">
        <v>338.81999999999994</v>
      </c>
      <c r="V271" s="12">
        <v>273.05999999999995</v>
      </c>
      <c r="W271" s="12">
        <v>531.9</v>
      </c>
      <c r="X271" s="12">
        <v>485.79</v>
      </c>
      <c r="Y271" s="12">
        <v>0.4</v>
      </c>
      <c r="Z271" s="12">
        <f t="shared" si="402"/>
        <v>2503.2600000000002</v>
      </c>
      <c r="AA271" s="150">
        <f t="shared" si="404"/>
        <v>0.20462604652531519</v>
      </c>
      <c r="AC271" s="12">
        <f t="shared" si="400"/>
        <v>1212.1100000000001</v>
      </c>
      <c r="AD271" s="12">
        <f t="shared" si="401"/>
        <v>1290.75</v>
      </c>
      <c r="AE271" s="54">
        <f t="shared" si="403"/>
        <v>0.4</v>
      </c>
      <c r="AF271" s="12">
        <f t="shared" si="421"/>
        <v>2503.2600000000002</v>
      </c>
      <c r="AG271" s="150">
        <f t="shared" si="422"/>
        <v>0.5156276215814577</v>
      </c>
      <c r="AI271" s="6" t="s">
        <v>33</v>
      </c>
      <c r="AJ271" s="12">
        <v>96.449999999999989</v>
      </c>
      <c r="AK271" s="12">
        <v>277.33</v>
      </c>
      <c r="AL271" s="382">
        <f t="shared" si="417"/>
        <v>0.34778062236324953</v>
      </c>
    </row>
    <row r="272" spans="1:43" x14ac:dyDescent="0.35">
      <c r="A272" s="11" t="s">
        <v>16</v>
      </c>
      <c r="B272" s="119">
        <f>SUM(B273:B281)</f>
        <v>0</v>
      </c>
      <c r="C272" s="119">
        <f t="shared" ref="C272:Y272" si="423">SUM(C273:C281)</f>
        <v>4.08</v>
      </c>
      <c r="D272" s="119">
        <f t="shared" si="423"/>
        <v>0</v>
      </c>
      <c r="E272" s="119">
        <f t="shared" si="423"/>
        <v>0</v>
      </c>
      <c r="F272" s="119">
        <f t="shared" si="423"/>
        <v>4.18</v>
      </c>
      <c r="G272" s="119">
        <f t="shared" si="423"/>
        <v>0</v>
      </c>
      <c r="H272" s="119">
        <f t="shared" si="423"/>
        <v>0</v>
      </c>
      <c r="I272" s="119">
        <f t="shared" si="423"/>
        <v>0</v>
      </c>
      <c r="J272" s="119">
        <f t="shared" si="423"/>
        <v>0</v>
      </c>
      <c r="K272" s="119">
        <f t="shared" si="423"/>
        <v>13.19</v>
      </c>
      <c r="L272" s="119">
        <f t="shared" si="423"/>
        <v>0.74</v>
      </c>
      <c r="M272" s="119">
        <f t="shared" si="423"/>
        <v>12.620000000000001</v>
      </c>
      <c r="N272" s="119">
        <f t="shared" si="423"/>
        <v>6.1</v>
      </c>
      <c r="O272" s="119">
        <f t="shared" si="423"/>
        <v>10.43</v>
      </c>
      <c r="P272" s="119">
        <f t="shared" si="423"/>
        <v>4.32</v>
      </c>
      <c r="Q272" s="119">
        <f t="shared" si="423"/>
        <v>12.46</v>
      </c>
      <c r="R272" s="119">
        <f t="shared" si="423"/>
        <v>32.209999999999994</v>
      </c>
      <c r="S272" s="119">
        <f t="shared" si="423"/>
        <v>35.160000000000004</v>
      </c>
      <c r="T272" s="119">
        <f t="shared" si="423"/>
        <v>25.16</v>
      </c>
      <c r="U272" s="119">
        <f t="shared" si="423"/>
        <v>85.91</v>
      </c>
      <c r="V272" s="119">
        <f t="shared" si="423"/>
        <v>72.64</v>
      </c>
      <c r="W272" s="119">
        <f t="shared" si="423"/>
        <v>45</v>
      </c>
      <c r="X272" s="119">
        <f t="shared" si="423"/>
        <v>14.92</v>
      </c>
      <c r="Y272" s="119">
        <f t="shared" si="423"/>
        <v>0</v>
      </c>
      <c r="Z272" s="119">
        <f>SUM(B272:Y272)</f>
        <v>379.12</v>
      </c>
      <c r="AA272" s="144">
        <f>Z272/$Z$295</f>
        <v>3.0990718806147781E-2</v>
      </c>
      <c r="AC272" s="119">
        <f t="shared" si="400"/>
        <v>246.56</v>
      </c>
      <c r="AD272" s="119">
        <f t="shared" si="401"/>
        <v>132.56</v>
      </c>
      <c r="AE272" s="119">
        <f t="shared" si="403"/>
        <v>0</v>
      </c>
      <c r="AF272" s="119">
        <f>SUM(AC272:AE272)</f>
        <v>379.12</v>
      </c>
      <c r="AG272" s="143">
        <f>AD272/AF272</f>
        <v>0.34965182527959487</v>
      </c>
      <c r="AI272" s="6" t="s">
        <v>28</v>
      </c>
      <c r="AJ272" s="12">
        <v>85.259999999999991</v>
      </c>
      <c r="AK272" s="12">
        <v>213.79000000000002</v>
      </c>
      <c r="AL272" s="382">
        <f t="shared" si="417"/>
        <v>0.39880256326301505</v>
      </c>
    </row>
    <row r="273" spans="1:38" x14ac:dyDescent="0.35">
      <c r="A273" s="6" t="s">
        <v>46</v>
      </c>
      <c r="B273" s="12"/>
      <c r="C273" s="12"/>
      <c r="D273" s="12"/>
      <c r="E273" s="12"/>
      <c r="F273" s="12"/>
      <c r="G273" s="12"/>
      <c r="H273" s="12"/>
      <c r="I273" s="12"/>
      <c r="J273" s="12"/>
      <c r="K273" s="12"/>
      <c r="L273" s="12"/>
      <c r="M273" s="12"/>
      <c r="N273" s="12"/>
      <c r="O273" s="12"/>
      <c r="P273" s="12"/>
      <c r="Q273" s="12">
        <v>0.49</v>
      </c>
      <c r="R273" s="12"/>
      <c r="S273" s="12">
        <v>6.7299999999999995</v>
      </c>
      <c r="T273" s="12"/>
      <c r="U273" s="12"/>
      <c r="V273" s="12">
        <v>2.8</v>
      </c>
      <c r="W273" s="12"/>
      <c r="X273" s="12">
        <v>1.54</v>
      </c>
      <c r="Y273" s="12"/>
      <c r="Z273" s="12">
        <f t="shared" si="402"/>
        <v>11.559999999999999</v>
      </c>
      <c r="AA273" s="150">
        <f t="shared" ref="AA273:AA281" si="424">Z273/$Z$295</f>
        <v>9.4495861310157285E-4</v>
      </c>
      <c r="AC273" s="12">
        <f t="shared" si="400"/>
        <v>7.22</v>
      </c>
      <c r="AD273" s="12">
        <f t="shared" si="401"/>
        <v>4.34</v>
      </c>
      <c r="AE273" s="12">
        <f t="shared" si="403"/>
        <v>0</v>
      </c>
      <c r="AF273" s="12">
        <f t="shared" ref="AF273:AF281" si="425">SUM(AC273:AE273)</f>
        <v>11.559999999999999</v>
      </c>
      <c r="AG273" s="150">
        <f t="shared" ref="AG273:AG274" si="426">AD273/AF273</f>
        <v>0.37543252595155713</v>
      </c>
      <c r="AI273" s="6" t="s">
        <v>31</v>
      </c>
      <c r="AJ273" s="12">
        <v>68.36</v>
      </c>
      <c r="AK273" s="12">
        <v>123.08</v>
      </c>
      <c r="AL273" s="382">
        <f t="shared" si="417"/>
        <v>0.555411114722132</v>
      </c>
    </row>
    <row r="274" spans="1:38" x14ac:dyDescent="0.35">
      <c r="A274" s="6" t="s">
        <v>47</v>
      </c>
      <c r="B274" s="12"/>
      <c r="C274" s="12"/>
      <c r="D274" s="12"/>
      <c r="E274" s="12"/>
      <c r="F274" s="12"/>
      <c r="G274" s="12"/>
      <c r="H274" s="12"/>
      <c r="I274" s="12"/>
      <c r="J274" s="12"/>
      <c r="K274" s="12"/>
      <c r="L274" s="12"/>
      <c r="M274" s="12"/>
      <c r="N274" s="12"/>
      <c r="O274" s="12"/>
      <c r="P274" s="12">
        <v>0.37</v>
      </c>
      <c r="Q274" s="12">
        <v>1.06</v>
      </c>
      <c r="R274" s="12"/>
      <c r="S274" s="12"/>
      <c r="T274" s="12">
        <v>0.27</v>
      </c>
      <c r="U274" s="12">
        <v>0.1</v>
      </c>
      <c r="V274" s="12">
        <v>0.12</v>
      </c>
      <c r="W274" s="12">
        <v>2.42</v>
      </c>
      <c r="X274" s="12">
        <v>4.5999999999999996</v>
      </c>
      <c r="Y274" s="12"/>
      <c r="Z274" s="12">
        <f t="shared" si="402"/>
        <v>8.94</v>
      </c>
      <c r="AA274" s="150">
        <f t="shared" si="424"/>
        <v>7.3078979248512648E-4</v>
      </c>
      <c r="AC274" s="12">
        <f t="shared" si="400"/>
        <v>1.8000000000000003</v>
      </c>
      <c r="AD274" s="12">
        <f t="shared" si="401"/>
        <v>7.14</v>
      </c>
      <c r="AE274" s="12">
        <f t="shared" si="403"/>
        <v>0</v>
      </c>
      <c r="AF274" s="12">
        <f t="shared" si="425"/>
        <v>8.94</v>
      </c>
      <c r="AG274" s="150">
        <f t="shared" si="426"/>
        <v>0.79865771812080533</v>
      </c>
      <c r="AI274" s="182" t="s">
        <v>53</v>
      </c>
      <c r="AJ274" s="12">
        <v>37.099999999999994</v>
      </c>
      <c r="AK274" s="12">
        <v>152.20999999999998</v>
      </c>
      <c r="AL274" s="382">
        <f t="shared" si="417"/>
        <v>0.24374219827869389</v>
      </c>
    </row>
    <row r="275" spans="1:38" x14ac:dyDescent="0.35">
      <c r="A275" s="182" t="s">
        <v>48</v>
      </c>
      <c r="B275" s="12"/>
      <c r="C275" s="12"/>
      <c r="D275" s="12"/>
      <c r="E275" s="12"/>
      <c r="F275" s="12"/>
      <c r="G275" s="12"/>
      <c r="H275" s="12"/>
      <c r="I275" s="12"/>
      <c r="J275" s="12"/>
      <c r="K275" s="12"/>
      <c r="L275" s="12"/>
      <c r="M275" s="12"/>
      <c r="N275" s="12"/>
      <c r="O275" s="12"/>
      <c r="P275" s="12">
        <v>1.26</v>
      </c>
      <c r="Q275" s="12"/>
      <c r="R275" s="12"/>
      <c r="S275" s="12">
        <v>1.02</v>
      </c>
      <c r="T275" s="12">
        <v>6.1899999999999995</v>
      </c>
      <c r="U275" s="12">
        <v>3.8899999999999997</v>
      </c>
      <c r="V275" s="12"/>
      <c r="W275" s="12">
        <v>3.41</v>
      </c>
      <c r="X275" s="12">
        <v>1.02</v>
      </c>
      <c r="Y275" s="12"/>
      <c r="Z275" s="12">
        <f t="shared" si="402"/>
        <v>16.79</v>
      </c>
      <c r="AA275" s="150">
        <f t="shared" si="424"/>
        <v>1.3724788160878383E-3</v>
      </c>
      <c r="AC275" s="12">
        <f t="shared" si="400"/>
        <v>12.36</v>
      </c>
      <c r="AD275" s="12">
        <f t="shared" si="401"/>
        <v>4.43</v>
      </c>
      <c r="AE275" s="12">
        <f t="shared" si="403"/>
        <v>0</v>
      </c>
      <c r="AF275" s="12">
        <f t="shared" si="425"/>
        <v>16.79</v>
      </c>
      <c r="AG275" s="150"/>
      <c r="AI275" s="6" t="s">
        <v>30</v>
      </c>
      <c r="AJ275" s="12">
        <v>36.379999999999995</v>
      </c>
      <c r="AK275" s="12">
        <v>91.990000000000009</v>
      </c>
      <c r="AL275" s="382">
        <f t="shared" si="417"/>
        <v>0.39547776932275236</v>
      </c>
    </row>
    <row r="276" spans="1:38" x14ac:dyDescent="0.35">
      <c r="A276" s="182" t="s">
        <v>49</v>
      </c>
      <c r="B276" s="12"/>
      <c r="C276" s="12"/>
      <c r="D276" s="12"/>
      <c r="E276" s="12"/>
      <c r="F276" s="12"/>
      <c r="G276" s="12"/>
      <c r="H276" s="12"/>
      <c r="I276" s="12"/>
      <c r="J276" s="12"/>
      <c r="K276" s="12"/>
      <c r="L276" s="12"/>
      <c r="M276" s="12"/>
      <c r="N276" s="12"/>
      <c r="O276" s="12"/>
      <c r="P276" s="12"/>
      <c r="Q276" s="12"/>
      <c r="R276" s="12">
        <v>0.08</v>
      </c>
      <c r="S276" s="12"/>
      <c r="T276" s="12"/>
      <c r="U276" s="12">
        <v>3.81</v>
      </c>
      <c r="V276" s="12">
        <v>1.64</v>
      </c>
      <c r="W276" s="12">
        <v>1.22</v>
      </c>
      <c r="X276" s="12">
        <v>0.32</v>
      </c>
      <c r="Y276" s="12"/>
      <c r="Z276" s="12">
        <f t="shared" si="402"/>
        <v>7.07</v>
      </c>
      <c r="AA276" s="150">
        <f t="shared" si="424"/>
        <v>5.7792884036575443E-4</v>
      </c>
      <c r="AC276" s="12">
        <f t="shared" ref="AC276:AC295" si="427">SUM(B276:U276)</f>
        <v>3.89</v>
      </c>
      <c r="AD276" s="12">
        <f t="shared" ref="AD276:AD281" si="428">SUM(V276:X276)</f>
        <v>3.1799999999999997</v>
      </c>
      <c r="AE276" s="12">
        <f t="shared" si="403"/>
        <v>0</v>
      </c>
      <c r="AF276" s="12">
        <f t="shared" si="425"/>
        <v>7.07</v>
      </c>
      <c r="AG276" s="150">
        <f t="shared" ref="AG276" si="429">AD276/AF276</f>
        <v>0.44978783592644972</v>
      </c>
      <c r="AI276" s="182" t="s">
        <v>50</v>
      </c>
      <c r="AJ276" s="12">
        <v>35.71</v>
      </c>
      <c r="AK276" s="12">
        <v>58.85</v>
      </c>
      <c r="AL276" s="382">
        <f t="shared" si="417"/>
        <v>0.60679694137638063</v>
      </c>
    </row>
    <row r="277" spans="1:38" x14ac:dyDescent="0.35">
      <c r="A277" s="182" t="s">
        <v>50</v>
      </c>
      <c r="B277" s="12"/>
      <c r="C277" s="12"/>
      <c r="D277" s="12"/>
      <c r="E277" s="12"/>
      <c r="F277" s="12"/>
      <c r="G277" s="12"/>
      <c r="H277" s="12"/>
      <c r="I277" s="12"/>
      <c r="J277" s="12"/>
      <c r="K277" s="12"/>
      <c r="L277" s="12"/>
      <c r="M277" s="12"/>
      <c r="N277" s="12"/>
      <c r="O277" s="12"/>
      <c r="P277" s="12"/>
      <c r="Q277" s="12"/>
      <c r="R277" s="12"/>
      <c r="S277" s="12">
        <v>9.02</v>
      </c>
      <c r="T277" s="12">
        <v>0.8</v>
      </c>
      <c r="U277" s="12">
        <v>13.32</v>
      </c>
      <c r="V277" s="12">
        <v>21.43</v>
      </c>
      <c r="W277" s="12">
        <v>14.129999999999999</v>
      </c>
      <c r="X277" s="12">
        <v>0.15</v>
      </c>
      <c r="Y277" s="12"/>
      <c r="Z277" s="12">
        <f t="shared" si="402"/>
        <v>58.85</v>
      </c>
      <c r="AA277" s="150">
        <f t="shared" si="424"/>
        <v>4.8106240814037686E-3</v>
      </c>
      <c r="AC277" s="12">
        <f t="shared" si="427"/>
        <v>23.14</v>
      </c>
      <c r="AD277" s="12">
        <f t="shared" si="428"/>
        <v>35.71</v>
      </c>
      <c r="AE277" s="12">
        <f t="shared" si="403"/>
        <v>0</v>
      </c>
      <c r="AF277" s="12">
        <f t="shared" si="425"/>
        <v>58.85</v>
      </c>
      <c r="AG277" s="150"/>
      <c r="AI277" s="6" t="s">
        <v>54</v>
      </c>
      <c r="AJ277" s="12">
        <v>29.35</v>
      </c>
      <c r="AK277" s="12">
        <v>105.28</v>
      </c>
      <c r="AL277" s="382">
        <f t="shared" si="417"/>
        <v>0.2787803951367781</v>
      </c>
    </row>
    <row r="278" spans="1:38" x14ac:dyDescent="0.35">
      <c r="A278" s="182" t="s">
        <v>51</v>
      </c>
      <c r="B278" s="12"/>
      <c r="C278" s="12"/>
      <c r="D278" s="12"/>
      <c r="E278" s="12"/>
      <c r="F278" s="12"/>
      <c r="G278" s="12"/>
      <c r="H278" s="12"/>
      <c r="I278" s="12"/>
      <c r="J278" s="12"/>
      <c r="K278" s="12"/>
      <c r="L278" s="12"/>
      <c r="M278" s="12"/>
      <c r="N278" s="12"/>
      <c r="O278" s="12"/>
      <c r="P278" s="12"/>
      <c r="Q278" s="12"/>
      <c r="R278" s="12"/>
      <c r="S278" s="12"/>
      <c r="T278" s="12">
        <v>4.42</v>
      </c>
      <c r="U278" s="12">
        <v>1.7</v>
      </c>
      <c r="V278" s="12">
        <v>5.98</v>
      </c>
      <c r="W278" s="12">
        <v>3.46</v>
      </c>
      <c r="X278" s="12"/>
      <c r="Y278" s="12"/>
      <c r="Z278" s="12">
        <f t="shared" si="402"/>
        <v>15.560000000000002</v>
      </c>
      <c r="AA278" s="150">
        <f t="shared" si="424"/>
        <v>1.2719339117526365E-3</v>
      </c>
      <c r="AC278" s="12">
        <f t="shared" si="427"/>
        <v>6.12</v>
      </c>
      <c r="AD278" s="12">
        <f t="shared" si="428"/>
        <v>9.4400000000000013</v>
      </c>
      <c r="AE278" s="12">
        <f t="shared" si="403"/>
        <v>0</v>
      </c>
      <c r="AF278" s="12">
        <f t="shared" si="425"/>
        <v>15.560000000000002</v>
      </c>
      <c r="AG278" s="150"/>
    </row>
    <row r="279" spans="1:38" x14ac:dyDescent="0.35">
      <c r="A279" s="182" t="s">
        <v>52</v>
      </c>
      <c r="B279" s="54"/>
      <c r="C279" s="12"/>
      <c r="D279" s="12"/>
      <c r="E279" s="12"/>
      <c r="F279" s="12"/>
      <c r="G279" s="12"/>
      <c r="H279" s="12"/>
      <c r="I279" s="12"/>
      <c r="J279" s="12"/>
      <c r="K279" s="12"/>
      <c r="L279" s="12"/>
      <c r="M279" s="12"/>
      <c r="N279" s="12"/>
      <c r="O279" s="12"/>
      <c r="P279" s="54"/>
      <c r="Q279" s="12"/>
      <c r="R279" s="12"/>
      <c r="S279" s="12"/>
      <c r="T279" s="12"/>
      <c r="U279" s="12">
        <v>0.99</v>
      </c>
      <c r="V279" s="12"/>
      <c r="W279" s="12">
        <v>1.87</v>
      </c>
      <c r="X279" s="12"/>
      <c r="Y279" s="12"/>
      <c r="Z279" s="12">
        <f t="shared" si="402"/>
        <v>2.8600000000000003</v>
      </c>
      <c r="AA279" s="150">
        <f t="shared" si="424"/>
        <v>2.3378733853551028E-4</v>
      </c>
      <c r="AC279" s="12">
        <f t="shared" si="427"/>
        <v>0.99</v>
      </c>
      <c r="AD279" s="12">
        <f t="shared" si="428"/>
        <v>1.87</v>
      </c>
      <c r="AE279" s="12">
        <f t="shared" si="403"/>
        <v>0</v>
      </c>
      <c r="AF279" s="12">
        <f t="shared" si="425"/>
        <v>2.8600000000000003</v>
      </c>
      <c r="AG279" s="150"/>
    </row>
    <row r="280" spans="1:38" x14ac:dyDescent="0.35">
      <c r="A280" s="182" t="s">
        <v>53</v>
      </c>
      <c r="B280" s="12"/>
      <c r="C280" s="12"/>
      <c r="D280" s="12"/>
      <c r="E280" s="12"/>
      <c r="F280" s="12"/>
      <c r="G280" s="12"/>
      <c r="H280" s="12"/>
      <c r="I280" s="12"/>
      <c r="J280" s="12"/>
      <c r="K280" s="12">
        <v>13.19</v>
      </c>
      <c r="L280" s="12">
        <v>0.74</v>
      </c>
      <c r="M280" s="12">
        <v>11.25</v>
      </c>
      <c r="N280" s="12">
        <v>0.17</v>
      </c>
      <c r="O280" s="12">
        <v>6.81</v>
      </c>
      <c r="P280" s="12">
        <v>2.69</v>
      </c>
      <c r="Q280" s="12">
        <v>7.6</v>
      </c>
      <c r="R280" s="12">
        <v>29.439999999999998</v>
      </c>
      <c r="S280" s="12">
        <v>11.530000000000001</v>
      </c>
      <c r="T280" s="12">
        <v>4.68</v>
      </c>
      <c r="U280" s="12">
        <v>27.009999999999998</v>
      </c>
      <c r="V280" s="12">
        <v>24.7</v>
      </c>
      <c r="W280" s="12">
        <v>10.1</v>
      </c>
      <c r="X280" s="12">
        <v>2.2999999999999998</v>
      </c>
      <c r="Y280" s="12"/>
      <c r="Z280" s="12">
        <f t="shared" si="402"/>
        <v>152.20999999999998</v>
      </c>
      <c r="AA280" s="150">
        <f t="shared" si="424"/>
        <v>1.2442227551919585E-2</v>
      </c>
      <c r="AC280" s="12">
        <f t="shared" si="427"/>
        <v>115.10999999999999</v>
      </c>
      <c r="AD280" s="12">
        <f t="shared" si="428"/>
        <v>37.099999999999994</v>
      </c>
      <c r="AE280" s="12">
        <f t="shared" si="403"/>
        <v>0</v>
      </c>
      <c r="AF280" s="12">
        <f t="shared" si="425"/>
        <v>152.20999999999998</v>
      </c>
      <c r="AG280" s="150">
        <f t="shared" ref="AG280:AG281" si="430">AD280/AF280</f>
        <v>0.24374219827869389</v>
      </c>
    </row>
    <row r="281" spans="1:38" x14ac:dyDescent="0.35">
      <c r="A281" s="6" t="s">
        <v>54</v>
      </c>
      <c r="B281" s="12"/>
      <c r="C281" s="12">
        <v>4.08</v>
      </c>
      <c r="D281" s="12"/>
      <c r="E281" s="12"/>
      <c r="F281" s="12">
        <v>4.18</v>
      </c>
      <c r="G281" s="12"/>
      <c r="H281" s="12"/>
      <c r="I281" s="12"/>
      <c r="J281" s="12"/>
      <c r="K281" s="12"/>
      <c r="L281" s="12"/>
      <c r="M281" s="12">
        <v>1.37</v>
      </c>
      <c r="N281" s="12">
        <v>5.93</v>
      </c>
      <c r="O281" s="12">
        <v>3.62</v>
      </c>
      <c r="P281" s="12"/>
      <c r="Q281" s="12">
        <v>3.31</v>
      </c>
      <c r="R281" s="12">
        <v>2.6900000000000004</v>
      </c>
      <c r="S281" s="12">
        <v>6.86</v>
      </c>
      <c r="T281" s="12">
        <v>8.8000000000000007</v>
      </c>
      <c r="U281" s="12">
        <v>35.090000000000003</v>
      </c>
      <c r="V281" s="12">
        <v>15.969999999999999</v>
      </c>
      <c r="W281" s="12">
        <v>8.3899999999999988</v>
      </c>
      <c r="X281" s="54">
        <v>4.99</v>
      </c>
      <c r="Y281" s="12"/>
      <c r="Z281" s="12">
        <f t="shared" si="402"/>
        <v>105.28</v>
      </c>
      <c r="AA281" s="150">
        <f t="shared" si="424"/>
        <v>8.6059898604959866E-3</v>
      </c>
      <c r="AC281" s="12">
        <f t="shared" si="427"/>
        <v>75.930000000000007</v>
      </c>
      <c r="AD281" s="12">
        <f t="shared" si="428"/>
        <v>29.35</v>
      </c>
      <c r="AE281" s="12">
        <f t="shared" si="403"/>
        <v>0</v>
      </c>
      <c r="AF281" s="12">
        <f t="shared" si="425"/>
        <v>105.28</v>
      </c>
      <c r="AG281" s="150">
        <f t="shared" si="430"/>
        <v>0.2787803951367781</v>
      </c>
    </row>
    <row r="282" spans="1:38" x14ac:dyDescent="0.35">
      <c r="A282" s="11" t="s">
        <v>18</v>
      </c>
      <c r="B282" s="130"/>
      <c r="C282" s="119"/>
      <c r="D282" s="119"/>
      <c r="E282" s="119"/>
      <c r="F282" s="119"/>
      <c r="G282" s="119"/>
      <c r="H282" s="119"/>
      <c r="I282" s="119"/>
      <c r="J282" s="119"/>
      <c r="K282" s="119"/>
      <c r="L282" s="119"/>
      <c r="M282" s="131"/>
      <c r="N282" s="119"/>
      <c r="O282" s="119"/>
      <c r="P282" s="119"/>
      <c r="Q282" s="119"/>
      <c r="R282" s="119"/>
      <c r="S282" s="119"/>
      <c r="T282" s="119"/>
      <c r="U282" s="130"/>
      <c r="V282" s="119"/>
      <c r="W282" s="119"/>
      <c r="X282" s="119"/>
      <c r="Y282" s="119"/>
      <c r="Z282" s="119">
        <f>SUM(B282:Y282)</f>
        <v>0</v>
      </c>
      <c r="AA282" s="144">
        <f>Z282/$Z$295</f>
        <v>0</v>
      </c>
      <c r="AC282" s="119">
        <f t="shared" si="427"/>
        <v>0</v>
      </c>
      <c r="AD282" s="119">
        <f>SUM(V282:X282)</f>
        <v>0</v>
      </c>
      <c r="AE282" s="119">
        <f t="shared" si="403"/>
        <v>0</v>
      </c>
      <c r="AF282" s="119">
        <f>SUM(AC282:AE282)</f>
        <v>0</v>
      </c>
      <c r="AG282" s="143"/>
    </row>
    <row r="283" spans="1:38" x14ac:dyDescent="0.35">
      <c r="A283" s="6" t="s">
        <v>18</v>
      </c>
      <c r="B283" s="54"/>
      <c r="C283" s="54"/>
      <c r="D283" s="54"/>
      <c r="E283" s="54"/>
      <c r="F283" s="54"/>
      <c r="G283" s="54"/>
      <c r="H283" s="54"/>
      <c r="I283" s="54"/>
      <c r="J283" s="54"/>
      <c r="K283" s="54"/>
      <c r="L283" s="54"/>
      <c r="M283" s="54"/>
      <c r="N283" s="54"/>
      <c r="O283" s="54"/>
      <c r="P283" s="54"/>
      <c r="Q283" s="54"/>
      <c r="R283" s="54"/>
      <c r="S283" s="12"/>
      <c r="T283" s="12"/>
      <c r="U283" s="54"/>
      <c r="V283" s="54"/>
      <c r="W283" s="12"/>
      <c r="X283" s="54"/>
      <c r="Y283" s="12"/>
      <c r="Z283" s="12">
        <f t="shared" si="402"/>
        <v>0</v>
      </c>
      <c r="AA283" s="150">
        <f t="shared" ref="AA283" si="431">Z283/$Z$295</f>
        <v>0</v>
      </c>
      <c r="AC283" s="12">
        <f t="shared" si="427"/>
        <v>0</v>
      </c>
      <c r="AD283" s="12">
        <f t="shared" ref="AD283" si="432">SUM(V283:X283)</f>
        <v>0</v>
      </c>
      <c r="AE283" s="12">
        <f t="shared" si="403"/>
        <v>0</v>
      </c>
      <c r="AF283" s="12">
        <f t="shared" ref="AF283" si="433">SUM(AC283:AE283)</f>
        <v>0</v>
      </c>
      <c r="AG283" s="150"/>
    </row>
    <row r="284" spans="1:38" x14ac:dyDescent="0.35">
      <c r="A284" s="11" t="s">
        <v>17</v>
      </c>
      <c r="B284" s="119">
        <f>SUM(B285:B286)</f>
        <v>52.33</v>
      </c>
      <c r="C284" s="119">
        <f t="shared" ref="C284:Y284" si="434">SUM(C285:C286)</f>
        <v>0.47</v>
      </c>
      <c r="D284" s="119">
        <f t="shared" si="434"/>
        <v>0</v>
      </c>
      <c r="E284" s="119">
        <f t="shared" si="434"/>
        <v>0</v>
      </c>
      <c r="F284" s="119">
        <f t="shared" si="434"/>
        <v>0</v>
      </c>
      <c r="G284" s="119">
        <f t="shared" si="434"/>
        <v>0</v>
      </c>
      <c r="H284" s="119">
        <f t="shared" si="434"/>
        <v>0</v>
      </c>
      <c r="I284" s="119">
        <f t="shared" si="434"/>
        <v>0</v>
      </c>
      <c r="J284" s="119">
        <f t="shared" si="434"/>
        <v>0</v>
      </c>
      <c r="K284" s="119">
        <f t="shared" si="434"/>
        <v>0</v>
      </c>
      <c r="L284" s="119">
        <f t="shared" si="434"/>
        <v>26.58</v>
      </c>
      <c r="M284" s="119">
        <f t="shared" si="434"/>
        <v>1.28</v>
      </c>
      <c r="N284" s="119">
        <f t="shared" si="434"/>
        <v>0</v>
      </c>
      <c r="O284" s="119">
        <f t="shared" si="434"/>
        <v>0</v>
      </c>
      <c r="P284" s="119">
        <f t="shared" si="434"/>
        <v>0</v>
      </c>
      <c r="Q284" s="119">
        <f t="shared" si="434"/>
        <v>7.8900000000000006</v>
      </c>
      <c r="R284" s="119">
        <f t="shared" si="434"/>
        <v>1.81</v>
      </c>
      <c r="S284" s="119">
        <f t="shared" si="434"/>
        <v>22.980000000000004</v>
      </c>
      <c r="T284" s="119">
        <f t="shared" si="434"/>
        <v>125.2</v>
      </c>
      <c r="U284" s="119">
        <f t="shared" si="434"/>
        <v>63.23</v>
      </c>
      <c r="V284" s="119">
        <f t="shared" si="434"/>
        <v>102</v>
      </c>
      <c r="W284" s="119">
        <f t="shared" si="434"/>
        <v>74.430000000000007</v>
      </c>
      <c r="X284" s="119">
        <f t="shared" si="434"/>
        <v>79.89</v>
      </c>
      <c r="Y284" s="119">
        <f t="shared" si="434"/>
        <v>0.2</v>
      </c>
      <c r="Z284" s="119">
        <f>SUM(B284:Y284)</f>
        <v>558.29000000000008</v>
      </c>
      <c r="AA284" s="144">
        <f>Z284/$Z$295</f>
        <v>4.5636759870975541E-2</v>
      </c>
      <c r="AC284" s="119">
        <f t="shared" si="427"/>
        <v>301.77000000000004</v>
      </c>
      <c r="AD284" s="119">
        <f>SUM(V284:X284)</f>
        <v>256.32</v>
      </c>
      <c r="AE284" s="131">
        <f t="shared" si="403"/>
        <v>0.2</v>
      </c>
      <c r="AF284" s="119">
        <f>SUM(AC284:AE284)</f>
        <v>558.29000000000008</v>
      </c>
      <c r="AG284" s="143">
        <f>AD284/AF284</f>
        <v>0.45911622991635165</v>
      </c>
    </row>
    <row r="285" spans="1:38" x14ac:dyDescent="0.35">
      <c r="A285" s="6" t="s">
        <v>55</v>
      </c>
      <c r="B285" s="12">
        <v>52.33</v>
      </c>
      <c r="C285" s="12">
        <v>0.47</v>
      </c>
      <c r="D285" s="12"/>
      <c r="E285" s="12"/>
      <c r="F285" s="12"/>
      <c r="G285" s="12"/>
      <c r="H285" s="12"/>
      <c r="I285" s="12"/>
      <c r="J285" s="12"/>
      <c r="K285" s="12"/>
      <c r="L285" s="12">
        <v>26.58</v>
      </c>
      <c r="M285" s="12"/>
      <c r="N285" s="12"/>
      <c r="O285" s="12"/>
      <c r="P285" s="12"/>
      <c r="Q285" s="12"/>
      <c r="R285" s="12">
        <v>0.95</v>
      </c>
      <c r="S285" s="12"/>
      <c r="T285" s="12">
        <v>1.9</v>
      </c>
      <c r="U285" s="54">
        <v>31.61</v>
      </c>
      <c r="V285" s="12">
        <v>15.880000000000003</v>
      </c>
      <c r="W285" s="12">
        <v>33.78</v>
      </c>
      <c r="X285" s="12">
        <v>79.33</v>
      </c>
      <c r="Y285" s="12">
        <v>0.09</v>
      </c>
      <c r="Z285" s="12">
        <f t="shared" si="402"/>
        <v>242.92</v>
      </c>
      <c r="AA285" s="150">
        <f t="shared" ref="AA285:AA286" si="435">Z285/$Z$295</f>
        <v>1.9857209887079074E-2</v>
      </c>
      <c r="AC285" s="12">
        <f t="shared" si="427"/>
        <v>113.84</v>
      </c>
      <c r="AD285" s="12">
        <f t="shared" ref="AD285:AD286" si="436">SUM(V285:X285)</f>
        <v>128.99</v>
      </c>
      <c r="AE285" s="12">
        <f t="shared" si="403"/>
        <v>0.09</v>
      </c>
      <c r="AF285" s="12">
        <f t="shared" ref="AF285" si="437">SUM(AC285:AE285)</f>
        <v>242.92000000000002</v>
      </c>
      <c r="AG285" s="150">
        <f t="shared" ref="AG285:AG286" si="438">AD285/AF285</f>
        <v>0.53099785937757282</v>
      </c>
    </row>
    <row r="286" spans="1:38" x14ac:dyDescent="0.35">
      <c r="A286" s="6" t="s">
        <v>56</v>
      </c>
      <c r="B286" s="12"/>
      <c r="C286" s="12"/>
      <c r="D286" s="12"/>
      <c r="E286" s="12"/>
      <c r="F286" s="12"/>
      <c r="G286" s="12"/>
      <c r="H286" s="12"/>
      <c r="I286" s="12"/>
      <c r="J286" s="12"/>
      <c r="K286" s="12"/>
      <c r="L286" s="12"/>
      <c r="M286" s="12">
        <v>1.28</v>
      </c>
      <c r="N286" s="12"/>
      <c r="O286" s="12"/>
      <c r="P286" s="12"/>
      <c r="Q286" s="12">
        <v>7.8900000000000006</v>
      </c>
      <c r="R286" s="12">
        <v>0.86</v>
      </c>
      <c r="S286" s="12">
        <v>22.980000000000004</v>
      </c>
      <c r="T286" s="12">
        <v>123.3</v>
      </c>
      <c r="U286" s="54">
        <v>31.619999999999997</v>
      </c>
      <c r="V286" s="12">
        <v>86.12</v>
      </c>
      <c r="W286" s="12">
        <v>40.65</v>
      </c>
      <c r="X286" s="12">
        <v>0.56000000000000005</v>
      </c>
      <c r="Y286" s="12">
        <v>0.11000000000000001</v>
      </c>
      <c r="Z286" s="12">
        <f t="shared" si="402"/>
        <v>315.37</v>
      </c>
      <c r="AA286" s="150">
        <f t="shared" si="435"/>
        <v>2.577954998389646E-2</v>
      </c>
      <c r="AC286" s="12">
        <f t="shared" si="427"/>
        <v>187.93</v>
      </c>
      <c r="AD286" s="12">
        <f t="shared" si="436"/>
        <v>127.33000000000001</v>
      </c>
      <c r="AE286" s="54">
        <f t="shared" si="403"/>
        <v>0.11000000000000001</v>
      </c>
      <c r="AF286" s="12">
        <f t="shared" ref="AF286:AF295" si="439">SUM(AC286:AE286)</f>
        <v>315.37</v>
      </c>
      <c r="AG286" s="150">
        <f t="shared" si="438"/>
        <v>0.40374797856486033</v>
      </c>
    </row>
    <row r="287" spans="1:38" x14ac:dyDescent="0.35">
      <c r="A287" s="11" t="s">
        <v>20</v>
      </c>
      <c r="B287" s="119">
        <f>B288</f>
        <v>0</v>
      </c>
      <c r="C287" s="119">
        <f t="shared" ref="C287:Y287" si="440">C288</f>
        <v>0</v>
      </c>
      <c r="D287" s="119">
        <f t="shared" si="440"/>
        <v>0</v>
      </c>
      <c r="E287" s="119">
        <f t="shared" si="440"/>
        <v>0</v>
      </c>
      <c r="F287" s="119">
        <f t="shared" si="440"/>
        <v>0</v>
      </c>
      <c r="G287" s="119">
        <f t="shared" si="440"/>
        <v>0</v>
      </c>
      <c r="H287" s="119">
        <f t="shared" si="440"/>
        <v>0</v>
      </c>
      <c r="I287" s="119">
        <f t="shared" si="440"/>
        <v>0</v>
      </c>
      <c r="J287" s="119">
        <f t="shared" si="440"/>
        <v>0</v>
      </c>
      <c r="K287" s="119">
        <f t="shared" si="440"/>
        <v>0</v>
      </c>
      <c r="L287" s="119">
        <f t="shared" si="440"/>
        <v>0</v>
      </c>
      <c r="M287" s="119">
        <f t="shared" si="440"/>
        <v>0</v>
      </c>
      <c r="N287" s="119">
        <f t="shared" si="440"/>
        <v>0</v>
      </c>
      <c r="O287" s="119">
        <f t="shared" si="440"/>
        <v>0</v>
      </c>
      <c r="P287" s="119">
        <f t="shared" si="440"/>
        <v>0</v>
      </c>
      <c r="Q287" s="119">
        <f t="shared" si="440"/>
        <v>0</v>
      </c>
      <c r="R287" s="119">
        <f t="shared" si="440"/>
        <v>2.44</v>
      </c>
      <c r="S287" s="119">
        <f t="shared" si="440"/>
        <v>0</v>
      </c>
      <c r="T287" s="119">
        <f t="shared" si="440"/>
        <v>0</v>
      </c>
      <c r="U287" s="119">
        <f t="shared" si="440"/>
        <v>8.11</v>
      </c>
      <c r="V287" s="119">
        <f t="shared" si="440"/>
        <v>0.81</v>
      </c>
      <c r="W287" s="119">
        <f t="shared" si="440"/>
        <v>7.56</v>
      </c>
      <c r="X287" s="119">
        <f t="shared" si="440"/>
        <v>0</v>
      </c>
      <c r="Y287" s="119">
        <f t="shared" si="440"/>
        <v>0.09</v>
      </c>
      <c r="Z287" s="119">
        <f>SUM(B287:Y287)</f>
        <v>19.009999999999998</v>
      </c>
      <c r="AA287" s="144">
        <f>Z287/$Z$295</f>
        <v>1.5539501068391783E-3</v>
      </c>
      <c r="AC287" s="119">
        <f t="shared" si="427"/>
        <v>10.549999999999999</v>
      </c>
      <c r="AD287" s="119">
        <f>SUM(V287:X287)</f>
        <v>8.3699999999999992</v>
      </c>
      <c r="AE287" s="119">
        <f t="shared" si="403"/>
        <v>0.09</v>
      </c>
      <c r="AF287" s="119">
        <f t="shared" si="439"/>
        <v>19.009999999999998</v>
      </c>
      <c r="AG287" s="143"/>
    </row>
    <row r="288" spans="1:38" x14ac:dyDescent="0.35">
      <c r="A288" s="6" t="s">
        <v>20</v>
      </c>
      <c r="B288" s="12"/>
      <c r="C288" s="12"/>
      <c r="D288" s="12"/>
      <c r="E288" s="12"/>
      <c r="F288" s="12"/>
      <c r="G288" s="12"/>
      <c r="H288" s="12"/>
      <c r="I288" s="12"/>
      <c r="J288" s="12"/>
      <c r="K288" s="12"/>
      <c r="L288" s="12"/>
      <c r="M288" s="12"/>
      <c r="N288" s="12"/>
      <c r="O288" s="12"/>
      <c r="P288" s="12"/>
      <c r="Q288" s="12"/>
      <c r="R288" s="12">
        <v>2.44</v>
      </c>
      <c r="S288" s="12"/>
      <c r="T288" s="12"/>
      <c r="U288" s="12">
        <v>8.11</v>
      </c>
      <c r="V288" s="12">
        <v>0.81</v>
      </c>
      <c r="W288" s="12">
        <v>7.56</v>
      </c>
      <c r="X288" s="12"/>
      <c r="Y288" s="12">
        <v>0.09</v>
      </c>
      <c r="Z288" s="12">
        <f t="shared" si="402"/>
        <v>19.009999999999998</v>
      </c>
      <c r="AA288" s="150">
        <f t="shared" ref="AA288" si="441">Z288/$Z$295</f>
        <v>1.5539501068391783E-3</v>
      </c>
      <c r="AC288" s="12">
        <f t="shared" si="427"/>
        <v>10.549999999999999</v>
      </c>
      <c r="AD288" s="12">
        <f t="shared" ref="AD288" si="442">SUM(V288:X288)</f>
        <v>8.3699999999999992</v>
      </c>
      <c r="AE288" s="12">
        <f t="shared" si="403"/>
        <v>0.09</v>
      </c>
      <c r="AF288" s="12">
        <f t="shared" si="439"/>
        <v>19.009999999999998</v>
      </c>
      <c r="AG288" s="150"/>
    </row>
    <row r="289" spans="1:33" x14ac:dyDescent="0.35">
      <c r="A289" s="11" t="s">
        <v>21</v>
      </c>
      <c r="B289" s="119">
        <f>B290</f>
        <v>5.04</v>
      </c>
      <c r="C289" s="119">
        <f t="shared" ref="C289:Y289" si="443">C290</f>
        <v>4.22</v>
      </c>
      <c r="D289" s="119">
        <f t="shared" si="443"/>
        <v>0</v>
      </c>
      <c r="E289" s="119">
        <f t="shared" si="443"/>
        <v>0</v>
      </c>
      <c r="F289" s="119">
        <f t="shared" si="443"/>
        <v>0</v>
      </c>
      <c r="G289" s="119">
        <f t="shared" si="443"/>
        <v>0</v>
      </c>
      <c r="H289" s="119">
        <f t="shared" si="443"/>
        <v>0</v>
      </c>
      <c r="I289" s="119">
        <f t="shared" si="443"/>
        <v>0</v>
      </c>
      <c r="J289" s="119">
        <f t="shared" si="443"/>
        <v>0</v>
      </c>
      <c r="K289" s="119">
        <f t="shared" si="443"/>
        <v>0.83</v>
      </c>
      <c r="L289" s="119">
        <f t="shared" si="443"/>
        <v>0</v>
      </c>
      <c r="M289" s="119">
        <f t="shared" si="443"/>
        <v>0.56999999999999995</v>
      </c>
      <c r="N289" s="119">
        <f t="shared" si="443"/>
        <v>0</v>
      </c>
      <c r="O289" s="119">
        <f t="shared" si="443"/>
        <v>21.09</v>
      </c>
      <c r="P289" s="119">
        <f t="shared" si="443"/>
        <v>0</v>
      </c>
      <c r="Q289" s="119">
        <f t="shared" si="443"/>
        <v>0</v>
      </c>
      <c r="R289" s="119">
        <f t="shared" si="443"/>
        <v>3.85</v>
      </c>
      <c r="S289" s="119">
        <f t="shared" si="443"/>
        <v>4.9800000000000004</v>
      </c>
      <c r="T289" s="119">
        <f t="shared" si="443"/>
        <v>10.670000000000002</v>
      </c>
      <c r="U289" s="119">
        <f t="shared" si="443"/>
        <v>41.100000000000009</v>
      </c>
      <c r="V289" s="119">
        <f t="shared" si="443"/>
        <v>62.13</v>
      </c>
      <c r="W289" s="119">
        <f t="shared" si="443"/>
        <v>9.01</v>
      </c>
      <c r="X289" s="119">
        <f t="shared" si="443"/>
        <v>38.799999999999997</v>
      </c>
      <c r="Y289" s="119">
        <f t="shared" si="443"/>
        <v>0.25</v>
      </c>
      <c r="Z289" s="119">
        <f>SUM(B289:Y289)</f>
        <v>202.54000000000002</v>
      </c>
      <c r="AA289" s="144">
        <f>Z289/$Z$295</f>
        <v>1.6556394247196592E-2</v>
      </c>
      <c r="AC289" s="119">
        <f t="shared" si="427"/>
        <v>92.350000000000009</v>
      </c>
      <c r="AD289" s="119">
        <f>SUM(V289:X289)</f>
        <v>109.94</v>
      </c>
      <c r="AE289" s="119">
        <f t="shared" si="403"/>
        <v>0.25</v>
      </c>
      <c r="AF289" s="119">
        <f t="shared" si="439"/>
        <v>202.54000000000002</v>
      </c>
      <c r="AG289" s="143">
        <f>AD289/AF289</f>
        <v>0.54280635923768139</v>
      </c>
    </row>
    <row r="290" spans="1:33" x14ac:dyDescent="0.35">
      <c r="A290" s="6" t="s">
        <v>21</v>
      </c>
      <c r="B290" s="12">
        <v>5.04</v>
      </c>
      <c r="C290" s="12">
        <v>4.22</v>
      </c>
      <c r="D290" s="12"/>
      <c r="E290" s="12"/>
      <c r="F290" s="12"/>
      <c r="G290" s="12"/>
      <c r="H290" s="12"/>
      <c r="I290" s="12"/>
      <c r="J290" s="12"/>
      <c r="K290" s="12">
        <v>0.83</v>
      </c>
      <c r="L290" s="12"/>
      <c r="M290" s="12">
        <v>0.56999999999999995</v>
      </c>
      <c r="N290" s="12"/>
      <c r="O290" s="12">
        <v>21.09</v>
      </c>
      <c r="P290" s="12"/>
      <c r="Q290" s="12"/>
      <c r="R290" s="12">
        <v>3.85</v>
      </c>
      <c r="S290" s="12">
        <v>4.9800000000000004</v>
      </c>
      <c r="T290" s="12">
        <v>10.670000000000002</v>
      </c>
      <c r="U290" s="12">
        <v>41.100000000000009</v>
      </c>
      <c r="V290" s="12">
        <v>62.13</v>
      </c>
      <c r="W290" s="12">
        <v>9.01</v>
      </c>
      <c r="X290" s="12">
        <v>38.799999999999997</v>
      </c>
      <c r="Y290" s="12">
        <v>0.25</v>
      </c>
      <c r="Z290" s="12">
        <f t="shared" si="402"/>
        <v>202.54000000000002</v>
      </c>
      <c r="AA290" s="150">
        <f t="shared" ref="AA290" si="444">Z290/$Z$295</f>
        <v>1.6556394247196592E-2</v>
      </c>
      <c r="AC290" s="12">
        <f t="shared" si="427"/>
        <v>92.350000000000009</v>
      </c>
      <c r="AD290" s="12">
        <f t="shared" ref="AD290" si="445">SUM(V290:X290)</f>
        <v>109.94</v>
      </c>
      <c r="AE290" s="12">
        <f t="shared" si="403"/>
        <v>0.25</v>
      </c>
      <c r="AF290" s="12">
        <f t="shared" si="439"/>
        <v>202.54000000000002</v>
      </c>
      <c r="AG290" s="150">
        <f>AD290/AF290</f>
        <v>0.54280635923768139</v>
      </c>
    </row>
    <row r="291" spans="1:33" x14ac:dyDescent="0.35">
      <c r="A291" s="11" t="s">
        <v>22</v>
      </c>
      <c r="B291" s="119">
        <f>B292</f>
        <v>0</v>
      </c>
      <c r="C291" s="119">
        <f t="shared" ref="C291:X291" si="446">C292</f>
        <v>0</v>
      </c>
      <c r="D291" s="119">
        <f t="shared" si="446"/>
        <v>0</v>
      </c>
      <c r="E291" s="119">
        <f t="shared" si="446"/>
        <v>0</v>
      </c>
      <c r="F291" s="119">
        <f t="shared" si="446"/>
        <v>0</v>
      </c>
      <c r="G291" s="119">
        <f t="shared" si="446"/>
        <v>0.87</v>
      </c>
      <c r="H291" s="119">
        <f t="shared" si="446"/>
        <v>0</v>
      </c>
      <c r="I291" s="119">
        <f t="shared" si="446"/>
        <v>0</v>
      </c>
      <c r="J291" s="119">
        <f t="shared" si="446"/>
        <v>0</v>
      </c>
      <c r="K291" s="119">
        <f t="shared" si="446"/>
        <v>0</v>
      </c>
      <c r="L291" s="119">
        <f t="shared" si="446"/>
        <v>0</v>
      </c>
      <c r="M291" s="119">
        <f t="shared" si="446"/>
        <v>0.51</v>
      </c>
      <c r="N291" s="119">
        <f t="shared" si="446"/>
        <v>22.56</v>
      </c>
      <c r="O291" s="119">
        <f t="shared" si="446"/>
        <v>0.17</v>
      </c>
      <c r="P291" s="119">
        <f t="shared" si="446"/>
        <v>0</v>
      </c>
      <c r="Q291" s="119">
        <f t="shared" si="446"/>
        <v>0</v>
      </c>
      <c r="R291" s="119">
        <f t="shared" si="446"/>
        <v>2.99</v>
      </c>
      <c r="S291" s="119">
        <f t="shared" si="446"/>
        <v>21.95</v>
      </c>
      <c r="T291" s="119">
        <f t="shared" si="446"/>
        <v>5.13</v>
      </c>
      <c r="U291" s="119">
        <f t="shared" si="446"/>
        <v>11</v>
      </c>
      <c r="V291" s="119">
        <f t="shared" si="446"/>
        <v>8.07</v>
      </c>
      <c r="W291" s="119">
        <f t="shared" si="446"/>
        <v>10.23</v>
      </c>
      <c r="X291" s="119">
        <f t="shared" si="446"/>
        <v>0.75</v>
      </c>
      <c r="Y291" s="119">
        <f>Y292</f>
        <v>1.19</v>
      </c>
      <c r="Z291" s="119">
        <f>SUM(B291:Y291)</f>
        <v>85.42</v>
      </c>
      <c r="AA291" s="144">
        <f>Z291/$Z$295</f>
        <v>6.9825575026934567E-3</v>
      </c>
      <c r="AC291" s="119">
        <f t="shared" si="427"/>
        <v>65.180000000000007</v>
      </c>
      <c r="AD291" s="119">
        <f>SUM(V291:X291)</f>
        <v>19.05</v>
      </c>
      <c r="AE291" s="131">
        <f t="shared" si="403"/>
        <v>1.19</v>
      </c>
      <c r="AF291" s="119">
        <f t="shared" si="439"/>
        <v>85.42</v>
      </c>
      <c r="AG291" s="143">
        <f>AD291/AF291</f>
        <v>0.22301568719269493</v>
      </c>
    </row>
    <row r="292" spans="1:33" x14ac:dyDescent="0.35">
      <c r="A292" s="6" t="s">
        <v>22</v>
      </c>
      <c r="B292" s="12"/>
      <c r="C292" s="12"/>
      <c r="D292" s="12"/>
      <c r="E292" s="12"/>
      <c r="F292" s="12"/>
      <c r="G292" s="12">
        <v>0.87</v>
      </c>
      <c r="H292" s="12"/>
      <c r="I292" s="12"/>
      <c r="J292" s="12"/>
      <c r="K292" s="12"/>
      <c r="L292" s="12"/>
      <c r="M292" s="12">
        <v>0.51</v>
      </c>
      <c r="N292" s="12">
        <v>22.56</v>
      </c>
      <c r="O292" s="12">
        <v>0.17</v>
      </c>
      <c r="P292" s="12"/>
      <c r="Q292" s="12"/>
      <c r="R292" s="12">
        <v>2.99</v>
      </c>
      <c r="S292" s="12">
        <v>21.95</v>
      </c>
      <c r="T292" s="12">
        <v>5.13</v>
      </c>
      <c r="U292" s="12">
        <v>11</v>
      </c>
      <c r="V292" s="54">
        <v>8.07</v>
      </c>
      <c r="W292" s="12">
        <v>10.23</v>
      </c>
      <c r="X292" s="12">
        <v>0.75</v>
      </c>
      <c r="Y292" s="12">
        <v>1.19</v>
      </c>
      <c r="Z292" s="12">
        <f t="shared" si="402"/>
        <v>85.42</v>
      </c>
      <c r="AA292" s="150">
        <f t="shared" ref="AA292" si="447">Z292/$Z$295</f>
        <v>6.9825575026934567E-3</v>
      </c>
      <c r="AC292" s="12">
        <f t="shared" si="427"/>
        <v>65.180000000000007</v>
      </c>
      <c r="AD292" s="12">
        <f t="shared" ref="AD292" si="448">SUM(V292:X292)</f>
        <v>19.05</v>
      </c>
      <c r="AE292" s="54">
        <f t="shared" si="403"/>
        <v>1.19</v>
      </c>
      <c r="AF292" s="12">
        <f t="shared" si="439"/>
        <v>85.42</v>
      </c>
      <c r="AG292" s="150">
        <f>AD292/AF292</f>
        <v>0.22301568719269493</v>
      </c>
    </row>
    <row r="293" spans="1:33" x14ac:dyDescent="0.35">
      <c r="A293" s="11" t="s">
        <v>23</v>
      </c>
      <c r="B293" s="119">
        <f>B294</f>
        <v>0</v>
      </c>
      <c r="C293" s="119">
        <f t="shared" ref="C293:Y293" si="449">C294</f>
        <v>0</v>
      </c>
      <c r="D293" s="119">
        <f t="shared" si="449"/>
        <v>0</v>
      </c>
      <c r="E293" s="119">
        <f t="shared" si="449"/>
        <v>0</v>
      </c>
      <c r="F293" s="119">
        <f t="shared" si="449"/>
        <v>0</v>
      </c>
      <c r="G293" s="119">
        <f t="shared" si="449"/>
        <v>0</v>
      </c>
      <c r="H293" s="119">
        <f t="shared" si="449"/>
        <v>0</v>
      </c>
      <c r="I293" s="119">
        <f t="shared" si="449"/>
        <v>0</v>
      </c>
      <c r="J293" s="119">
        <f t="shared" si="449"/>
        <v>0</v>
      </c>
      <c r="K293" s="119">
        <f t="shared" si="449"/>
        <v>6.53</v>
      </c>
      <c r="L293" s="119">
        <f t="shared" si="449"/>
        <v>0</v>
      </c>
      <c r="M293" s="119">
        <f t="shared" si="449"/>
        <v>2.56</v>
      </c>
      <c r="N293" s="119">
        <f t="shared" si="449"/>
        <v>0</v>
      </c>
      <c r="O293" s="119">
        <f t="shared" si="449"/>
        <v>1.92</v>
      </c>
      <c r="P293" s="119">
        <f t="shared" si="449"/>
        <v>0</v>
      </c>
      <c r="Q293" s="119">
        <f t="shared" si="449"/>
        <v>1.19</v>
      </c>
      <c r="R293" s="119">
        <f t="shared" si="449"/>
        <v>16.32</v>
      </c>
      <c r="S293" s="119">
        <f t="shared" si="449"/>
        <v>0</v>
      </c>
      <c r="T293" s="119">
        <f t="shared" si="449"/>
        <v>6.7399999999999993</v>
      </c>
      <c r="U293" s="119">
        <f t="shared" si="449"/>
        <v>1.69</v>
      </c>
      <c r="V293" s="119">
        <f t="shared" si="449"/>
        <v>3.52</v>
      </c>
      <c r="W293" s="119">
        <f t="shared" si="449"/>
        <v>19.420000000000002</v>
      </c>
      <c r="X293" s="119">
        <f t="shared" si="449"/>
        <v>0</v>
      </c>
      <c r="Y293" s="119">
        <f t="shared" si="449"/>
        <v>0.13</v>
      </c>
      <c r="Z293" s="119">
        <f>SUM(B293:Y293)</f>
        <v>60.02</v>
      </c>
      <c r="AA293" s="144">
        <f>Z293/$Z$295</f>
        <v>4.9062643562592049E-3</v>
      </c>
      <c r="AC293" s="119">
        <f t="shared" si="427"/>
        <v>36.949999999999996</v>
      </c>
      <c r="AD293" s="119">
        <f>SUM(V293:X293)</f>
        <v>22.94</v>
      </c>
      <c r="AE293" s="119">
        <f t="shared" si="403"/>
        <v>0.13</v>
      </c>
      <c r="AF293" s="119">
        <f t="shared" si="439"/>
        <v>60.02</v>
      </c>
      <c r="AG293" s="143"/>
    </row>
    <row r="294" spans="1:33" x14ac:dyDescent="0.35">
      <c r="A294" s="6" t="s">
        <v>23</v>
      </c>
      <c r="B294" s="12"/>
      <c r="C294" s="12"/>
      <c r="D294" s="12"/>
      <c r="E294" s="12"/>
      <c r="F294" s="12"/>
      <c r="G294" s="12"/>
      <c r="H294" s="12"/>
      <c r="I294" s="12"/>
      <c r="J294" s="12"/>
      <c r="K294" s="12">
        <v>6.53</v>
      </c>
      <c r="L294" s="12"/>
      <c r="M294" s="12">
        <v>2.56</v>
      </c>
      <c r="N294" s="12"/>
      <c r="O294" s="12">
        <v>1.92</v>
      </c>
      <c r="P294" s="12"/>
      <c r="Q294" s="12">
        <v>1.19</v>
      </c>
      <c r="R294" s="12">
        <v>16.32</v>
      </c>
      <c r="S294" s="12"/>
      <c r="T294" s="12">
        <v>6.7399999999999993</v>
      </c>
      <c r="U294" s="12">
        <v>1.69</v>
      </c>
      <c r="V294" s="12">
        <v>3.52</v>
      </c>
      <c r="W294" s="12">
        <v>19.420000000000002</v>
      </c>
      <c r="X294" s="12"/>
      <c r="Y294" s="12">
        <v>0.13</v>
      </c>
      <c r="Z294" s="12">
        <f t="shared" si="402"/>
        <v>60.02</v>
      </c>
      <c r="AA294" s="150">
        <f t="shared" ref="AA294" si="450">Z294/$Z$295</f>
        <v>4.9062643562592049E-3</v>
      </c>
      <c r="AC294" s="12">
        <f t="shared" si="427"/>
        <v>36.949999999999996</v>
      </c>
      <c r="AD294" s="12">
        <f t="shared" ref="AD294:AD295" si="451">SUM(V294:X294)</f>
        <v>22.94</v>
      </c>
      <c r="AE294" s="12">
        <f t="shared" si="403"/>
        <v>0.13</v>
      </c>
      <c r="AF294" s="12">
        <f t="shared" si="439"/>
        <v>60.02</v>
      </c>
      <c r="AG294" s="150"/>
    </row>
    <row r="295" spans="1:33" ht="15.5" x14ac:dyDescent="0.35">
      <c r="A295" s="43" t="s">
        <v>25</v>
      </c>
      <c r="B295" s="142">
        <f>SUM(B244,B253,B257,B261,B266,B272,B282,B284,B287,B289,B291,B293)</f>
        <v>296.32</v>
      </c>
      <c r="C295" s="142">
        <f t="shared" ref="C295:AA295" si="452">SUM(C244,C253,C257,C261,C266,C272,C282,C284,C287,C289,C291,C293)</f>
        <v>122.62</v>
      </c>
      <c r="D295" s="142">
        <f t="shared" si="452"/>
        <v>39.31</v>
      </c>
      <c r="E295" s="142">
        <f t="shared" si="452"/>
        <v>4.16</v>
      </c>
      <c r="F295" s="142">
        <f t="shared" si="452"/>
        <v>69.12</v>
      </c>
      <c r="G295" s="142">
        <f t="shared" si="452"/>
        <v>23.84</v>
      </c>
      <c r="H295" s="142">
        <f t="shared" si="452"/>
        <v>29.73</v>
      </c>
      <c r="I295" s="142">
        <f t="shared" si="452"/>
        <v>13.920000000000002</v>
      </c>
      <c r="J295" s="142">
        <f t="shared" si="452"/>
        <v>36.059999999999995</v>
      </c>
      <c r="K295" s="142">
        <f t="shared" si="452"/>
        <v>55.49</v>
      </c>
      <c r="L295" s="142">
        <f t="shared" si="452"/>
        <v>55.849999999999994</v>
      </c>
      <c r="M295" s="142">
        <f t="shared" si="452"/>
        <v>50.730000000000004</v>
      </c>
      <c r="N295" s="142">
        <f t="shared" si="452"/>
        <v>76.25</v>
      </c>
      <c r="O295" s="142">
        <f t="shared" si="452"/>
        <v>104.9</v>
      </c>
      <c r="P295" s="142">
        <f t="shared" si="452"/>
        <v>183.04</v>
      </c>
      <c r="Q295" s="142">
        <f t="shared" si="452"/>
        <v>278.79999999999995</v>
      </c>
      <c r="R295" s="142">
        <f t="shared" si="452"/>
        <v>619.85000000000014</v>
      </c>
      <c r="S295" s="142">
        <f t="shared" si="452"/>
        <v>637.87000000000012</v>
      </c>
      <c r="T295" s="142">
        <f t="shared" si="452"/>
        <v>1235.3000000000004</v>
      </c>
      <c r="U295" s="142">
        <f t="shared" si="452"/>
        <v>1994.19</v>
      </c>
      <c r="V295" s="142">
        <f t="shared" si="452"/>
        <v>1878.75</v>
      </c>
      <c r="W295" s="142">
        <f t="shared" si="452"/>
        <v>2478.61</v>
      </c>
      <c r="X295" s="142">
        <f t="shared" si="452"/>
        <v>1942.0000000000002</v>
      </c>
      <c r="Y295" s="142">
        <f t="shared" si="452"/>
        <v>6.63</v>
      </c>
      <c r="Z295" s="142">
        <f t="shared" si="452"/>
        <v>12233.340000000004</v>
      </c>
      <c r="AA295" s="142">
        <f t="shared" si="452"/>
        <v>0.99999999999999967</v>
      </c>
      <c r="AC295" s="142">
        <f t="shared" si="427"/>
        <v>5927.35</v>
      </c>
      <c r="AD295" s="142">
        <f t="shared" si="451"/>
        <v>6299.3600000000006</v>
      </c>
      <c r="AE295" s="142">
        <f t="shared" si="403"/>
        <v>6.63</v>
      </c>
      <c r="AF295" s="142">
        <f t="shared" si="439"/>
        <v>12233.34</v>
      </c>
      <c r="AG295" s="197">
        <f>AD295/AF295</f>
        <v>0.51493377932764073</v>
      </c>
    </row>
    <row r="296" spans="1:33" x14ac:dyDescent="0.35">
      <c r="A296" s="378" t="s">
        <v>253</v>
      </c>
      <c r="B296" s="379"/>
      <c r="C296" s="379">
        <f>C295+B295</f>
        <v>418.94</v>
      </c>
      <c r="D296" s="379">
        <f>D295+C296</f>
        <v>458.25</v>
      </c>
      <c r="E296" s="379">
        <f>E295+D296</f>
        <v>462.41</v>
      </c>
      <c r="F296" s="379">
        <f t="shared" ref="F296" si="453">F295+E296</f>
        <v>531.53</v>
      </c>
      <c r="G296" s="379">
        <f t="shared" ref="G296" si="454">G295+F296</f>
        <v>555.37</v>
      </c>
      <c r="H296" s="379">
        <f t="shared" ref="H296" si="455">H295+G296</f>
        <v>585.1</v>
      </c>
      <c r="I296" s="379">
        <f t="shared" ref="I296" si="456">I295+H296</f>
        <v>599.02</v>
      </c>
      <c r="J296" s="379">
        <f t="shared" ref="J296" si="457">J295+I296</f>
        <v>635.07999999999993</v>
      </c>
      <c r="K296" s="379">
        <f t="shared" ref="K296" si="458">K295+J296</f>
        <v>690.56999999999994</v>
      </c>
      <c r="L296" s="379">
        <f t="shared" ref="L296" si="459">L295+K296</f>
        <v>746.42</v>
      </c>
      <c r="M296" s="379">
        <f t="shared" ref="M296" si="460">M295+L296</f>
        <v>797.15</v>
      </c>
      <c r="N296" s="379">
        <f t="shared" ref="N296" si="461">N295+M296</f>
        <v>873.4</v>
      </c>
      <c r="O296" s="379">
        <f t="shared" ref="O296" si="462">O295+N296</f>
        <v>978.3</v>
      </c>
      <c r="P296" s="379">
        <f t="shared" ref="P296" si="463">P295+O296</f>
        <v>1161.3399999999999</v>
      </c>
      <c r="Q296" s="379">
        <f t="shared" ref="Q296" si="464">Q295+P296</f>
        <v>1440.1399999999999</v>
      </c>
      <c r="R296" s="379">
        <f t="shared" ref="R296" si="465">R295+Q296</f>
        <v>2059.9899999999998</v>
      </c>
      <c r="S296" s="379">
        <f t="shared" ref="S296" si="466">S295+R296</f>
        <v>2697.8599999999997</v>
      </c>
      <c r="T296" s="379">
        <f t="shared" ref="T296" si="467">T295+S296</f>
        <v>3933.16</v>
      </c>
      <c r="U296" s="379">
        <f t="shared" ref="U296" si="468">U295+T296</f>
        <v>5927.35</v>
      </c>
      <c r="V296" s="379">
        <f t="shared" ref="V296" si="469">V295+U296</f>
        <v>7806.1</v>
      </c>
      <c r="W296" s="379">
        <f t="shared" ref="W296" si="470">W295+V296</f>
        <v>10284.710000000001</v>
      </c>
      <c r="X296" s="379">
        <f t="shared" ref="X296" si="471">X295+W296</f>
        <v>12226.710000000001</v>
      </c>
    </row>
    <row r="297" spans="1:33" x14ac:dyDescent="0.35">
      <c r="A297" s="380" t="s">
        <v>254</v>
      </c>
      <c r="B297" s="379"/>
      <c r="C297" s="381"/>
      <c r="D297" s="381">
        <f>D296/C296-1</f>
        <v>9.3832052322528225E-2</v>
      </c>
      <c r="E297" s="381">
        <f t="shared" ref="E297" si="472">E296/D296-1</f>
        <v>9.0780141843971318E-3</v>
      </c>
      <c r="F297" s="381">
        <f t="shared" ref="F297" si="473">F296/E296-1</f>
        <v>0.14947773620812677</v>
      </c>
      <c r="G297" s="381">
        <f t="shared" ref="G297" si="474">G296/F296-1</f>
        <v>4.4851654657310114E-2</v>
      </c>
      <c r="H297" s="381">
        <f t="shared" ref="H297" si="475">H296/G296-1</f>
        <v>5.3531879647802372E-2</v>
      </c>
      <c r="I297" s="381">
        <f t="shared" ref="I297" si="476">I296/H296-1</f>
        <v>2.3790804990599934E-2</v>
      </c>
      <c r="J297" s="381">
        <f t="shared" ref="J297" si="477">J296/I296-1</f>
        <v>6.0198323929083974E-2</v>
      </c>
      <c r="K297" s="381">
        <f t="shared" ref="K297" si="478">K296/J296-1</f>
        <v>8.7374818920451069E-2</v>
      </c>
      <c r="L297" s="381">
        <f t="shared" ref="L297" si="479">L296/K296-1</f>
        <v>8.0875219021967482E-2</v>
      </c>
      <c r="M297" s="381">
        <f t="shared" ref="M297" si="480">M296/L296-1</f>
        <v>6.7964416816269635E-2</v>
      </c>
      <c r="N297" s="381">
        <f t="shared" ref="N297" si="481">N296/M296-1</f>
        <v>9.5653264755692247E-2</v>
      </c>
      <c r="O297" s="381">
        <f t="shared" ref="O297" si="482">O296/N296-1</f>
        <v>0.12010533547057478</v>
      </c>
      <c r="P297" s="381">
        <f t="shared" ref="P297" si="483">P296/O296-1</f>
        <v>0.18710007155269337</v>
      </c>
      <c r="Q297" s="381">
        <f t="shared" ref="Q297" si="484">Q296/P296-1</f>
        <v>0.24006750822325928</v>
      </c>
      <c r="R297" s="381">
        <f t="shared" ref="R297" si="485">R296/Q296-1</f>
        <v>0.43040954351660243</v>
      </c>
      <c r="S297" s="381">
        <f t="shared" ref="S297" si="486">S296/R296-1</f>
        <v>0.30964713420938939</v>
      </c>
      <c r="T297" s="381">
        <f t="shared" ref="T297" si="487">T296/S296-1</f>
        <v>0.45788143194976771</v>
      </c>
      <c r="U297" s="381">
        <f t="shared" ref="U297" si="488">U296/T296-1</f>
        <v>0.50701980087258103</v>
      </c>
      <c r="V297" s="381">
        <f t="shared" ref="V297" si="489">V296/U296-1</f>
        <v>0.31696289235493103</v>
      </c>
      <c r="W297" s="381">
        <f t="shared" ref="W297" si="490">W296/V296-1</f>
        <v>0.31752219418147343</v>
      </c>
      <c r="X297" s="381">
        <f t="shared" ref="X297" si="491">X296/W296-1</f>
        <v>0.18882399212034162</v>
      </c>
    </row>
    <row r="298" spans="1:33" x14ac:dyDescent="0.35">
      <c r="A298" s="380"/>
      <c r="B298" s="379"/>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row>
    <row r="299" spans="1:33" ht="15.5" x14ac:dyDescent="0.35">
      <c r="A299" s="146" t="s">
        <v>99</v>
      </c>
      <c r="B299" s="147" t="s">
        <v>100</v>
      </c>
      <c r="C299" s="147">
        <v>2000</v>
      </c>
      <c r="D299" s="147">
        <v>2001</v>
      </c>
      <c r="E299" s="147">
        <v>2002</v>
      </c>
      <c r="F299" s="147">
        <v>2003</v>
      </c>
      <c r="G299" s="147">
        <v>2004</v>
      </c>
      <c r="H299" s="147">
        <v>2005</v>
      </c>
      <c r="I299" s="147">
        <v>2006</v>
      </c>
      <c r="J299" s="147">
        <v>2007</v>
      </c>
      <c r="K299" s="147">
        <v>2008</v>
      </c>
      <c r="L299" s="147">
        <v>2009</v>
      </c>
      <c r="M299" s="147">
        <v>2010</v>
      </c>
      <c r="N299" s="147">
        <v>2011</v>
      </c>
      <c r="O299" s="147">
        <v>2012</v>
      </c>
      <c r="P299" s="147">
        <v>2013</v>
      </c>
      <c r="Q299" s="147">
        <v>2014</v>
      </c>
      <c r="R299" s="147">
        <v>2015</v>
      </c>
      <c r="S299" s="147">
        <v>2016</v>
      </c>
      <c r="T299" s="147">
        <v>2017</v>
      </c>
      <c r="U299" s="147">
        <v>2018</v>
      </c>
      <c r="V299" s="147">
        <v>2019</v>
      </c>
      <c r="W299" s="147">
        <v>2020</v>
      </c>
      <c r="X299" s="147">
        <v>2021</v>
      </c>
      <c r="Y299" s="183" t="s">
        <v>90</v>
      </c>
    </row>
    <row r="300" spans="1:33" x14ac:dyDescent="0.35">
      <c r="A300" s="145" t="s">
        <v>5</v>
      </c>
      <c r="B300" s="22">
        <f t="shared" ref="B300:Y300" si="492">B244/$Z$244</f>
        <v>6.3853778303173597E-2</v>
      </c>
      <c r="C300" s="22">
        <f t="shared" si="492"/>
        <v>1.600436482677094E-3</v>
      </c>
      <c r="D300" s="22">
        <f t="shared" si="492"/>
        <v>4.7285623351823233E-4</v>
      </c>
      <c r="E300" s="22">
        <f t="shared" si="492"/>
        <v>3.7828498681458586E-3</v>
      </c>
      <c r="F300" s="22">
        <f t="shared" si="492"/>
        <v>2.7825770664726751E-3</v>
      </c>
      <c r="G300" s="22">
        <f t="shared" si="492"/>
        <v>2.4552150586523605E-3</v>
      </c>
      <c r="H300" s="22">
        <f t="shared" si="492"/>
        <v>5.2105119578066753E-3</v>
      </c>
      <c r="I300" s="22">
        <f t="shared" si="492"/>
        <v>8.0931163044466691E-4</v>
      </c>
      <c r="J300" s="22">
        <f t="shared" si="492"/>
        <v>0</v>
      </c>
      <c r="K300" s="22">
        <f t="shared" si="492"/>
        <v>1.85505137764845E-3</v>
      </c>
      <c r="L300" s="22">
        <f t="shared" si="492"/>
        <v>1.0884786760025463E-2</v>
      </c>
      <c r="M300" s="22">
        <f t="shared" si="492"/>
        <v>2.9735382377011916E-3</v>
      </c>
      <c r="N300" s="22">
        <f t="shared" si="492"/>
        <v>5.5560607438392296E-3</v>
      </c>
      <c r="O300" s="22">
        <f t="shared" si="492"/>
        <v>7.6202600709284352E-3</v>
      </c>
      <c r="P300" s="22">
        <f t="shared" si="492"/>
        <v>5.2032372465217795E-2</v>
      </c>
      <c r="Q300" s="22">
        <f t="shared" si="492"/>
        <v>3.165408747840321E-2</v>
      </c>
      <c r="R300" s="22">
        <f t="shared" si="492"/>
        <v>5.0795671546785499E-2</v>
      </c>
      <c r="S300" s="22">
        <f t="shared" si="492"/>
        <v>7.4174774938619639E-2</v>
      </c>
      <c r="T300" s="22">
        <f t="shared" si="492"/>
        <v>0.11053923797399293</v>
      </c>
      <c r="U300" s="22">
        <f t="shared" si="492"/>
        <v>0.15233245430571976</v>
      </c>
      <c r="V300" s="22">
        <f t="shared" si="492"/>
        <v>8.6787305628807876E-2</v>
      </c>
      <c r="W300" s="22">
        <f t="shared" si="492"/>
        <v>0.19567154678548696</v>
      </c>
      <c r="X300" s="22">
        <f t="shared" si="492"/>
        <v>0.13573701918705103</v>
      </c>
      <c r="Y300" s="384">
        <f t="shared" si="492"/>
        <v>4.1829589888151317E-4</v>
      </c>
    </row>
    <row r="301" spans="1:33" x14ac:dyDescent="0.35">
      <c r="A301" s="145" t="s">
        <v>12</v>
      </c>
      <c r="B301" s="22">
        <f t="shared" ref="B301:Y301" si="493">B253/$Z$253</f>
        <v>0</v>
      </c>
      <c r="C301" s="22">
        <f t="shared" si="493"/>
        <v>0</v>
      </c>
      <c r="D301" s="22">
        <f t="shared" si="493"/>
        <v>0</v>
      </c>
      <c r="E301" s="22">
        <f t="shared" si="493"/>
        <v>0</v>
      </c>
      <c r="F301" s="22">
        <f t="shared" si="493"/>
        <v>0</v>
      </c>
      <c r="G301" s="22">
        <f t="shared" si="493"/>
        <v>0</v>
      </c>
      <c r="H301" s="22">
        <f t="shared" si="493"/>
        <v>0</v>
      </c>
      <c r="I301" s="22">
        <f t="shared" si="493"/>
        <v>0</v>
      </c>
      <c r="J301" s="22">
        <f t="shared" si="493"/>
        <v>0</v>
      </c>
      <c r="K301" s="22">
        <f t="shared" si="493"/>
        <v>0</v>
      </c>
      <c r="L301" s="22">
        <f t="shared" si="493"/>
        <v>0</v>
      </c>
      <c r="M301" s="22">
        <f t="shared" si="493"/>
        <v>0</v>
      </c>
      <c r="N301" s="22">
        <f t="shared" si="493"/>
        <v>0</v>
      </c>
      <c r="O301" s="22">
        <f t="shared" si="493"/>
        <v>0</v>
      </c>
      <c r="P301" s="22">
        <f t="shared" si="493"/>
        <v>1.0478775473880928E-2</v>
      </c>
      <c r="Q301" s="22">
        <f t="shared" si="493"/>
        <v>1.096822995461422E-2</v>
      </c>
      <c r="R301" s="22">
        <f t="shared" si="493"/>
        <v>7.7200320370205558E-3</v>
      </c>
      <c r="S301" s="22">
        <f t="shared" si="493"/>
        <v>6.7388982824597307E-2</v>
      </c>
      <c r="T301" s="22">
        <f t="shared" si="493"/>
        <v>0.17446827445047611</v>
      </c>
      <c r="U301" s="22">
        <f t="shared" si="493"/>
        <v>0.32228352763193024</v>
      </c>
      <c r="V301" s="22">
        <f t="shared" si="493"/>
        <v>0.14276497285752424</v>
      </c>
      <c r="W301" s="22">
        <f t="shared" si="493"/>
        <v>0.20345732846845241</v>
      </c>
      <c r="X301" s="22">
        <f t="shared" si="493"/>
        <v>5.9579959063807066E-2</v>
      </c>
      <c r="Y301" s="384">
        <f t="shared" si="493"/>
        <v>8.8991723769689423E-4</v>
      </c>
    </row>
    <row r="302" spans="1:33" x14ac:dyDescent="0.35">
      <c r="A302" s="145" t="s">
        <v>13</v>
      </c>
      <c r="B302" s="22">
        <f t="shared" ref="B302:Y302" si="494">B257/$Z$257</f>
        <v>2.40831964969896E-2</v>
      </c>
      <c r="C302" s="22">
        <f t="shared" si="494"/>
        <v>1.3683634373289548E-3</v>
      </c>
      <c r="D302" s="22">
        <f t="shared" si="494"/>
        <v>0</v>
      </c>
      <c r="E302" s="22">
        <f t="shared" si="494"/>
        <v>0</v>
      </c>
      <c r="F302" s="22">
        <f t="shared" si="494"/>
        <v>0</v>
      </c>
      <c r="G302" s="22">
        <f t="shared" si="494"/>
        <v>0</v>
      </c>
      <c r="H302" s="22">
        <f t="shared" si="494"/>
        <v>0</v>
      </c>
      <c r="I302" s="22">
        <f t="shared" si="494"/>
        <v>0</v>
      </c>
      <c r="J302" s="22">
        <f t="shared" si="494"/>
        <v>0</v>
      </c>
      <c r="K302" s="22">
        <f t="shared" si="494"/>
        <v>0</v>
      </c>
      <c r="L302" s="22">
        <f t="shared" si="494"/>
        <v>0</v>
      </c>
      <c r="M302" s="22">
        <f t="shared" si="494"/>
        <v>0</v>
      </c>
      <c r="N302" s="22">
        <f t="shared" si="494"/>
        <v>0</v>
      </c>
      <c r="O302" s="22">
        <f t="shared" si="494"/>
        <v>0</v>
      </c>
      <c r="P302" s="22">
        <f t="shared" si="494"/>
        <v>0</v>
      </c>
      <c r="Q302" s="22">
        <f t="shared" si="494"/>
        <v>0.1598248494800219</v>
      </c>
      <c r="R302" s="22">
        <f t="shared" si="494"/>
        <v>1.9978106185002738E-2</v>
      </c>
      <c r="S302" s="22">
        <f t="shared" si="494"/>
        <v>0.45073891625615764</v>
      </c>
      <c r="T302" s="22">
        <f t="shared" si="494"/>
        <v>4.3787629994526553E-2</v>
      </c>
      <c r="U302" s="22">
        <f t="shared" si="494"/>
        <v>1.9157088122605367E-3</v>
      </c>
      <c r="V302" s="22">
        <f t="shared" si="494"/>
        <v>4.7345374931581828E-2</v>
      </c>
      <c r="W302" s="22">
        <f t="shared" si="494"/>
        <v>0.25068418171866447</v>
      </c>
      <c r="X302" s="22">
        <f t="shared" si="494"/>
        <v>0</v>
      </c>
      <c r="Y302" s="384">
        <f t="shared" si="494"/>
        <v>2.7367268746579092E-4</v>
      </c>
    </row>
    <row r="303" spans="1:33" x14ac:dyDescent="0.35">
      <c r="A303" s="145" t="s">
        <v>14</v>
      </c>
      <c r="B303" s="22">
        <f t="shared" ref="B303:Y303" si="495">B261/$Z$261</f>
        <v>0.27774777524712951</v>
      </c>
      <c r="C303" s="22">
        <f t="shared" si="495"/>
        <v>1.1035713447134237E-2</v>
      </c>
      <c r="D303" s="22">
        <f t="shared" si="495"/>
        <v>0</v>
      </c>
      <c r="E303" s="22">
        <f t="shared" si="495"/>
        <v>0</v>
      </c>
      <c r="F303" s="22">
        <f t="shared" si="495"/>
        <v>0</v>
      </c>
      <c r="G303" s="22">
        <f t="shared" si="495"/>
        <v>0</v>
      </c>
      <c r="H303" s="22">
        <f t="shared" si="495"/>
        <v>2.4419451031956608E-3</v>
      </c>
      <c r="I303" s="22">
        <f t="shared" si="495"/>
        <v>0</v>
      </c>
      <c r="J303" s="22">
        <f t="shared" si="495"/>
        <v>2.3715043790650168E-3</v>
      </c>
      <c r="K303" s="22">
        <f t="shared" si="495"/>
        <v>9.1572941369837276E-4</v>
      </c>
      <c r="L303" s="22">
        <f t="shared" si="495"/>
        <v>0</v>
      </c>
      <c r="M303" s="22">
        <f t="shared" si="495"/>
        <v>0</v>
      </c>
      <c r="N303" s="22">
        <f t="shared" si="495"/>
        <v>0</v>
      </c>
      <c r="O303" s="22">
        <f t="shared" si="495"/>
        <v>4.1560027237079996E-3</v>
      </c>
      <c r="P303" s="22">
        <f t="shared" si="495"/>
        <v>8.4528868956772868E-4</v>
      </c>
      <c r="Q303" s="22">
        <f t="shared" si="495"/>
        <v>0</v>
      </c>
      <c r="R303" s="22">
        <f t="shared" si="495"/>
        <v>4.3461926788607379E-2</v>
      </c>
      <c r="S303" s="22">
        <f t="shared" si="495"/>
        <v>7.3234872854492941E-2</v>
      </c>
      <c r="T303" s="22">
        <f t="shared" si="495"/>
        <v>1.7422339101645964E-2</v>
      </c>
      <c r="U303" s="22">
        <f t="shared" si="495"/>
        <v>9.4461011059193675E-2</v>
      </c>
      <c r="V303" s="22">
        <f t="shared" si="495"/>
        <v>7.2765268026955321E-2</v>
      </c>
      <c r="W303" s="22">
        <f t="shared" si="495"/>
        <v>0.16438516987954635</v>
      </c>
      <c r="X303" s="22">
        <f t="shared" si="495"/>
        <v>0.23475545328605979</v>
      </c>
      <c r="Y303" s="385">
        <f t="shared" si="495"/>
        <v>0</v>
      </c>
    </row>
    <row r="304" spans="1:33" x14ac:dyDescent="0.35">
      <c r="A304" s="145" t="s">
        <v>15</v>
      </c>
      <c r="B304" s="22">
        <f t="shared" ref="B304:Y304" si="496">B266/$Z$266</f>
        <v>5.5577173885008194E-3</v>
      </c>
      <c r="C304" s="22">
        <f t="shared" si="496"/>
        <v>1.2037235360808673E-2</v>
      </c>
      <c r="D304" s="22">
        <f t="shared" si="496"/>
        <v>4.3499567695711606E-3</v>
      </c>
      <c r="E304" s="22">
        <f t="shared" si="496"/>
        <v>0</v>
      </c>
      <c r="F304" s="22">
        <f t="shared" si="496"/>
        <v>6.9392968523089302E-3</v>
      </c>
      <c r="G304" s="22">
        <f t="shared" si="496"/>
        <v>2.2731019262492249E-3</v>
      </c>
      <c r="H304" s="22">
        <f t="shared" si="496"/>
        <v>2.5747617280060288E-3</v>
      </c>
      <c r="I304" s="22">
        <f t="shared" si="496"/>
        <v>1.4611997088814703E-3</v>
      </c>
      <c r="J304" s="22">
        <f t="shared" si="496"/>
        <v>3.9305487180579836E-3</v>
      </c>
      <c r="K304" s="22">
        <f t="shared" si="496"/>
        <v>3.6457100948378051E-3</v>
      </c>
      <c r="L304" s="22">
        <f t="shared" si="496"/>
        <v>1.8570581104433725E-3</v>
      </c>
      <c r="M304" s="22">
        <f t="shared" si="496"/>
        <v>3.3552644121054172E-3</v>
      </c>
      <c r="N304" s="22">
        <f t="shared" si="496"/>
        <v>4.6516165713279649E-3</v>
      </c>
      <c r="O304" s="22">
        <f t="shared" si="496"/>
        <v>6.8563123715282498E-3</v>
      </c>
      <c r="P304" s="22">
        <f t="shared" si="496"/>
        <v>1.3056598780128133E-2</v>
      </c>
      <c r="Q304" s="22">
        <f t="shared" si="496"/>
        <v>2.3738047150884848E-2</v>
      </c>
      <c r="R304" s="22">
        <f t="shared" si="496"/>
        <v>5.4013925693004526E-2</v>
      </c>
      <c r="S304" s="22">
        <f t="shared" si="496"/>
        <v>4.4102887299225221E-2</v>
      </c>
      <c r="T304" s="22">
        <f t="shared" si="496"/>
        <v>9.5701291754370435E-2</v>
      </c>
      <c r="U304" s="22">
        <f t="shared" si="496"/>
        <v>0.16041460840857072</v>
      </c>
      <c r="V304" s="22">
        <f t="shared" si="496"/>
        <v>0.16117492567842617</v>
      </c>
      <c r="W304" s="22">
        <f t="shared" si="496"/>
        <v>0.21611401619094503</v>
      </c>
      <c r="X304" s="22">
        <f t="shared" si="496"/>
        <v>0.17175656838986558</v>
      </c>
      <c r="Y304" s="384">
        <f t="shared" si="496"/>
        <v>4.3735064195224357E-4</v>
      </c>
    </row>
    <row r="305" spans="1:33" x14ac:dyDescent="0.35">
      <c r="A305" s="145" t="s">
        <v>16</v>
      </c>
      <c r="B305" s="22">
        <f t="shared" ref="B305:Y305" si="497">B272/$Z$272</f>
        <v>0</v>
      </c>
      <c r="C305" s="22">
        <f t="shared" si="497"/>
        <v>1.0761764085250054E-2</v>
      </c>
      <c r="D305" s="22">
        <f t="shared" si="497"/>
        <v>0</v>
      </c>
      <c r="E305" s="22">
        <f t="shared" si="497"/>
        <v>0</v>
      </c>
      <c r="F305" s="22">
        <f t="shared" si="497"/>
        <v>1.1025532812829711E-2</v>
      </c>
      <c r="G305" s="22">
        <f t="shared" si="497"/>
        <v>0</v>
      </c>
      <c r="H305" s="22">
        <f t="shared" si="497"/>
        <v>0</v>
      </c>
      <c r="I305" s="22">
        <f t="shared" si="497"/>
        <v>0</v>
      </c>
      <c r="J305" s="22">
        <f t="shared" si="497"/>
        <v>0</v>
      </c>
      <c r="K305" s="22">
        <f t="shared" si="497"/>
        <v>3.4791095167756907E-2</v>
      </c>
      <c r="L305" s="22">
        <f t="shared" si="497"/>
        <v>1.9518885840894703E-3</v>
      </c>
      <c r="M305" s="22">
        <f t="shared" si="497"/>
        <v>3.3287613420552864E-2</v>
      </c>
      <c r="N305" s="22">
        <f t="shared" si="497"/>
        <v>1.6089892382359146E-2</v>
      </c>
      <c r="O305" s="22">
        <f t="shared" si="497"/>
        <v>2.7511078286558344E-2</v>
      </c>
      <c r="P305" s="22">
        <f t="shared" si="497"/>
        <v>1.1394809031441232E-2</v>
      </c>
      <c r="Q305" s="22">
        <f t="shared" si="497"/>
        <v>3.2865583456425408E-2</v>
      </c>
      <c r="R305" s="22">
        <f t="shared" si="497"/>
        <v>8.4959907153407871E-2</v>
      </c>
      <c r="S305" s="22">
        <f t="shared" si="497"/>
        <v>9.2741084617007821E-2</v>
      </c>
      <c r="T305" s="22">
        <f t="shared" si="497"/>
        <v>6.6364211859041997E-2</v>
      </c>
      <c r="U305" s="22">
        <f t="shared" si="497"/>
        <v>0.2266037138636843</v>
      </c>
      <c r="V305" s="22">
        <f t="shared" si="497"/>
        <v>0.19160160371386367</v>
      </c>
      <c r="W305" s="22">
        <f t="shared" si="497"/>
        <v>0.11869592741084617</v>
      </c>
      <c r="X305" s="22">
        <f t="shared" si="497"/>
        <v>3.9354294154884999E-2</v>
      </c>
      <c r="Y305" s="385">
        <f t="shared" si="497"/>
        <v>0</v>
      </c>
    </row>
    <row r="306" spans="1:33" x14ac:dyDescent="0.35">
      <c r="A306" s="145" t="s">
        <v>18</v>
      </c>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384"/>
    </row>
    <row r="307" spans="1:33" x14ac:dyDescent="0.35">
      <c r="A307" s="145" t="s">
        <v>17</v>
      </c>
      <c r="B307" s="22">
        <f t="shared" ref="B307:Y307" si="498">B284/$Z$284</f>
        <v>9.3732647907001726E-2</v>
      </c>
      <c r="C307" s="22">
        <f t="shared" si="498"/>
        <v>8.4185638288344748E-4</v>
      </c>
      <c r="D307" s="22">
        <f t="shared" si="498"/>
        <v>0</v>
      </c>
      <c r="E307" s="22">
        <f t="shared" si="498"/>
        <v>0</v>
      </c>
      <c r="F307" s="22">
        <f t="shared" si="498"/>
        <v>0</v>
      </c>
      <c r="G307" s="22">
        <f t="shared" si="498"/>
        <v>0</v>
      </c>
      <c r="H307" s="22">
        <f t="shared" si="498"/>
        <v>0</v>
      </c>
      <c r="I307" s="22">
        <f t="shared" si="498"/>
        <v>0</v>
      </c>
      <c r="J307" s="22">
        <f t="shared" si="498"/>
        <v>0</v>
      </c>
      <c r="K307" s="22">
        <f t="shared" si="498"/>
        <v>0</v>
      </c>
      <c r="L307" s="22">
        <f t="shared" si="498"/>
        <v>4.760966522774901E-2</v>
      </c>
      <c r="M307" s="22">
        <f t="shared" si="498"/>
        <v>2.2927152555123681E-3</v>
      </c>
      <c r="N307" s="22">
        <f t="shared" si="498"/>
        <v>0</v>
      </c>
      <c r="O307" s="22">
        <f t="shared" si="498"/>
        <v>0</v>
      </c>
      <c r="P307" s="22">
        <f t="shared" si="498"/>
        <v>0</v>
      </c>
      <c r="Q307" s="22">
        <f t="shared" si="498"/>
        <v>1.4132440129681706E-2</v>
      </c>
      <c r="R307" s="22">
        <f t="shared" si="498"/>
        <v>3.2420426659979578E-3</v>
      </c>
      <c r="S307" s="22">
        <f t="shared" si="498"/>
        <v>4.1161403571620486E-2</v>
      </c>
      <c r="T307" s="22">
        <f t="shared" si="498"/>
        <v>0.22425621092980347</v>
      </c>
      <c r="U307" s="22">
        <f t="shared" si="498"/>
        <v>0.11325655125472422</v>
      </c>
      <c r="V307" s="22">
        <f t="shared" si="498"/>
        <v>0.1827007469236418</v>
      </c>
      <c r="W307" s="22">
        <f t="shared" si="498"/>
        <v>0.13331780974045745</v>
      </c>
      <c r="X307" s="22">
        <f t="shared" si="498"/>
        <v>0.14309767325225239</v>
      </c>
      <c r="Y307" s="384">
        <f t="shared" si="498"/>
        <v>3.5823675867380748E-4</v>
      </c>
    </row>
    <row r="308" spans="1:33" x14ac:dyDescent="0.35">
      <c r="A308" s="145" t="s">
        <v>20</v>
      </c>
      <c r="B308" s="22">
        <f t="shared" ref="B308:Y308" si="499">B287/$Z$287</f>
        <v>0</v>
      </c>
      <c r="C308" s="22">
        <f t="shared" si="499"/>
        <v>0</v>
      </c>
      <c r="D308" s="22">
        <f t="shared" si="499"/>
        <v>0</v>
      </c>
      <c r="E308" s="22">
        <f t="shared" si="499"/>
        <v>0</v>
      </c>
      <c r="F308" s="22">
        <f t="shared" si="499"/>
        <v>0</v>
      </c>
      <c r="G308" s="22">
        <f t="shared" si="499"/>
        <v>0</v>
      </c>
      <c r="H308" s="22">
        <f t="shared" si="499"/>
        <v>0</v>
      </c>
      <c r="I308" s="22">
        <f t="shared" si="499"/>
        <v>0</v>
      </c>
      <c r="J308" s="22">
        <f t="shared" si="499"/>
        <v>0</v>
      </c>
      <c r="K308" s="22">
        <f t="shared" si="499"/>
        <v>0</v>
      </c>
      <c r="L308" s="22">
        <f t="shared" si="499"/>
        <v>0</v>
      </c>
      <c r="M308" s="22">
        <f t="shared" si="499"/>
        <v>0</v>
      </c>
      <c r="N308" s="22">
        <f t="shared" si="499"/>
        <v>0</v>
      </c>
      <c r="O308" s="22">
        <f t="shared" si="499"/>
        <v>0</v>
      </c>
      <c r="P308" s="22">
        <f t="shared" si="499"/>
        <v>0</v>
      </c>
      <c r="Q308" s="22">
        <f t="shared" si="499"/>
        <v>0</v>
      </c>
      <c r="R308" s="22">
        <f t="shared" si="499"/>
        <v>0.12835349815886377</v>
      </c>
      <c r="S308" s="22">
        <f t="shared" si="499"/>
        <v>0</v>
      </c>
      <c r="T308" s="22">
        <f t="shared" si="499"/>
        <v>0</v>
      </c>
      <c r="U308" s="22">
        <f t="shared" si="499"/>
        <v>0.42661756970015785</v>
      </c>
      <c r="V308" s="22">
        <f t="shared" si="499"/>
        <v>4.2609153077327731E-2</v>
      </c>
      <c r="W308" s="22">
        <f t="shared" si="499"/>
        <v>0.39768542872172541</v>
      </c>
      <c r="X308" s="22">
        <f t="shared" si="499"/>
        <v>0</v>
      </c>
      <c r="Y308" s="384">
        <f t="shared" si="499"/>
        <v>4.7343503419253032E-3</v>
      </c>
    </row>
    <row r="309" spans="1:33" x14ac:dyDescent="0.35">
      <c r="A309" s="145" t="s">
        <v>21</v>
      </c>
      <c r="B309" s="22">
        <f t="shared" ref="B309:Y309" si="500">B289/$Z$289</f>
        <v>2.4883973536091633E-2</v>
      </c>
      <c r="C309" s="22">
        <f t="shared" si="500"/>
        <v>2.0835390540140216E-2</v>
      </c>
      <c r="D309" s="22">
        <f t="shared" si="500"/>
        <v>0</v>
      </c>
      <c r="E309" s="22">
        <f t="shared" si="500"/>
        <v>0</v>
      </c>
      <c r="F309" s="22">
        <f t="shared" si="500"/>
        <v>0</v>
      </c>
      <c r="G309" s="22">
        <f t="shared" si="500"/>
        <v>0</v>
      </c>
      <c r="H309" s="22">
        <f t="shared" si="500"/>
        <v>0</v>
      </c>
      <c r="I309" s="22">
        <f t="shared" si="500"/>
        <v>0</v>
      </c>
      <c r="J309" s="22">
        <f t="shared" si="500"/>
        <v>0</v>
      </c>
      <c r="K309" s="22">
        <f t="shared" si="500"/>
        <v>4.0979559593166777E-3</v>
      </c>
      <c r="L309" s="22">
        <f t="shared" si="500"/>
        <v>0</v>
      </c>
      <c r="M309" s="22">
        <f t="shared" si="500"/>
        <v>2.814258911819887E-3</v>
      </c>
      <c r="N309" s="22">
        <f t="shared" si="500"/>
        <v>0</v>
      </c>
      <c r="O309" s="22">
        <f t="shared" si="500"/>
        <v>0.10412757973733583</v>
      </c>
      <c r="P309" s="22">
        <f t="shared" si="500"/>
        <v>0</v>
      </c>
      <c r="Q309" s="22">
        <f t="shared" si="500"/>
        <v>0</v>
      </c>
      <c r="R309" s="22">
        <f t="shared" si="500"/>
        <v>1.9008590895625555E-2</v>
      </c>
      <c r="S309" s="22">
        <f t="shared" si="500"/>
        <v>2.4587735755900068E-2</v>
      </c>
      <c r="T309" s="22">
        <f t="shared" si="500"/>
        <v>5.2680951910733687E-2</v>
      </c>
      <c r="U309" s="22">
        <f t="shared" si="500"/>
        <v>0.20292287943122347</v>
      </c>
      <c r="V309" s="22">
        <f t="shared" si="500"/>
        <v>0.30675422138836772</v>
      </c>
      <c r="W309" s="22">
        <f t="shared" si="500"/>
        <v>4.4485039992100323E-2</v>
      </c>
      <c r="X309" s="22">
        <f t="shared" si="500"/>
        <v>0.19156709785721335</v>
      </c>
      <c r="Y309" s="384">
        <f t="shared" si="500"/>
        <v>1.2343240841315294E-3</v>
      </c>
    </row>
    <row r="310" spans="1:33" x14ac:dyDescent="0.35">
      <c r="A310" s="145" t="s">
        <v>22</v>
      </c>
      <c r="B310" s="22">
        <f t="shared" ref="B310:Y310" si="501">B291/$Z$291</f>
        <v>0</v>
      </c>
      <c r="C310" s="22">
        <f t="shared" si="501"/>
        <v>0</v>
      </c>
      <c r="D310" s="22">
        <f t="shared" si="501"/>
        <v>0</v>
      </c>
      <c r="E310" s="22">
        <f t="shared" si="501"/>
        <v>0</v>
      </c>
      <c r="F310" s="22">
        <f t="shared" si="501"/>
        <v>0</v>
      </c>
      <c r="G310" s="22">
        <f t="shared" si="501"/>
        <v>1.0184968391477405E-2</v>
      </c>
      <c r="H310" s="22">
        <f t="shared" si="501"/>
        <v>0</v>
      </c>
      <c r="I310" s="22">
        <f t="shared" si="501"/>
        <v>0</v>
      </c>
      <c r="J310" s="22">
        <f t="shared" si="501"/>
        <v>0</v>
      </c>
      <c r="K310" s="22">
        <f t="shared" si="501"/>
        <v>0</v>
      </c>
      <c r="L310" s="22">
        <f t="shared" si="501"/>
        <v>0</v>
      </c>
      <c r="M310" s="22">
        <f t="shared" si="501"/>
        <v>5.9704987122453758E-3</v>
      </c>
      <c r="N310" s="22">
        <f t="shared" si="501"/>
        <v>0.26410676656520721</v>
      </c>
      <c r="O310" s="22">
        <f t="shared" si="501"/>
        <v>1.9901662374151256E-3</v>
      </c>
      <c r="P310" s="22">
        <f t="shared" si="501"/>
        <v>0</v>
      </c>
      <c r="Q310" s="22">
        <f t="shared" si="501"/>
        <v>0</v>
      </c>
      <c r="R310" s="22">
        <f t="shared" si="501"/>
        <v>3.5003512058066032E-2</v>
      </c>
      <c r="S310" s="22">
        <f t="shared" si="501"/>
        <v>0.25696558183095292</v>
      </c>
      <c r="T310" s="22">
        <f t="shared" si="501"/>
        <v>6.0056192929056423E-2</v>
      </c>
      <c r="U310" s="22">
        <f t="shared" si="501"/>
        <v>0.1287754624209787</v>
      </c>
      <c r="V310" s="22">
        <f t="shared" si="501"/>
        <v>9.4474361976118013E-2</v>
      </c>
      <c r="W310" s="22">
        <f t="shared" si="501"/>
        <v>0.11976118005151019</v>
      </c>
      <c r="X310" s="22">
        <f t="shared" si="501"/>
        <v>8.780145165066729E-3</v>
      </c>
      <c r="Y310" s="384">
        <f t="shared" si="501"/>
        <v>1.3931163661905875E-2</v>
      </c>
    </row>
    <row r="311" spans="1:33" x14ac:dyDescent="0.35">
      <c r="A311" s="145" t="s">
        <v>23</v>
      </c>
      <c r="B311" s="22">
        <f t="shared" ref="B311:Y311" si="502">B293/$Z$293</f>
        <v>0</v>
      </c>
      <c r="C311" s="22">
        <f t="shared" si="502"/>
        <v>0</v>
      </c>
      <c r="D311" s="22">
        <f t="shared" si="502"/>
        <v>0</v>
      </c>
      <c r="E311" s="22">
        <f t="shared" si="502"/>
        <v>0</v>
      </c>
      <c r="F311" s="22">
        <f t="shared" si="502"/>
        <v>0</v>
      </c>
      <c r="G311" s="22">
        <f t="shared" si="502"/>
        <v>0</v>
      </c>
      <c r="H311" s="22">
        <f t="shared" si="502"/>
        <v>0</v>
      </c>
      <c r="I311" s="22">
        <f t="shared" si="502"/>
        <v>0</v>
      </c>
      <c r="J311" s="22">
        <f t="shared" si="502"/>
        <v>0</v>
      </c>
      <c r="K311" s="22">
        <f t="shared" si="502"/>
        <v>0.10879706764411863</v>
      </c>
      <c r="L311" s="22">
        <f t="shared" si="502"/>
        <v>0</v>
      </c>
      <c r="M311" s="22">
        <f t="shared" si="502"/>
        <v>4.2652449183605466E-2</v>
      </c>
      <c r="N311" s="22">
        <f t="shared" si="502"/>
        <v>0</v>
      </c>
      <c r="O311" s="22">
        <f t="shared" si="502"/>
        <v>3.1989336887704098E-2</v>
      </c>
      <c r="P311" s="22">
        <f t="shared" si="502"/>
        <v>0</v>
      </c>
      <c r="Q311" s="22">
        <f t="shared" si="502"/>
        <v>1.9826724425191601E-2</v>
      </c>
      <c r="R311" s="22">
        <f t="shared" si="502"/>
        <v>0.27190936354548484</v>
      </c>
      <c r="S311" s="22">
        <f t="shared" si="502"/>
        <v>0</v>
      </c>
      <c r="T311" s="22">
        <f t="shared" si="502"/>
        <v>0.11229590136621125</v>
      </c>
      <c r="U311" s="22">
        <f t="shared" si="502"/>
        <v>2.8157280906364542E-2</v>
      </c>
      <c r="V311" s="22">
        <f t="shared" si="502"/>
        <v>5.8647117627457508E-2</v>
      </c>
      <c r="W311" s="22">
        <f t="shared" si="502"/>
        <v>0.32355881372875711</v>
      </c>
      <c r="X311" s="22">
        <f t="shared" si="502"/>
        <v>0</v>
      </c>
      <c r="Y311" s="384">
        <f t="shared" si="502"/>
        <v>2.1659446851049649E-3</v>
      </c>
    </row>
    <row r="312" spans="1:33" x14ac:dyDescent="0.35">
      <c r="A312" s="145" t="s">
        <v>25</v>
      </c>
      <c r="B312" s="22">
        <f t="shared" ref="B312:Y312" si="503">B295/$Z$295</f>
        <v>2.4222330124070768E-2</v>
      </c>
      <c r="C312" s="22">
        <f t="shared" si="503"/>
        <v>1.0023427780148347E-2</v>
      </c>
      <c r="D312" s="22">
        <f t="shared" si="503"/>
        <v>3.2133497474933249E-3</v>
      </c>
      <c r="E312" s="22">
        <f t="shared" si="503"/>
        <v>3.4005431059710582E-4</v>
      </c>
      <c r="F312" s="22">
        <f t="shared" si="503"/>
        <v>5.6501331606903741E-3</v>
      </c>
      <c r="G312" s="22">
        <f t="shared" si="503"/>
        <v>1.9487727799603373E-3</v>
      </c>
      <c r="H312" s="22">
        <f t="shared" si="503"/>
        <v>2.430243907224028E-3</v>
      </c>
      <c r="I312" s="22">
        <f t="shared" si="503"/>
        <v>1.1378740393057005E-3</v>
      </c>
      <c r="J312" s="22">
        <f t="shared" si="503"/>
        <v>2.9476823173393354E-3</v>
      </c>
      <c r="K312" s="22">
        <f t="shared" si="503"/>
        <v>4.5359648305368762E-3</v>
      </c>
      <c r="L312" s="22">
        <f t="shared" si="503"/>
        <v>4.5653926074154709E-3</v>
      </c>
      <c r="M312" s="22">
        <f t="shared" si="503"/>
        <v>4.1468642251421108E-3</v>
      </c>
      <c r="N312" s="22">
        <f t="shared" si="503"/>
        <v>6.2329666305358938E-3</v>
      </c>
      <c r="O312" s="22">
        <f t="shared" si="503"/>
        <v>8.5749272071241351E-3</v>
      </c>
      <c r="P312" s="22">
        <f t="shared" si="503"/>
        <v>1.4962389666272656E-2</v>
      </c>
      <c r="Q312" s="22">
        <f t="shared" si="503"/>
        <v>2.2790178315979109E-2</v>
      </c>
      <c r="R312" s="22">
        <f t="shared" si="503"/>
        <v>5.066890971721541E-2</v>
      </c>
      <c r="S312" s="22">
        <f t="shared" si="503"/>
        <v>5.2141933437638448E-2</v>
      </c>
      <c r="T312" s="22">
        <f t="shared" si="503"/>
        <v>0.10097814660591466</v>
      </c>
      <c r="U312" s="22">
        <f t="shared" si="503"/>
        <v>0.163012717704241</v>
      </c>
      <c r="V312" s="22">
        <f t="shared" si="503"/>
        <v>0.15357621058517129</v>
      </c>
      <c r="W312" s="22">
        <f t="shared" si="503"/>
        <v>0.20261106124737802</v>
      </c>
      <c r="X312" s="22">
        <f t="shared" si="503"/>
        <v>0.15874650749509125</v>
      </c>
      <c r="Y312" s="384">
        <f t="shared" si="503"/>
        <v>5.4196155751413738E-4</v>
      </c>
    </row>
    <row r="315" spans="1:33" ht="23.5" x14ac:dyDescent="0.35">
      <c r="A315" s="289" t="s">
        <v>63</v>
      </c>
      <c r="B315" s="289"/>
      <c r="C315" s="120"/>
      <c r="D315" s="120"/>
    </row>
    <row r="316" spans="1:33" ht="15.5" x14ac:dyDescent="0.35">
      <c r="A316" s="288" t="s">
        <v>98</v>
      </c>
      <c r="B316" s="288"/>
    </row>
    <row r="317" spans="1:33" ht="18.5" x14ac:dyDescent="0.45">
      <c r="A317" s="108"/>
      <c r="D317" s="109"/>
      <c r="AA317" s="110"/>
    </row>
    <row r="318" spans="1:33" ht="39" x14ac:dyDescent="0.35">
      <c r="A318" s="114" t="s">
        <v>88</v>
      </c>
      <c r="B318" s="114" t="s">
        <v>89</v>
      </c>
      <c r="C318" s="114">
        <v>2000</v>
      </c>
      <c r="D318" s="114">
        <v>2001</v>
      </c>
      <c r="E318" s="114">
        <v>2002</v>
      </c>
      <c r="F318" s="114">
        <v>2003</v>
      </c>
      <c r="G318" s="114">
        <v>2004</v>
      </c>
      <c r="H318" s="114">
        <v>2005</v>
      </c>
      <c r="I318" s="114">
        <v>2006</v>
      </c>
      <c r="J318" s="114">
        <v>2007</v>
      </c>
      <c r="K318" s="114">
        <v>2008</v>
      </c>
      <c r="L318" s="114">
        <v>2009</v>
      </c>
      <c r="M318" s="114">
        <v>2010</v>
      </c>
      <c r="N318" s="114">
        <v>2011</v>
      </c>
      <c r="O318" s="114">
        <v>2012</v>
      </c>
      <c r="P318" s="114">
        <v>2013</v>
      </c>
      <c r="Q318" s="114">
        <v>2014</v>
      </c>
      <c r="R318" s="114">
        <v>2015</v>
      </c>
      <c r="S318" s="114">
        <v>2016</v>
      </c>
      <c r="T318" s="114">
        <v>2017</v>
      </c>
      <c r="U318" s="114">
        <v>2018</v>
      </c>
      <c r="V318" s="114">
        <v>2019</v>
      </c>
      <c r="W318" s="114">
        <v>2020</v>
      </c>
      <c r="X318" s="114">
        <v>2021</v>
      </c>
      <c r="Y318" s="114" t="s">
        <v>90</v>
      </c>
      <c r="Z318" s="114" t="s">
        <v>91</v>
      </c>
      <c r="AA318" s="115" t="s">
        <v>92</v>
      </c>
      <c r="AC318" s="187" t="s">
        <v>93</v>
      </c>
      <c r="AD318" s="187" t="s">
        <v>107</v>
      </c>
      <c r="AE318" s="187" t="s">
        <v>94</v>
      </c>
      <c r="AF318" s="187" t="s">
        <v>96</v>
      </c>
      <c r="AG318" s="187" t="s">
        <v>97</v>
      </c>
    </row>
    <row r="319" spans="1:33" x14ac:dyDescent="0.35">
      <c r="A319" s="116" t="s">
        <v>5</v>
      </c>
      <c r="B319" s="117"/>
      <c r="C319" s="117"/>
      <c r="D319" s="117"/>
      <c r="E319" s="117"/>
      <c r="F319" s="117"/>
      <c r="G319" s="117"/>
      <c r="H319" s="117">
        <f>SUM(H320:H327)</f>
        <v>0.69</v>
      </c>
      <c r="I319" s="117">
        <f>SUM(I320:I327)</f>
        <v>0.63</v>
      </c>
      <c r="J319" s="117"/>
      <c r="K319" s="117"/>
      <c r="L319" s="117"/>
      <c r="M319" s="117">
        <f t="shared" ref="M319:Z319" si="504">SUM(M320:M327)</f>
        <v>34.340000000000003</v>
      </c>
      <c r="N319" s="117">
        <f t="shared" si="504"/>
        <v>6.2</v>
      </c>
      <c r="O319" s="117">
        <f t="shared" si="504"/>
        <v>29.14</v>
      </c>
      <c r="P319" s="117">
        <f t="shared" si="504"/>
        <v>35.39</v>
      </c>
      <c r="Q319" s="117">
        <f t="shared" si="504"/>
        <v>23.869999999999997</v>
      </c>
      <c r="R319" s="117">
        <f t="shared" si="504"/>
        <v>74.990000000000009</v>
      </c>
      <c r="S319" s="117">
        <f t="shared" si="504"/>
        <v>118.22</v>
      </c>
      <c r="T319" s="117">
        <f t="shared" si="504"/>
        <v>100.38</v>
      </c>
      <c r="U319" s="117">
        <f t="shared" si="504"/>
        <v>293.16000000000003</v>
      </c>
      <c r="V319" s="117">
        <f t="shared" si="504"/>
        <v>79.360000000000014</v>
      </c>
      <c r="W319" s="117">
        <f t="shared" si="504"/>
        <v>157.13999999999999</v>
      </c>
      <c r="X319" s="117">
        <f t="shared" si="504"/>
        <v>138.13999999999999</v>
      </c>
      <c r="Y319" s="138">
        <f t="shared" si="504"/>
        <v>0.16999999999999998</v>
      </c>
      <c r="Z319" s="117">
        <f t="shared" si="504"/>
        <v>1091.8199999999997</v>
      </c>
      <c r="AA319" s="185">
        <f t="shared" ref="AA319:AA350" si="505">Z319/$Z$373</f>
        <v>0.10454110665238084</v>
      </c>
      <c r="AC319" s="117">
        <f>SUM(B319:T319)</f>
        <v>423.85</v>
      </c>
      <c r="AD319" s="117">
        <f>SUM(U319:X319)</f>
        <v>667.80000000000007</v>
      </c>
      <c r="AE319" s="117">
        <f>Y319</f>
        <v>0.16999999999999998</v>
      </c>
      <c r="AF319" s="117">
        <f>SUM(AC319:AE319)</f>
        <v>1091.8200000000002</v>
      </c>
      <c r="AG319" s="185">
        <f>AD319/AF319</f>
        <v>0.61163928120019784</v>
      </c>
    </row>
    <row r="320" spans="1:33" x14ac:dyDescent="0.35">
      <c r="A320" s="6" t="s">
        <v>6</v>
      </c>
      <c r="B320" s="54"/>
      <c r="C320" s="54"/>
      <c r="D320" s="54"/>
      <c r="E320" s="54"/>
      <c r="F320" s="54"/>
      <c r="G320" s="54"/>
      <c r="H320" s="54"/>
      <c r="I320" s="54"/>
      <c r="J320" s="54"/>
      <c r="K320" s="54"/>
      <c r="L320" s="54"/>
      <c r="M320" s="54"/>
      <c r="N320" s="54"/>
      <c r="O320" s="12">
        <v>3.43</v>
      </c>
      <c r="P320" s="12">
        <v>1</v>
      </c>
      <c r="Q320" s="54"/>
      <c r="R320" s="54">
        <v>0.42</v>
      </c>
      <c r="S320" s="12">
        <v>1.4900000000000002</v>
      </c>
      <c r="T320" s="12"/>
      <c r="U320" s="12">
        <v>9.23</v>
      </c>
      <c r="V320" s="54"/>
      <c r="W320" s="54"/>
      <c r="X320" s="54">
        <v>9.7399999999999984</v>
      </c>
      <c r="Y320" s="54">
        <v>0.09</v>
      </c>
      <c r="Z320" s="12">
        <f t="shared" ref="Z320:Z327" si="506">SUM(B320:Y320)</f>
        <v>25.4</v>
      </c>
      <c r="AA320" s="24">
        <f t="shared" si="505"/>
        <v>2.4320346842615762E-3</v>
      </c>
      <c r="AC320" s="89">
        <f t="shared" ref="AC320:AC373" si="507">SUM(B320:T320)</f>
        <v>6.34</v>
      </c>
      <c r="AD320" s="89">
        <f t="shared" ref="AD320:AD373" si="508">SUM(U320:X320)</f>
        <v>18.97</v>
      </c>
      <c r="AE320" s="89">
        <f t="shared" ref="AE320:AE373" si="509">Y320</f>
        <v>0.09</v>
      </c>
      <c r="AF320" s="89">
        <f>SUM(AC320:AE320)</f>
        <v>25.4</v>
      </c>
      <c r="AG320" s="24">
        <f>AD320/AF320</f>
        <v>0.74685039370078743</v>
      </c>
    </row>
    <row r="321" spans="1:43" x14ac:dyDescent="0.35">
      <c r="A321" s="6" t="s">
        <v>7</v>
      </c>
      <c r="B321" s="12"/>
      <c r="C321" s="12"/>
      <c r="D321" s="12"/>
      <c r="E321" s="12"/>
      <c r="F321" s="12"/>
      <c r="G321" s="12"/>
      <c r="H321" s="12"/>
      <c r="I321" s="12"/>
      <c r="J321" s="12"/>
      <c r="K321" s="12"/>
      <c r="L321" s="12"/>
      <c r="M321" s="12"/>
      <c r="N321" s="12"/>
      <c r="O321" s="12"/>
      <c r="P321" s="12"/>
      <c r="Q321" s="12"/>
      <c r="R321" s="12"/>
      <c r="S321" s="12">
        <v>4.75</v>
      </c>
      <c r="T321" s="12"/>
      <c r="U321" s="12">
        <v>1.35</v>
      </c>
      <c r="V321" s="12">
        <v>17.57</v>
      </c>
      <c r="W321" s="12">
        <v>5.41</v>
      </c>
      <c r="X321" s="54">
        <v>0.18</v>
      </c>
      <c r="Y321" s="12"/>
      <c r="Z321" s="12">
        <f t="shared" si="506"/>
        <v>29.26</v>
      </c>
      <c r="AA321" s="24">
        <f t="shared" si="505"/>
        <v>2.8016273567517216E-3</v>
      </c>
      <c r="AC321" s="89">
        <f t="shared" si="507"/>
        <v>4.75</v>
      </c>
      <c r="AD321" s="89">
        <f t="shared" si="508"/>
        <v>24.51</v>
      </c>
      <c r="AE321" s="89">
        <f t="shared" si="509"/>
        <v>0</v>
      </c>
      <c r="AF321" s="89">
        <f t="shared" ref="AF321:AF372" si="510">SUM(AC321:AE321)</f>
        <v>29.26</v>
      </c>
      <c r="AG321" s="24">
        <f t="shared" ref="AG321:AG373" si="511">AD321/AF321</f>
        <v>0.83766233766233766</v>
      </c>
    </row>
    <row r="322" spans="1:43" x14ac:dyDescent="0.35">
      <c r="A322" s="6" t="s">
        <v>8</v>
      </c>
      <c r="B322" s="54"/>
      <c r="C322" s="54"/>
      <c r="D322" s="54"/>
      <c r="E322" s="54"/>
      <c r="F322" s="54"/>
      <c r="G322" s="54"/>
      <c r="H322" s="54"/>
      <c r="I322" s="12">
        <v>0.63</v>
      </c>
      <c r="J322" s="12"/>
      <c r="K322" s="12"/>
      <c r="L322" s="12"/>
      <c r="M322" s="12">
        <v>34.340000000000003</v>
      </c>
      <c r="N322" s="12">
        <v>4.6900000000000004</v>
      </c>
      <c r="O322" s="12">
        <v>3.57</v>
      </c>
      <c r="P322" s="12"/>
      <c r="Q322" s="12">
        <v>0.6</v>
      </c>
      <c r="R322" s="12">
        <v>1.03</v>
      </c>
      <c r="S322" s="12">
        <v>0.53</v>
      </c>
      <c r="T322" s="12"/>
      <c r="U322" s="12">
        <v>1.41</v>
      </c>
      <c r="V322" s="12">
        <v>19.91</v>
      </c>
      <c r="W322" s="12">
        <v>8.0399999999999991</v>
      </c>
      <c r="X322" s="12">
        <v>24.61</v>
      </c>
      <c r="Y322" s="12"/>
      <c r="Z322" s="12">
        <f t="shared" si="506"/>
        <v>99.36</v>
      </c>
      <c r="AA322" s="24">
        <f t="shared" si="505"/>
        <v>9.5136600877255995E-3</v>
      </c>
      <c r="AC322" s="89">
        <f t="shared" si="507"/>
        <v>45.390000000000008</v>
      </c>
      <c r="AD322" s="89">
        <f t="shared" si="508"/>
        <v>53.97</v>
      </c>
      <c r="AE322" s="89">
        <f t="shared" si="509"/>
        <v>0</v>
      </c>
      <c r="AF322" s="89">
        <f t="shared" si="510"/>
        <v>99.360000000000014</v>
      </c>
      <c r="AG322" s="24">
        <f t="shared" si="511"/>
        <v>0.54317632850241537</v>
      </c>
    </row>
    <row r="323" spans="1:43" x14ac:dyDescent="0.35">
      <c r="A323" s="6" t="s">
        <v>26</v>
      </c>
      <c r="B323" s="12"/>
      <c r="C323" s="12"/>
      <c r="D323" s="12"/>
      <c r="E323" s="12"/>
      <c r="F323" s="12"/>
      <c r="G323" s="12"/>
      <c r="H323" s="12">
        <v>0.69</v>
      </c>
      <c r="I323" s="12"/>
      <c r="J323" s="12"/>
      <c r="K323" s="12"/>
      <c r="L323" s="12"/>
      <c r="M323" s="12"/>
      <c r="N323" s="12">
        <v>1.51</v>
      </c>
      <c r="O323" s="54">
        <v>0.35</v>
      </c>
      <c r="P323" s="12">
        <v>30.32</v>
      </c>
      <c r="Q323" s="12">
        <v>9.48</v>
      </c>
      <c r="R323" s="12">
        <v>26.32</v>
      </c>
      <c r="S323" s="12">
        <v>3.34</v>
      </c>
      <c r="T323" s="12">
        <v>13.099999999999998</v>
      </c>
      <c r="U323" s="12">
        <v>264.93</v>
      </c>
      <c r="V323" s="12">
        <v>19.150000000000002</v>
      </c>
      <c r="W323" s="12">
        <v>94.41</v>
      </c>
      <c r="X323" s="12">
        <v>55.959999999999994</v>
      </c>
      <c r="Y323" s="54">
        <v>6.0000000000000005E-2</v>
      </c>
      <c r="Z323" s="12">
        <f t="shared" si="506"/>
        <v>519.61999999999989</v>
      </c>
      <c r="AA323" s="24">
        <f t="shared" si="505"/>
        <v>4.9753301678582676E-2</v>
      </c>
      <c r="AC323" s="89">
        <f t="shared" si="507"/>
        <v>85.109999999999985</v>
      </c>
      <c r="AD323" s="89">
        <f t="shared" si="508"/>
        <v>434.45</v>
      </c>
      <c r="AE323" s="89">
        <f t="shared" si="509"/>
        <v>6.0000000000000005E-2</v>
      </c>
      <c r="AF323" s="89">
        <f t="shared" si="510"/>
        <v>519.61999999999989</v>
      </c>
      <c r="AG323" s="24">
        <f t="shared" si="511"/>
        <v>0.83609175936261126</v>
      </c>
    </row>
    <row r="324" spans="1:43" x14ac:dyDescent="0.35">
      <c r="A324" s="6" t="s">
        <v>27</v>
      </c>
      <c r="B324" s="12"/>
      <c r="C324" s="12"/>
      <c r="D324" s="12"/>
      <c r="E324" s="12"/>
      <c r="F324" s="12"/>
      <c r="G324" s="12"/>
      <c r="H324" s="12"/>
      <c r="I324" s="12"/>
      <c r="J324" s="12"/>
      <c r="K324" s="12"/>
      <c r="L324" s="12"/>
      <c r="M324" s="12"/>
      <c r="N324" s="12"/>
      <c r="O324" s="12"/>
      <c r="P324" s="12"/>
      <c r="Q324" s="12"/>
      <c r="R324" s="12"/>
      <c r="S324" s="12"/>
      <c r="T324" s="12">
        <v>7.7799999999999994</v>
      </c>
      <c r="U324" s="12"/>
      <c r="V324" s="12"/>
      <c r="W324" s="12"/>
      <c r="X324" s="12"/>
      <c r="Y324" s="12"/>
      <c r="Z324" s="12">
        <f t="shared" si="506"/>
        <v>7.7799999999999994</v>
      </c>
      <c r="AA324" s="24">
        <f t="shared" si="505"/>
        <v>7.4493030880138039E-4</v>
      </c>
      <c r="AC324" s="89">
        <f t="shared" si="507"/>
        <v>7.7799999999999994</v>
      </c>
      <c r="AD324" s="89">
        <f t="shared" si="508"/>
        <v>0</v>
      </c>
      <c r="AE324" s="89">
        <f t="shared" si="509"/>
        <v>0</v>
      </c>
      <c r="AF324" s="89">
        <f t="shared" si="510"/>
        <v>7.7799999999999994</v>
      </c>
      <c r="AG324" s="24">
        <f t="shared" si="511"/>
        <v>0</v>
      </c>
    </row>
    <row r="325" spans="1:43" x14ac:dyDescent="0.35">
      <c r="A325" s="6" t="s">
        <v>28</v>
      </c>
      <c r="B325" s="12"/>
      <c r="C325" s="12"/>
      <c r="D325" s="12"/>
      <c r="E325" s="12"/>
      <c r="F325" s="12"/>
      <c r="G325" s="12"/>
      <c r="H325" s="12"/>
      <c r="I325" s="12"/>
      <c r="J325" s="12"/>
      <c r="K325" s="12"/>
      <c r="L325" s="12"/>
      <c r="M325" s="12"/>
      <c r="N325" s="12"/>
      <c r="O325" s="12">
        <v>21.79</v>
      </c>
      <c r="P325" s="12">
        <v>4.07</v>
      </c>
      <c r="Q325" s="12">
        <v>1.75</v>
      </c>
      <c r="R325" s="12">
        <v>20.490000000000002</v>
      </c>
      <c r="S325" s="12"/>
      <c r="T325" s="12">
        <v>34.739999999999995</v>
      </c>
      <c r="U325" s="12">
        <v>11.41</v>
      </c>
      <c r="V325" s="12">
        <v>4.53</v>
      </c>
      <c r="W325" s="12">
        <v>41.67</v>
      </c>
      <c r="X325" s="12">
        <v>47.65</v>
      </c>
      <c r="Y325" s="12">
        <v>0.02</v>
      </c>
      <c r="Z325" s="12">
        <f t="shared" si="506"/>
        <v>188.12</v>
      </c>
      <c r="AA325" s="24">
        <f t="shared" si="505"/>
        <v>1.801237656705857E-2</v>
      </c>
      <c r="AC325" s="89">
        <f t="shared" si="507"/>
        <v>82.84</v>
      </c>
      <c r="AD325" s="89">
        <f t="shared" si="508"/>
        <v>105.25999999999999</v>
      </c>
      <c r="AE325" s="89">
        <f t="shared" si="509"/>
        <v>0.02</v>
      </c>
      <c r="AF325" s="89">
        <f t="shared" si="510"/>
        <v>188.12</v>
      </c>
      <c r="AG325" s="24">
        <f t="shared" si="511"/>
        <v>0.55953646608547725</v>
      </c>
    </row>
    <row r="326" spans="1:43" x14ac:dyDescent="0.35">
      <c r="A326" s="6" t="s">
        <v>29</v>
      </c>
      <c r="B326" s="12"/>
      <c r="C326" s="12"/>
      <c r="D326" s="12"/>
      <c r="E326" s="12"/>
      <c r="F326" s="12"/>
      <c r="G326" s="12"/>
      <c r="H326" s="12"/>
      <c r="I326" s="12"/>
      <c r="J326" s="12"/>
      <c r="K326" s="12"/>
      <c r="L326" s="12"/>
      <c r="M326" s="12"/>
      <c r="N326" s="12"/>
      <c r="O326" s="12"/>
      <c r="P326" s="12"/>
      <c r="Q326" s="12"/>
      <c r="R326" s="12"/>
      <c r="S326" s="12"/>
      <c r="T326" s="12"/>
      <c r="U326" s="12"/>
      <c r="V326" s="12"/>
      <c r="W326" s="12">
        <v>0.01</v>
      </c>
      <c r="X326" s="12"/>
      <c r="Y326" s="12"/>
      <c r="Z326" s="12">
        <f t="shared" si="506"/>
        <v>0.01</v>
      </c>
      <c r="AA326" s="24">
        <f t="shared" si="505"/>
        <v>9.5749397018172296E-7</v>
      </c>
      <c r="AC326" s="89">
        <f t="shared" si="507"/>
        <v>0</v>
      </c>
      <c r="AD326" s="89">
        <f t="shared" si="508"/>
        <v>0.01</v>
      </c>
      <c r="AE326" s="89">
        <f t="shared" si="509"/>
        <v>0</v>
      </c>
      <c r="AF326" s="89">
        <f t="shared" si="510"/>
        <v>0.01</v>
      </c>
      <c r="AG326" s="24">
        <f t="shared" si="511"/>
        <v>1</v>
      </c>
    </row>
    <row r="327" spans="1:43" x14ac:dyDescent="0.35">
      <c r="A327" s="6" t="s">
        <v>30</v>
      </c>
      <c r="B327" s="12"/>
      <c r="C327" s="12"/>
      <c r="D327" s="12"/>
      <c r="E327" s="12"/>
      <c r="F327" s="12"/>
      <c r="G327" s="12"/>
      <c r="H327" s="12"/>
      <c r="I327" s="12"/>
      <c r="J327" s="12"/>
      <c r="K327" s="12"/>
      <c r="L327" s="12"/>
      <c r="M327" s="12"/>
      <c r="N327" s="12"/>
      <c r="O327" s="12"/>
      <c r="P327" s="12"/>
      <c r="Q327" s="12">
        <v>12.04</v>
      </c>
      <c r="R327" s="12">
        <v>26.729999999999997</v>
      </c>
      <c r="S327" s="12">
        <v>108.11</v>
      </c>
      <c r="T327" s="12">
        <v>44.76</v>
      </c>
      <c r="U327" s="12">
        <v>4.83</v>
      </c>
      <c r="V327" s="12">
        <v>18.2</v>
      </c>
      <c r="W327" s="12">
        <v>7.6</v>
      </c>
      <c r="X327" s="12"/>
      <c r="Y327" s="12"/>
      <c r="Z327" s="12">
        <f t="shared" si="506"/>
        <v>222.26999999999998</v>
      </c>
      <c r="AA327" s="24">
        <f t="shared" si="505"/>
        <v>2.1282218475229153E-2</v>
      </c>
      <c r="AC327" s="89">
        <f t="shared" si="507"/>
        <v>191.64</v>
      </c>
      <c r="AD327" s="89">
        <f t="shared" si="508"/>
        <v>30.630000000000003</v>
      </c>
      <c r="AE327" s="89">
        <f t="shared" si="509"/>
        <v>0</v>
      </c>
      <c r="AF327" s="89">
        <f t="shared" si="510"/>
        <v>222.26999999999998</v>
      </c>
      <c r="AG327" s="24">
        <f t="shared" si="511"/>
        <v>0.13780537184505334</v>
      </c>
    </row>
    <row r="328" spans="1:43" x14ac:dyDescent="0.35">
      <c r="A328" s="116" t="s">
        <v>12</v>
      </c>
      <c r="B328" s="117">
        <f>SUM(B329:B331)</f>
        <v>0.54</v>
      </c>
      <c r="C328" s="117"/>
      <c r="D328" s="117"/>
      <c r="E328" s="117"/>
      <c r="F328" s="117"/>
      <c r="G328" s="117"/>
      <c r="H328" s="117"/>
      <c r="I328" s="117"/>
      <c r="J328" s="117"/>
      <c r="K328" s="117"/>
      <c r="L328" s="117"/>
      <c r="M328" s="117"/>
      <c r="N328" s="117">
        <f>SUM(N329:N331)</f>
        <v>4.72</v>
      </c>
      <c r="O328" s="117">
        <f>SUM(O329:O331)</f>
        <v>1.92</v>
      </c>
      <c r="P328" s="117"/>
      <c r="Q328" s="117">
        <f>SUM(Q329:Q331)</f>
        <v>0.69</v>
      </c>
      <c r="R328" s="117"/>
      <c r="S328" s="117">
        <f t="shared" ref="S328:Z328" si="512">SUM(S329:S331)</f>
        <v>6.87</v>
      </c>
      <c r="T328" s="117">
        <f t="shared" si="512"/>
        <v>5.15</v>
      </c>
      <c r="U328" s="117">
        <f t="shared" si="512"/>
        <v>3.38</v>
      </c>
      <c r="V328" s="117">
        <f t="shared" si="512"/>
        <v>16.27</v>
      </c>
      <c r="W328" s="117">
        <f t="shared" si="512"/>
        <v>23.66</v>
      </c>
      <c r="X328" s="117">
        <f t="shared" si="512"/>
        <v>4.32</v>
      </c>
      <c r="Y328" s="138">
        <f t="shared" si="512"/>
        <v>0.06</v>
      </c>
      <c r="Z328" s="117">
        <f t="shared" si="512"/>
        <v>67.58</v>
      </c>
      <c r="AA328" s="185">
        <f t="shared" si="505"/>
        <v>6.470744250488083E-3</v>
      </c>
      <c r="AC328" s="117">
        <f t="shared" si="507"/>
        <v>19.89</v>
      </c>
      <c r="AD328" s="117">
        <f t="shared" si="508"/>
        <v>47.63</v>
      </c>
      <c r="AE328" s="117">
        <f t="shared" si="509"/>
        <v>0.06</v>
      </c>
      <c r="AF328" s="117">
        <f>SUM(AC328:AE328)</f>
        <v>67.580000000000013</v>
      </c>
      <c r="AG328" s="185">
        <f>AD328/AF328</f>
        <v>0.70479431784551638</v>
      </c>
    </row>
    <row r="329" spans="1:43" x14ac:dyDescent="0.35">
      <c r="A329" s="6" t="s">
        <v>31</v>
      </c>
      <c r="B329" s="12"/>
      <c r="C329" s="12"/>
      <c r="D329" s="12"/>
      <c r="E329" s="12"/>
      <c r="F329" s="12"/>
      <c r="G329" s="12"/>
      <c r="H329" s="12"/>
      <c r="I329" s="12"/>
      <c r="J329" s="12"/>
      <c r="K329" s="12"/>
      <c r="L329" s="12"/>
      <c r="M329" s="12"/>
      <c r="N329" s="12"/>
      <c r="O329" s="12">
        <v>1.92</v>
      </c>
      <c r="P329" s="12"/>
      <c r="Q329" s="12"/>
      <c r="R329" s="12"/>
      <c r="S329" s="12"/>
      <c r="T329" s="12"/>
      <c r="U329" s="12"/>
      <c r="V329" s="12"/>
      <c r="W329" s="12"/>
      <c r="X329" s="12"/>
      <c r="Y329" s="12"/>
      <c r="Z329" s="12">
        <f>SUM(B329:Y329)</f>
        <v>1.92</v>
      </c>
      <c r="AA329" s="24">
        <f t="shared" si="505"/>
        <v>1.8383884227489078E-4</v>
      </c>
      <c r="AC329" s="89">
        <f t="shared" si="507"/>
        <v>1.92</v>
      </c>
      <c r="AD329" s="89">
        <f t="shared" si="508"/>
        <v>0</v>
      </c>
      <c r="AE329" s="89">
        <f t="shared" si="509"/>
        <v>0</v>
      </c>
      <c r="AF329" s="89">
        <f t="shared" si="510"/>
        <v>1.92</v>
      </c>
      <c r="AG329" s="24">
        <f t="shared" si="511"/>
        <v>0</v>
      </c>
    </row>
    <row r="330" spans="1:43" x14ac:dyDescent="0.35">
      <c r="A330" s="6" t="s">
        <v>32</v>
      </c>
      <c r="B330" s="12">
        <f>0.24+0.3</f>
        <v>0.54</v>
      </c>
      <c r="C330" s="12"/>
      <c r="D330" s="12"/>
      <c r="E330" s="12"/>
      <c r="F330" s="12"/>
      <c r="G330" s="12"/>
      <c r="H330" s="12"/>
      <c r="I330" s="12"/>
      <c r="J330" s="12"/>
      <c r="K330" s="12"/>
      <c r="L330" s="12"/>
      <c r="M330" s="12"/>
      <c r="N330" s="12"/>
      <c r="O330" s="12"/>
      <c r="P330" s="12"/>
      <c r="Q330" s="12"/>
      <c r="R330" s="12"/>
      <c r="S330" s="12">
        <f>1.59+3.4</f>
        <v>4.99</v>
      </c>
      <c r="T330" s="12"/>
      <c r="U330" s="12"/>
      <c r="V330" s="12">
        <v>8.31</v>
      </c>
      <c r="W330" s="12">
        <v>2.11</v>
      </c>
      <c r="X330" s="12">
        <v>4.32</v>
      </c>
      <c r="Y330" s="12"/>
      <c r="Z330" s="12">
        <f>SUM(B330:Y330)</f>
        <v>20.27</v>
      </c>
      <c r="AA330" s="24">
        <f t="shared" si="505"/>
        <v>1.9408402775583523E-3</v>
      </c>
      <c r="AC330" s="89">
        <f t="shared" si="507"/>
        <v>5.53</v>
      </c>
      <c r="AD330" s="89">
        <f t="shared" si="508"/>
        <v>14.74</v>
      </c>
      <c r="AE330" s="89">
        <f t="shared" si="509"/>
        <v>0</v>
      </c>
      <c r="AF330" s="89">
        <f t="shared" si="510"/>
        <v>20.27</v>
      </c>
      <c r="AG330" s="24">
        <f t="shared" si="511"/>
        <v>0.72718302910705479</v>
      </c>
    </row>
    <row r="331" spans="1:43" x14ac:dyDescent="0.35">
      <c r="A331" s="6" t="s">
        <v>33</v>
      </c>
      <c r="B331" s="12"/>
      <c r="C331" s="12"/>
      <c r="D331" s="12"/>
      <c r="E331" s="12"/>
      <c r="F331" s="12"/>
      <c r="G331" s="12"/>
      <c r="H331" s="12"/>
      <c r="I331" s="12"/>
      <c r="J331" s="12"/>
      <c r="K331" s="12"/>
      <c r="L331" s="12"/>
      <c r="M331" s="12"/>
      <c r="N331" s="12">
        <v>4.72</v>
      </c>
      <c r="O331" s="12"/>
      <c r="P331" s="12"/>
      <c r="Q331" s="12">
        <v>0.69</v>
      </c>
      <c r="R331" s="12"/>
      <c r="S331" s="12">
        <v>1.88</v>
      </c>
      <c r="T331" s="12">
        <v>5.15</v>
      </c>
      <c r="U331" s="12">
        <f>0.76+2.62</f>
        <v>3.38</v>
      </c>
      <c r="V331" s="12">
        <v>7.96</v>
      </c>
      <c r="W331" s="12">
        <v>21.55</v>
      </c>
      <c r="X331" s="12"/>
      <c r="Y331" s="54">
        <v>0.06</v>
      </c>
      <c r="Z331" s="12">
        <f>SUM(B331:Y331)</f>
        <v>45.39</v>
      </c>
      <c r="AA331" s="24">
        <f t="shared" si="505"/>
        <v>4.3460651306548408E-3</v>
      </c>
      <c r="AC331" s="89">
        <f t="shared" si="507"/>
        <v>12.440000000000001</v>
      </c>
      <c r="AD331" s="89">
        <f t="shared" si="508"/>
        <v>32.89</v>
      </c>
      <c r="AE331" s="89">
        <f t="shared" si="509"/>
        <v>0.06</v>
      </c>
      <c r="AF331" s="89">
        <f t="shared" si="510"/>
        <v>45.39</v>
      </c>
      <c r="AG331" s="24">
        <f t="shared" si="511"/>
        <v>0.72460894470147608</v>
      </c>
    </row>
    <row r="332" spans="1:43" x14ac:dyDescent="0.35">
      <c r="A332" s="116" t="s">
        <v>13</v>
      </c>
      <c r="B332" s="117"/>
      <c r="C332" s="117"/>
      <c r="D332" s="117"/>
      <c r="E332" s="117"/>
      <c r="F332" s="117"/>
      <c r="G332" s="117"/>
      <c r="H332" s="117"/>
      <c r="I332" s="117">
        <f t="shared" ref="I332:Y332" si="513">SUM(I333:I335)</f>
        <v>1.58</v>
      </c>
      <c r="J332" s="117"/>
      <c r="K332" s="117"/>
      <c r="L332" s="117"/>
      <c r="M332" s="117"/>
      <c r="N332" s="138">
        <f t="shared" si="513"/>
        <v>0.16</v>
      </c>
      <c r="O332" s="117"/>
      <c r="P332" s="117">
        <f t="shared" si="513"/>
        <v>2.52</v>
      </c>
      <c r="Q332" s="117"/>
      <c r="R332" s="117">
        <f t="shared" si="513"/>
        <v>3.28</v>
      </c>
      <c r="S332" s="117">
        <f t="shared" si="513"/>
        <v>13.709999999999999</v>
      </c>
      <c r="T332" s="117">
        <f t="shared" si="513"/>
        <v>9.4700000000000006</v>
      </c>
      <c r="U332" s="117">
        <f t="shared" si="513"/>
        <v>1.25</v>
      </c>
      <c r="V332" s="117">
        <f t="shared" si="513"/>
        <v>3.7</v>
      </c>
      <c r="W332" s="117">
        <f t="shared" si="513"/>
        <v>8.0100000000000016</v>
      </c>
      <c r="X332" s="117">
        <f t="shared" si="513"/>
        <v>32.080000000000005</v>
      </c>
      <c r="Y332" s="138">
        <f t="shared" si="513"/>
        <v>0.08</v>
      </c>
      <c r="Z332" s="117">
        <f>SUM(Z333:Z335)</f>
        <v>75.839999999999989</v>
      </c>
      <c r="AA332" s="185">
        <f t="shared" si="505"/>
        <v>7.2616342698581856E-3</v>
      </c>
      <c r="AC332" s="117">
        <f t="shared" si="507"/>
        <v>30.72</v>
      </c>
      <c r="AD332" s="117">
        <f t="shared" si="508"/>
        <v>45.040000000000006</v>
      </c>
      <c r="AE332" s="117">
        <f t="shared" si="509"/>
        <v>0.08</v>
      </c>
      <c r="AF332" s="117">
        <f>SUM(AC332:AE332)</f>
        <v>75.84</v>
      </c>
      <c r="AG332" s="185">
        <f>AD332/AF332</f>
        <v>0.59388185654008441</v>
      </c>
    </row>
    <row r="333" spans="1:43" x14ac:dyDescent="0.35">
      <c r="A333" s="6" t="s">
        <v>34</v>
      </c>
      <c r="B333" s="12"/>
      <c r="C333" s="12"/>
      <c r="D333" s="12"/>
      <c r="E333" s="12"/>
      <c r="F333" s="12"/>
      <c r="G333" s="12"/>
      <c r="H333" s="12"/>
      <c r="I333" s="12">
        <v>1.58</v>
      </c>
      <c r="J333" s="12"/>
      <c r="K333" s="12"/>
      <c r="L333" s="12"/>
      <c r="M333" s="12"/>
      <c r="N333" s="54"/>
      <c r="O333" s="12"/>
      <c r="P333" s="12"/>
      <c r="Q333" s="12"/>
      <c r="R333" s="12"/>
      <c r="S333" s="12"/>
      <c r="T333" s="12"/>
      <c r="U333" s="12"/>
      <c r="V333" s="12"/>
      <c r="W333" s="12"/>
      <c r="X333" s="12"/>
      <c r="Y333" s="54"/>
      <c r="Z333" s="12">
        <f>SUM(B333:Y333)</f>
        <v>1.58</v>
      </c>
      <c r="AA333" s="24">
        <f t="shared" si="505"/>
        <v>1.5128404728871224E-4</v>
      </c>
      <c r="AC333" s="89">
        <f t="shared" si="507"/>
        <v>1.58</v>
      </c>
      <c r="AD333" s="89">
        <f t="shared" si="508"/>
        <v>0</v>
      </c>
      <c r="AE333" s="89">
        <f t="shared" si="509"/>
        <v>0</v>
      </c>
      <c r="AF333" s="89">
        <f t="shared" si="510"/>
        <v>1.58</v>
      </c>
      <c r="AG333" s="24">
        <f t="shared" si="511"/>
        <v>0</v>
      </c>
    </row>
    <row r="334" spans="1:43" x14ac:dyDescent="0.35">
      <c r="A334" s="6" t="s">
        <v>61</v>
      </c>
      <c r="B334" s="12"/>
      <c r="C334" s="12"/>
      <c r="D334" s="12"/>
      <c r="E334" s="12"/>
      <c r="F334" s="12"/>
      <c r="G334" s="12"/>
      <c r="H334" s="12"/>
      <c r="I334" s="12"/>
      <c r="J334" s="12"/>
      <c r="K334" s="12"/>
      <c r="L334" s="12"/>
      <c r="M334" s="12"/>
      <c r="N334" s="54"/>
      <c r="O334" s="12"/>
      <c r="P334" s="12"/>
      <c r="Q334" s="12"/>
      <c r="R334" s="54">
        <v>0.06</v>
      </c>
      <c r="S334" s="12"/>
      <c r="T334" s="12"/>
      <c r="U334" s="12"/>
      <c r="V334" s="12">
        <v>3.7</v>
      </c>
      <c r="W334" s="12">
        <v>2.29</v>
      </c>
      <c r="X334" s="12"/>
      <c r="Y334" s="54"/>
      <c r="Z334" s="12">
        <f>SUM(B334:Y334)</f>
        <v>6.0500000000000007</v>
      </c>
      <c r="AA334" s="24">
        <f t="shared" si="505"/>
        <v>5.7928385195994247E-4</v>
      </c>
      <c r="AC334" s="89">
        <f t="shared" si="507"/>
        <v>0.06</v>
      </c>
      <c r="AD334" s="89">
        <f t="shared" si="508"/>
        <v>5.99</v>
      </c>
      <c r="AE334" s="89">
        <f t="shared" si="509"/>
        <v>0</v>
      </c>
      <c r="AF334" s="89">
        <f t="shared" si="510"/>
        <v>6.05</v>
      </c>
      <c r="AG334" s="24">
        <f t="shared" si="511"/>
        <v>0.99008264462809925</v>
      </c>
    </row>
    <row r="335" spans="1:43" x14ac:dyDescent="0.35">
      <c r="A335" s="6" t="s">
        <v>36</v>
      </c>
      <c r="B335" s="12"/>
      <c r="C335" s="12"/>
      <c r="D335" s="12"/>
      <c r="E335" s="12"/>
      <c r="F335" s="12"/>
      <c r="G335" s="12"/>
      <c r="H335" s="12"/>
      <c r="I335" s="12"/>
      <c r="J335" s="12"/>
      <c r="K335" s="12"/>
      <c r="L335" s="12"/>
      <c r="M335" s="12"/>
      <c r="N335" s="54">
        <v>0.16</v>
      </c>
      <c r="O335" s="12"/>
      <c r="P335" s="12">
        <v>2.52</v>
      </c>
      <c r="Q335" s="12"/>
      <c r="R335" s="12">
        <f>0.36+2.69+0.17</f>
        <v>3.2199999999999998</v>
      </c>
      <c r="S335" s="12">
        <f>12.04+1.67</f>
        <v>13.709999999999999</v>
      </c>
      <c r="T335" s="12">
        <f>9.26+0.21</f>
        <v>9.4700000000000006</v>
      </c>
      <c r="U335" s="12">
        <v>1.25</v>
      </c>
      <c r="V335" s="12"/>
      <c r="W335" s="12">
        <f>1.02+3.63+1.07</f>
        <v>5.7200000000000006</v>
      </c>
      <c r="X335" s="12">
        <v>32.080000000000005</v>
      </c>
      <c r="Y335" s="54">
        <v>0.08</v>
      </c>
      <c r="Z335" s="12">
        <f>SUM(B335:Y335)</f>
        <v>68.209999999999994</v>
      </c>
      <c r="AA335" s="24">
        <f t="shared" si="505"/>
        <v>6.5310663706095312E-3</v>
      </c>
      <c r="AC335" s="89">
        <f t="shared" si="507"/>
        <v>29.08</v>
      </c>
      <c r="AD335" s="89">
        <f t="shared" si="508"/>
        <v>39.050000000000004</v>
      </c>
      <c r="AE335" s="89">
        <f t="shared" si="509"/>
        <v>0.08</v>
      </c>
      <c r="AF335" s="89">
        <f t="shared" si="510"/>
        <v>68.209999999999994</v>
      </c>
      <c r="AG335" s="24">
        <f t="shared" si="511"/>
        <v>0.57249670136343656</v>
      </c>
      <c r="AN335" s="342"/>
      <c r="AO335" s="342" t="s">
        <v>256</v>
      </c>
      <c r="AP335" s="342" t="s">
        <v>96</v>
      </c>
      <c r="AQ335" s="342" t="s">
        <v>257</v>
      </c>
    </row>
    <row r="336" spans="1:43" x14ac:dyDescent="0.35">
      <c r="A336" s="116" t="s">
        <v>14</v>
      </c>
      <c r="B336" s="117">
        <f>SUM(B337:B340)</f>
        <v>1.68</v>
      </c>
      <c r="C336" s="117"/>
      <c r="D336" s="117"/>
      <c r="E336" s="117"/>
      <c r="F336" s="117"/>
      <c r="G336" s="117"/>
      <c r="H336" s="117"/>
      <c r="I336" s="117"/>
      <c r="J336" s="117"/>
      <c r="K336" s="117"/>
      <c r="L336" s="117"/>
      <c r="M336" s="138">
        <f>SUM(M337:M340)</f>
        <v>0.03</v>
      </c>
      <c r="N336" s="138">
        <f>SUM(N337:N340)</f>
        <v>0.14000000000000001</v>
      </c>
      <c r="O336" s="117"/>
      <c r="P336" s="117"/>
      <c r="Q336" s="117"/>
      <c r="R336" s="117"/>
      <c r="S336" s="138">
        <f>SUM(S337:S340)</f>
        <v>0.4</v>
      </c>
      <c r="T336" s="117">
        <f>SUM(T337:T340)</f>
        <v>0.64</v>
      </c>
      <c r="U336" s="138">
        <f>SUM(U337:U340)</f>
        <v>0.18</v>
      </c>
      <c r="V336" s="117"/>
      <c r="W336" s="117">
        <f>SUM(W337:W340)</f>
        <v>2.95</v>
      </c>
      <c r="X336" s="117"/>
      <c r="Y336" s="117"/>
      <c r="Z336" s="117">
        <f>SUM(Z337:Z340)</f>
        <v>6.0200000000000005</v>
      </c>
      <c r="AA336" s="185">
        <f t="shared" si="505"/>
        <v>5.7641137004939725E-4</v>
      </c>
      <c r="AC336" s="117">
        <f t="shared" si="507"/>
        <v>2.89</v>
      </c>
      <c r="AD336" s="117">
        <f t="shared" si="508"/>
        <v>3.1300000000000003</v>
      </c>
      <c r="AE336" s="117">
        <f t="shared" si="509"/>
        <v>0</v>
      </c>
      <c r="AF336" s="117">
        <f>SUM(AC336:AE336)</f>
        <v>6.0200000000000005</v>
      </c>
      <c r="AG336" s="185">
        <f>AD336/AF336</f>
        <v>0.51993355481727577</v>
      </c>
      <c r="AI336" s="210" t="s">
        <v>255</v>
      </c>
      <c r="AN336" s="116" t="s">
        <v>15</v>
      </c>
      <c r="AO336" s="343">
        <v>3926.0600000000004</v>
      </c>
      <c r="AP336" s="343">
        <v>8200.0600000000013</v>
      </c>
      <c r="AQ336" s="190">
        <f t="shared" ref="AQ336" si="514">AO336/AP336</f>
        <v>0.47878430157828111</v>
      </c>
    </row>
    <row r="337" spans="1:43" x14ac:dyDescent="0.35">
      <c r="A337" s="178" t="s">
        <v>37</v>
      </c>
      <c r="B337" s="12"/>
      <c r="C337" s="12"/>
      <c r="D337" s="12"/>
      <c r="E337" s="12"/>
      <c r="F337" s="12"/>
      <c r="G337" s="12"/>
      <c r="H337" s="12"/>
      <c r="I337" s="12"/>
      <c r="J337" s="12"/>
      <c r="K337" s="12"/>
      <c r="L337" s="12"/>
      <c r="M337" s="54"/>
      <c r="N337" s="54"/>
      <c r="O337" s="12"/>
      <c r="P337" s="12"/>
      <c r="Q337" s="12"/>
      <c r="R337" s="12"/>
      <c r="S337" s="55">
        <v>0.4</v>
      </c>
      <c r="T337" s="12"/>
      <c r="U337" s="12"/>
      <c r="V337" s="12"/>
      <c r="W337" s="12"/>
      <c r="X337" s="12"/>
      <c r="Y337" s="12"/>
      <c r="Z337" s="55">
        <f>SUM(B337:Y337)</f>
        <v>0.4</v>
      </c>
      <c r="AA337" s="24">
        <f t="shared" si="505"/>
        <v>3.8299758807268918E-5</v>
      </c>
      <c r="AC337" s="89">
        <f t="shared" si="507"/>
        <v>0.4</v>
      </c>
      <c r="AD337" s="89">
        <f t="shared" si="508"/>
        <v>0</v>
      </c>
      <c r="AE337" s="89">
        <f t="shared" si="509"/>
        <v>0</v>
      </c>
      <c r="AF337" s="89">
        <f t="shared" si="510"/>
        <v>0.4</v>
      </c>
      <c r="AG337" s="24">
        <f t="shared" si="511"/>
        <v>0</v>
      </c>
      <c r="AJ337" t="s">
        <v>256</v>
      </c>
      <c r="AK337" t="s">
        <v>96</v>
      </c>
      <c r="AL337" t="s">
        <v>257</v>
      </c>
      <c r="AN337" s="116" t="s">
        <v>5</v>
      </c>
      <c r="AO337" s="343">
        <v>667.80000000000007</v>
      </c>
      <c r="AP337" s="343">
        <v>1091.8200000000002</v>
      </c>
      <c r="AQ337" s="190">
        <f>AO337/AP337</f>
        <v>0.61163928120019784</v>
      </c>
    </row>
    <row r="338" spans="1:43" x14ac:dyDescent="0.35">
      <c r="A338" s="6" t="s">
        <v>38</v>
      </c>
      <c r="B338" s="12"/>
      <c r="C338" s="12"/>
      <c r="D338" s="12"/>
      <c r="E338" s="12"/>
      <c r="F338" s="12"/>
      <c r="G338" s="12"/>
      <c r="H338" s="12"/>
      <c r="I338" s="12"/>
      <c r="J338" s="12"/>
      <c r="K338" s="12"/>
      <c r="L338" s="12"/>
      <c r="M338" s="54"/>
      <c r="N338" s="54"/>
      <c r="O338" s="12"/>
      <c r="P338" s="12"/>
      <c r="Q338" s="12"/>
      <c r="R338" s="12"/>
      <c r="S338" s="12"/>
      <c r="T338" s="12"/>
      <c r="U338" s="12"/>
      <c r="V338" s="12"/>
      <c r="W338" s="12"/>
      <c r="X338" s="12"/>
      <c r="Y338" s="12"/>
      <c r="Z338" s="12">
        <v>0</v>
      </c>
      <c r="AA338" s="24">
        <f t="shared" si="505"/>
        <v>0</v>
      </c>
      <c r="AC338" s="89">
        <f t="shared" si="507"/>
        <v>0</v>
      </c>
      <c r="AD338" s="89">
        <f t="shared" si="508"/>
        <v>0</v>
      </c>
      <c r="AE338" s="89">
        <f t="shared" si="509"/>
        <v>0</v>
      </c>
      <c r="AF338" s="89">
        <f t="shared" si="510"/>
        <v>0</v>
      </c>
      <c r="AG338" s="24"/>
      <c r="AI338" s="6" t="s">
        <v>41</v>
      </c>
      <c r="AJ338" s="89">
        <v>1212.44</v>
      </c>
      <c r="AK338" s="89">
        <v>2268.6799999999998</v>
      </c>
      <c r="AL338" s="382">
        <f>AJ338/AK338</f>
        <v>0.53442530458240045</v>
      </c>
      <c r="AN338" s="116" t="s">
        <v>16</v>
      </c>
      <c r="AO338" s="343">
        <v>244.29</v>
      </c>
      <c r="AP338" s="343">
        <v>434.2</v>
      </c>
      <c r="AQ338" s="190">
        <f t="shared" ref="AQ338:AQ341" si="515">AO338/AP338</f>
        <v>0.56262091202210962</v>
      </c>
    </row>
    <row r="339" spans="1:43" x14ac:dyDescent="0.35">
      <c r="A339" s="6" t="s">
        <v>39</v>
      </c>
      <c r="B339" s="12"/>
      <c r="C339" s="12"/>
      <c r="D339" s="12"/>
      <c r="E339" s="12"/>
      <c r="F339" s="12"/>
      <c r="G339" s="12"/>
      <c r="H339" s="12"/>
      <c r="I339" s="12"/>
      <c r="J339" s="12"/>
      <c r="K339" s="12"/>
      <c r="L339" s="12"/>
      <c r="M339" s="54"/>
      <c r="N339" s="54">
        <v>0.14000000000000001</v>
      </c>
      <c r="O339" s="12"/>
      <c r="P339" s="12"/>
      <c r="Q339" s="12"/>
      <c r="R339" s="12"/>
      <c r="S339" s="12"/>
      <c r="T339" s="12">
        <v>0.64</v>
      </c>
      <c r="U339" s="12"/>
      <c r="V339" s="12"/>
      <c r="W339" s="12">
        <v>2.95</v>
      </c>
      <c r="X339" s="12"/>
      <c r="Y339" s="12"/>
      <c r="Z339" s="12">
        <f>SUM(B339:Y339)</f>
        <v>3.7300000000000004</v>
      </c>
      <c r="AA339" s="24">
        <f t="shared" si="505"/>
        <v>3.571452508777827E-4</v>
      </c>
      <c r="AC339" s="89">
        <f t="shared" si="507"/>
        <v>0.78</v>
      </c>
      <c r="AD339" s="89">
        <f t="shared" si="508"/>
        <v>2.95</v>
      </c>
      <c r="AE339" s="89">
        <f t="shared" si="509"/>
        <v>0</v>
      </c>
      <c r="AF339" s="89">
        <f t="shared" si="510"/>
        <v>3.7300000000000004</v>
      </c>
      <c r="AG339" s="24">
        <f t="shared" si="511"/>
        <v>0.79088471849865949</v>
      </c>
      <c r="AI339" s="6" t="s">
        <v>45</v>
      </c>
      <c r="AJ339" s="89">
        <v>1018.7700000000002</v>
      </c>
      <c r="AK339" s="89">
        <v>2097.6699999999996</v>
      </c>
      <c r="AL339" s="382">
        <f t="shared" ref="AL339:AL357" si="516">AJ339/AK339</f>
        <v>0.48566743100678389</v>
      </c>
      <c r="AN339" s="116" t="s">
        <v>22</v>
      </c>
      <c r="AO339" s="343">
        <v>70.09</v>
      </c>
      <c r="AP339" s="343">
        <v>302.47999999999996</v>
      </c>
      <c r="AQ339" s="190">
        <f t="shared" si="515"/>
        <v>0.23171779952393551</v>
      </c>
    </row>
    <row r="340" spans="1:43" x14ac:dyDescent="0.35">
      <c r="A340" s="6" t="s">
        <v>40</v>
      </c>
      <c r="B340" s="12">
        <v>1.68</v>
      </c>
      <c r="C340" s="12"/>
      <c r="D340" s="12"/>
      <c r="E340" s="12"/>
      <c r="F340" s="12"/>
      <c r="G340" s="12"/>
      <c r="H340" s="12"/>
      <c r="I340" s="12"/>
      <c r="J340" s="12"/>
      <c r="K340" s="12"/>
      <c r="L340" s="12"/>
      <c r="M340" s="54">
        <v>0.03</v>
      </c>
      <c r="N340" s="54"/>
      <c r="O340" s="12"/>
      <c r="P340" s="12"/>
      <c r="Q340" s="12"/>
      <c r="R340" s="12"/>
      <c r="S340" s="12"/>
      <c r="T340" s="12"/>
      <c r="U340" s="54">
        <v>0.18</v>
      </c>
      <c r="V340" s="12"/>
      <c r="W340" s="12"/>
      <c r="X340" s="12"/>
      <c r="Y340" s="12"/>
      <c r="Z340" s="12">
        <f>SUM(B340:Y340)</f>
        <v>1.89</v>
      </c>
      <c r="AA340" s="24">
        <f t="shared" si="505"/>
        <v>1.8096636036434561E-4</v>
      </c>
      <c r="AC340" s="89">
        <f t="shared" si="507"/>
        <v>1.71</v>
      </c>
      <c r="AD340" s="89">
        <f t="shared" si="508"/>
        <v>0.18</v>
      </c>
      <c r="AE340" s="89">
        <f t="shared" si="509"/>
        <v>0</v>
      </c>
      <c r="AF340" s="89">
        <f t="shared" si="510"/>
        <v>1.89</v>
      </c>
      <c r="AG340" s="24">
        <f t="shared" si="511"/>
        <v>9.5238095238095233E-2</v>
      </c>
      <c r="AI340" s="6" t="s">
        <v>42</v>
      </c>
      <c r="AJ340" s="89">
        <v>929.24</v>
      </c>
      <c r="AK340" s="89">
        <v>2392.9699999999998</v>
      </c>
      <c r="AL340" s="382">
        <f t="shared" si="516"/>
        <v>0.38832078964633909</v>
      </c>
      <c r="AN340" s="116" t="s">
        <v>12</v>
      </c>
      <c r="AO340" s="343">
        <v>47.63</v>
      </c>
      <c r="AP340" s="343">
        <v>67.580000000000013</v>
      </c>
      <c r="AQ340" s="190">
        <f t="shared" si="515"/>
        <v>0.70479431784551638</v>
      </c>
    </row>
    <row r="341" spans="1:43" x14ac:dyDescent="0.35">
      <c r="A341" s="116" t="s">
        <v>15</v>
      </c>
      <c r="B341" s="117">
        <f t="shared" ref="B341:Y341" si="517">SUM(B342:B346)</f>
        <v>83.84</v>
      </c>
      <c r="C341" s="117">
        <f t="shared" si="517"/>
        <v>118.16000000000003</v>
      </c>
      <c r="D341" s="117">
        <f t="shared" si="517"/>
        <v>63.04</v>
      </c>
      <c r="E341" s="117">
        <f t="shared" si="517"/>
        <v>55.430000000000007</v>
      </c>
      <c r="F341" s="117">
        <f t="shared" si="517"/>
        <v>31.03</v>
      </c>
      <c r="G341" s="117">
        <f t="shared" si="517"/>
        <v>76.48</v>
      </c>
      <c r="H341" s="117">
        <f t="shared" si="517"/>
        <v>35.739999999999995</v>
      </c>
      <c r="I341" s="117">
        <f t="shared" si="517"/>
        <v>80.11</v>
      </c>
      <c r="J341" s="117">
        <f t="shared" si="517"/>
        <v>48.72</v>
      </c>
      <c r="K341" s="117">
        <f t="shared" si="517"/>
        <v>51.57</v>
      </c>
      <c r="L341" s="117">
        <f t="shared" si="517"/>
        <v>120.81</v>
      </c>
      <c r="M341" s="117">
        <f t="shared" si="517"/>
        <v>94.01</v>
      </c>
      <c r="N341" s="117">
        <f t="shared" si="517"/>
        <v>192.22</v>
      </c>
      <c r="O341" s="117">
        <f t="shared" si="517"/>
        <v>125.38999999999999</v>
      </c>
      <c r="P341" s="117">
        <f t="shared" si="517"/>
        <v>193.48999999999998</v>
      </c>
      <c r="Q341" s="117">
        <f t="shared" si="517"/>
        <v>256.22999999999996</v>
      </c>
      <c r="R341" s="117">
        <f t="shared" si="517"/>
        <v>569.94000000000005</v>
      </c>
      <c r="S341" s="117">
        <f t="shared" si="517"/>
        <v>987.32</v>
      </c>
      <c r="T341" s="117">
        <f t="shared" si="517"/>
        <v>1087.8799999999999</v>
      </c>
      <c r="U341" s="117">
        <f t="shared" si="517"/>
        <v>1073.5700000000002</v>
      </c>
      <c r="V341" s="117">
        <f t="shared" si="517"/>
        <v>1237.5300000000002</v>
      </c>
      <c r="W341" s="117">
        <f t="shared" si="517"/>
        <v>802.30000000000018</v>
      </c>
      <c r="X341" s="117">
        <f t="shared" si="517"/>
        <v>812.65999999999985</v>
      </c>
      <c r="Y341" s="117">
        <f t="shared" si="517"/>
        <v>2.59</v>
      </c>
      <c r="Z341" s="117">
        <f>SUM(Z342:Z346)</f>
        <v>8200.06</v>
      </c>
      <c r="AA341" s="185">
        <f t="shared" si="505"/>
        <v>0.78515080051283381</v>
      </c>
      <c r="AC341" s="117">
        <f t="shared" si="507"/>
        <v>4271.41</v>
      </c>
      <c r="AD341" s="117">
        <f t="shared" si="508"/>
        <v>3926.0600000000004</v>
      </c>
      <c r="AE341" s="117">
        <f t="shared" si="509"/>
        <v>2.59</v>
      </c>
      <c r="AF341" s="117">
        <f>SUM(AC341:AE341)</f>
        <v>8200.0600000000013</v>
      </c>
      <c r="AG341" s="185">
        <f>AD341/AF341</f>
        <v>0.47878430157828111</v>
      </c>
      <c r="AI341" s="6" t="s">
        <v>43</v>
      </c>
      <c r="AJ341" s="89">
        <v>750.87000000000012</v>
      </c>
      <c r="AK341" s="89">
        <v>1393.46</v>
      </c>
      <c r="AL341" s="382">
        <f t="shared" si="516"/>
        <v>0.53885292724584855</v>
      </c>
      <c r="AN341" s="116" t="s">
        <v>13</v>
      </c>
      <c r="AO341" s="343">
        <v>45.040000000000006</v>
      </c>
      <c r="AP341" s="343">
        <v>75.84</v>
      </c>
      <c r="AQ341" s="190">
        <f t="shared" si="515"/>
        <v>0.59388185654008441</v>
      </c>
    </row>
    <row r="342" spans="1:43" x14ac:dyDescent="0.35">
      <c r="A342" s="6" t="s">
        <v>41</v>
      </c>
      <c r="B342" s="12">
        <v>50.78</v>
      </c>
      <c r="C342" s="12">
        <v>47.26</v>
      </c>
      <c r="D342" s="12">
        <v>38.94</v>
      </c>
      <c r="E342" s="12">
        <f>1.79+11.38</f>
        <v>13.170000000000002</v>
      </c>
      <c r="F342" s="12">
        <v>1.61</v>
      </c>
      <c r="G342" s="12">
        <f>8.9+2.47+3.4</f>
        <v>14.770000000000001</v>
      </c>
      <c r="H342" s="12">
        <v>19.25</v>
      </c>
      <c r="I342" s="12">
        <v>12.93</v>
      </c>
      <c r="J342" s="12">
        <f>2.27+1.7+3.03</f>
        <v>7</v>
      </c>
      <c r="K342" s="12">
        <f>2.28+6.45</f>
        <v>8.73</v>
      </c>
      <c r="L342" s="12">
        <v>25.03</v>
      </c>
      <c r="M342" s="12">
        <v>13.94</v>
      </c>
      <c r="N342" s="12">
        <v>16.059999999999999</v>
      </c>
      <c r="O342" s="12">
        <v>25.169999999999998</v>
      </c>
      <c r="P342" s="12">
        <v>88.509999999999991</v>
      </c>
      <c r="Q342" s="12">
        <v>70.359999999999985</v>
      </c>
      <c r="R342" s="12">
        <v>70.640000000000015</v>
      </c>
      <c r="S342" s="12">
        <v>252.52</v>
      </c>
      <c r="T342" s="12">
        <v>278.72000000000003</v>
      </c>
      <c r="U342" s="12">
        <v>298.8900000000001</v>
      </c>
      <c r="V342" s="12">
        <v>325.20999999999998</v>
      </c>
      <c r="W342" s="12">
        <v>271.76000000000005</v>
      </c>
      <c r="X342" s="12">
        <v>316.57999999999987</v>
      </c>
      <c r="Y342" s="12">
        <v>0.85</v>
      </c>
      <c r="Z342" s="12">
        <f>SUM(B342:Y342)</f>
        <v>2268.6799999999998</v>
      </c>
      <c r="AA342" s="24">
        <f t="shared" si="505"/>
        <v>0.21722474202718711</v>
      </c>
      <c r="AC342" s="89">
        <f t="shared" si="507"/>
        <v>1055.3899999999999</v>
      </c>
      <c r="AD342" s="89">
        <f t="shared" si="508"/>
        <v>1212.44</v>
      </c>
      <c r="AE342" s="89">
        <f t="shared" si="509"/>
        <v>0.85</v>
      </c>
      <c r="AF342" s="89">
        <f t="shared" si="510"/>
        <v>2268.6799999999998</v>
      </c>
      <c r="AG342" s="24">
        <f t="shared" si="511"/>
        <v>0.53442530458240045</v>
      </c>
      <c r="AI342" s="6" t="s">
        <v>26</v>
      </c>
      <c r="AJ342" s="89">
        <v>434.45</v>
      </c>
      <c r="AK342" s="89">
        <v>519.61999999999989</v>
      </c>
      <c r="AL342" s="382">
        <f t="shared" si="516"/>
        <v>0.83609175936261126</v>
      </c>
      <c r="AN342" s="116" t="s">
        <v>17</v>
      </c>
      <c r="AO342" s="343">
        <v>43.3</v>
      </c>
      <c r="AP342" s="343">
        <v>208.29999999999998</v>
      </c>
      <c r="AQ342" s="190">
        <f>AO342/AP342</f>
        <v>0.20787325972155546</v>
      </c>
    </row>
    <row r="343" spans="1:43" x14ac:dyDescent="0.35">
      <c r="A343" s="6" t="s">
        <v>42</v>
      </c>
      <c r="B343" s="12">
        <v>0.65</v>
      </c>
      <c r="C343" s="12">
        <v>55.940000000000012</v>
      </c>
      <c r="D343" s="12">
        <v>24.1</v>
      </c>
      <c r="E343" s="12">
        <f>13.23+0.71</f>
        <v>13.940000000000001</v>
      </c>
      <c r="F343" s="12">
        <f>4.7+3.02</f>
        <v>7.7200000000000006</v>
      </c>
      <c r="G343" s="12">
        <v>60.93</v>
      </c>
      <c r="H343" s="12">
        <v>13.01</v>
      </c>
      <c r="I343" s="12">
        <v>58.63</v>
      </c>
      <c r="J343" s="12">
        <v>23</v>
      </c>
      <c r="K343" s="12">
        <v>20.12</v>
      </c>
      <c r="L343" s="12">
        <v>11.92</v>
      </c>
      <c r="M343" s="12">
        <v>35.400000000000006</v>
      </c>
      <c r="N343" s="12">
        <v>127.14</v>
      </c>
      <c r="O343" s="12">
        <v>52.11</v>
      </c>
      <c r="P343" s="12">
        <v>37.380000000000003</v>
      </c>
      <c r="Q343" s="12">
        <v>95.51</v>
      </c>
      <c r="R343" s="12">
        <v>180.3</v>
      </c>
      <c r="S343" s="12">
        <v>300.44</v>
      </c>
      <c r="T343" s="12">
        <v>345.31</v>
      </c>
      <c r="U343" s="12">
        <v>340.01</v>
      </c>
      <c r="V343" s="12">
        <v>176.41</v>
      </c>
      <c r="W343" s="12">
        <v>224.62</v>
      </c>
      <c r="X343" s="12">
        <v>188.2</v>
      </c>
      <c r="Y343" s="54">
        <v>0.18</v>
      </c>
      <c r="Z343" s="12">
        <f t="shared" ref="Z343:Z359" si="518">SUM(B343:Y343)</f>
        <v>2392.9699999999998</v>
      </c>
      <c r="AA343" s="24">
        <f t="shared" si="505"/>
        <v>0.22912543458257573</v>
      </c>
      <c r="AC343" s="89">
        <f t="shared" si="507"/>
        <v>1463.55</v>
      </c>
      <c r="AD343" s="89">
        <f t="shared" si="508"/>
        <v>929.24</v>
      </c>
      <c r="AE343" s="89">
        <f t="shared" si="509"/>
        <v>0.18</v>
      </c>
      <c r="AF343" s="89">
        <f t="shared" si="510"/>
        <v>2392.9699999999998</v>
      </c>
      <c r="AG343" s="24">
        <f t="shared" si="511"/>
        <v>0.38832078964633909</v>
      </c>
      <c r="AI343" s="182" t="s">
        <v>54</v>
      </c>
      <c r="AJ343" s="89">
        <v>172.63</v>
      </c>
      <c r="AK343" s="89">
        <v>281.32</v>
      </c>
      <c r="AL343" s="382">
        <f t="shared" si="516"/>
        <v>0.61364282667424996</v>
      </c>
    </row>
    <row r="344" spans="1:43" x14ac:dyDescent="0.35">
      <c r="A344" s="6" t="s">
        <v>43</v>
      </c>
      <c r="B344" s="12">
        <v>6.74</v>
      </c>
      <c r="C344" s="12">
        <v>12.21</v>
      </c>
      <c r="D344" s="12"/>
      <c r="E344" s="12">
        <v>4.32</v>
      </c>
      <c r="F344" s="12"/>
      <c r="G344" s="12"/>
      <c r="H344" s="12"/>
      <c r="I344" s="12"/>
      <c r="J344" s="12">
        <v>5.0999999999999996</v>
      </c>
      <c r="K344" s="12"/>
      <c r="L344" s="12"/>
      <c r="M344" s="12">
        <v>16.02</v>
      </c>
      <c r="N344" s="12">
        <v>2.99</v>
      </c>
      <c r="O344" s="12">
        <v>7.3</v>
      </c>
      <c r="P344" s="12">
        <v>16.32</v>
      </c>
      <c r="Q344" s="12">
        <v>34.909999999999997</v>
      </c>
      <c r="R344" s="12">
        <v>177.59</v>
      </c>
      <c r="S344" s="12">
        <v>168.69</v>
      </c>
      <c r="T344" s="12">
        <v>189.57000000000002</v>
      </c>
      <c r="U344" s="12">
        <v>156.47000000000003</v>
      </c>
      <c r="V344" s="12">
        <v>357.28</v>
      </c>
      <c r="W344" s="12">
        <v>116.81000000000002</v>
      </c>
      <c r="X344" s="12">
        <v>120.31000000000002</v>
      </c>
      <c r="Y344" s="12">
        <v>0.82999999999999985</v>
      </c>
      <c r="Z344" s="12">
        <f t="shared" si="518"/>
        <v>1393.4599999999998</v>
      </c>
      <c r="AA344" s="24">
        <f t="shared" si="505"/>
        <v>0.13342295476894234</v>
      </c>
      <c r="AC344" s="89">
        <f t="shared" si="507"/>
        <v>641.76</v>
      </c>
      <c r="AD344" s="89">
        <f t="shared" si="508"/>
        <v>750.87000000000012</v>
      </c>
      <c r="AE344" s="89">
        <f t="shared" si="509"/>
        <v>0.82999999999999985</v>
      </c>
      <c r="AF344" s="89">
        <f t="shared" si="510"/>
        <v>1393.46</v>
      </c>
      <c r="AG344" s="24">
        <f t="shared" si="511"/>
        <v>0.53885292724584855</v>
      </c>
      <c r="AI344" s="6" t="s">
        <v>28</v>
      </c>
      <c r="AJ344" s="89">
        <v>105.25999999999999</v>
      </c>
      <c r="AK344" s="89">
        <v>188.12</v>
      </c>
      <c r="AL344" s="382">
        <f t="shared" si="516"/>
        <v>0.55953646608547725</v>
      </c>
    </row>
    <row r="345" spans="1:43" x14ac:dyDescent="0.35">
      <c r="A345" s="6" t="s">
        <v>44</v>
      </c>
      <c r="B345" s="12"/>
      <c r="C345" s="12"/>
      <c r="D345" s="12"/>
      <c r="E345" s="12"/>
      <c r="F345" s="12"/>
      <c r="G345" s="12"/>
      <c r="H345" s="12"/>
      <c r="I345" s="12"/>
      <c r="J345" s="12"/>
      <c r="K345" s="12"/>
      <c r="L345" s="12"/>
      <c r="M345" s="12"/>
      <c r="N345" s="12"/>
      <c r="O345" s="12"/>
      <c r="P345" s="12"/>
      <c r="Q345" s="12">
        <v>2.73</v>
      </c>
      <c r="R345" s="12">
        <v>7.65</v>
      </c>
      <c r="S345" s="12">
        <v>8.5500000000000007</v>
      </c>
      <c r="T345" s="12">
        <v>13.56</v>
      </c>
      <c r="U345" s="12">
        <v>8.9300000000000015</v>
      </c>
      <c r="V345" s="12">
        <v>0.08</v>
      </c>
      <c r="W345" s="12">
        <v>1.8199999999999998</v>
      </c>
      <c r="X345" s="12">
        <v>3.91</v>
      </c>
      <c r="Y345" s="12">
        <v>0.05</v>
      </c>
      <c r="Z345" s="12">
        <f t="shared" si="518"/>
        <v>47.28</v>
      </c>
      <c r="AA345" s="24">
        <f t="shared" si="505"/>
        <v>4.5270314910191862E-3</v>
      </c>
      <c r="AC345" s="89">
        <f t="shared" si="507"/>
        <v>32.49</v>
      </c>
      <c r="AD345" s="89">
        <f t="shared" si="508"/>
        <v>14.740000000000002</v>
      </c>
      <c r="AE345" s="89">
        <f t="shared" si="509"/>
        <v>0.05</v>
      </c>
      <c r="AF345" s="89">
        <f t="shared" si="510"/>
        <v>47.28</v>
      </c>
      <c r="AG345" s="24">
        <f t="shared" si="511"/>
        <v>0.31175972927241968</v>
      </c>
      <c r="AI345" s="6" t="s">
        <v>22</v>
      </c>
      <c r="AJ345" s="89">
        <v>70.09</v>
      </c>
      <c r="AK345" s="89">
        <v>302.47999999999996</v>
      </c>
      <c r="AL345" s="382">
        <f t="shared" si="516"/>
        <v>0.23171779952393551</v>
      </c>
    </row>
    <row r="346" spans="1:43" x14ac:dyDescent="0.35">
      <c r="A346" s="6" t="s">
        <v>45</v>
      </c>
      <c r="B346" s="12">
        <v>25.67</v>
      </c>
      <c r="C346" s="12">
        <v>2.75</v>
      </c>
      <c r="D346" s="12"/>
      <c r="E346" s="12">
        <v>24</v>
      </c>
      <c r="F346" s="12">
        <v>21.7</v>
      </c>
      <c r="G346" s="12">
        <v>0.78</v>
      </c>
      <c r="H346" s="12">
        <v>3.48</v>
      </c>
      <c r="I346" s="12">
        <v>8.5500000000000007</v>
      </c>
      <c r="J346" s="12">
        <v>13.620000000000001</v>
      </c>
      <c r="K346" s="12">
        <v>22.72</v>
      </c>
      <c r="L346" s="12">
        <v>83.86</v>
      </c>
      <c r="M346" s="12">
        <v>28.650000000000002</v>
      </c>
      <c r="N346" s="12">
        <v>46.03</v>
      </c>
      <c r="O346" s="12">
        <v>40.809999999999995</v>
      </c>
      <c r="P346" s="12">
        <v>51.28</v>
      </c>
      <c r="Q346" s="12">
        <v>52.719999999999992</v>
      </c>
      <c r="R346" s="12">
        <v>133.76</v>
      </c>
      <c r="S346" s="12">
        <v>257.12</v>
      </c>
      <c r="T346" s="12">
        <v>260.71999999999991</v>
      </c>
      <c r="U346" s="12">
        <v>269.27</v>
      </c>
      <c r="V346" s="12">
        <v>378.55000000000007</v>
      </c>
      <c r="W346" s="12">
        <v>187.29000000000005</v>
      </c>
      <c r="X346" s="12">
        <v>183.66000000000003</v>
      </c>
      <c r="Y346" s="12">
        <v>0.67999999999999994</v>
      </c>
      <c r="Z346" s="12">
        <f t="shared" si="518"/>
        <v>2097.6699999999996</v>
      </c>
      <c r="AA346" s="24">
        <f t="shared" si="505"/>
        <v>0.20085063764310943</v>
      </c>
      <c r="AC346" s="89">
        <f t="shared" si="507"/>
        <v>1078.2199999999998</v>
      </c>
      <c r="AD346" s="89">
        <f t="shared" si="508"/>
        <v>1018.7700000000002</v>
      </c>
      <c r="AE346" s="89">
        <f t="shared" si="509"/>
        <v>0.67999999999999994</v>
      </c>
      <c r="AF346" s="89">
        <f t="shared" si="510"/>
        <v>2097.6699999999996</v>
      </c>
      <c r="AG346" s="24">
        <f t="shared" si="511"/>
        <v>0.48566743100678389</v>
      </c>
      <c r="AI346" s="6" t="s">
        <v>8</v>
      </c>
      <c r="AJ346" s="89">
        <v>53.97</v>
      </c>
      <c r="AK346" s="89">
        <v>99.360000000000014</v>
      </c>
      <c r="AL346" s="382">
        <f t="shared" si="516"/>
        <v>0.54317632850241537</v>
      </c>
    </row>
    <row r="347" spans="1:43" x14ac:dyDescent="0.35">
      <c r="A347" s="116" t="s">
        <v>16</v>
      </c>
      <c r="B347" s="117">
        <f t="shared" ref="B347:X347" si="519">SUM(B348:B356)</f>
        <v>1.21</v>
      </c>
      <c r="C347" s="117"/>
      <c r="D347" s="117"/>
      <c r="E347" s="117"/>
      <c r="F347" s="117"/>
      <c r="G347" s="117"/>
      <c r="H347" s="117"/>
      <c r="I347" s="117"/>
      <c r="J347" s="117"/>
      <c r="K347" s="117">
        <f t="shared" si="519"/>
        <v>7.64</v>
      </c>
      <c r="L347" s="117"/>
      <c r="M347" s="117">
        <f t="shared" si="519"/>
        <v>8.74</v>
      </c>
      <c r="N347" s="117">
        <f t="shared" si="519"/>
        <v>2.27</v>
      </c>
      <c r="O347" s="117">
        <f t="shared" si="519"/>
        <v>1.1399999999999999</v>
      </c>
      <c r="P347" s="117">
        <f t="shared" si="519"/>
        <v>10.36</v>
      </c>
      <c r="Q347" s="117">
        <f t="shared" si="519"/>
        <v>22.47</v>
      </c>
      <c r="R347" s="117">
        <f t="shared" si="519"/>
        <v>23.450000000000003</v>
      </c>
      <c r="S347" s="117">
        <f t="shared" si="519"/>
        <v>18.39</v>
      </c>
      <c r="T347" s="117">
        <f t="shared" si="519"/>
        <v>94.24</v>
      </c>
      <c r="U347" s="117">
        <f t="shared" si="519"/>
        <v>111.94</v>
      </c>
      <c r="V347" s="117">
        <f t="shared" si="519"/>
        <v>27.380000000000003</v>
      </c>
      <c r="W347" s="117">
        <f t="shared" si="519"/>
        <v>79.28</v>
      </c>
      <c r="X347" s="117">
        <f t="shared" si="519"/>
        <v>25.69</v>
      </c>
      <c r="Y347" s="117"/>
      <c r="Z347" s="117">
        <f>SUM(Z348:Z356)</f>
        <v>434.20000000000005</v>
      </c>
      <c r="AA347" s="185">
        <f t="shared" si="505"/>
        <v>4.1574388185290412E-2</v>
      </c>
      <c r="AC347" s="117">
        <f t="shared" si="507"/>
        <v>189.91</v>
      </c>
      <c r="AD347" s="117">
        <f t="shared" si="508"/>
        <v>244.29</v>
      </c>
      <c r="AE347" s="117">
        <f t="shared" si="509"/>
        <v>0</v>
      </c>
      <c r="AF347" s="117">
        <f>SUM(AC347:AE347)</f>
        <v>434.2</v>
      </c>
      <c r="AG347" s="185">
        <f>AD347/AF347</f>
        <v>0.56262091202210962</v>
      </c>
      <c r="AI347" s="182" t="s">
        <v>53</v>
      </c>
      <c r="AJ347" s="89">
        <v>42.94</v>
      </c>
      <c r="AK347" s="89">
        <v>104.03999999999999</v>
      </c>
      <c r="AL347" s="382">
        <f t="shared" si="516"/>
        <v>0.41272587466359095</v>
      </c>
    </row>
    <row r="348" spans="1:43" x14ac:dyDescent="0.35">
      <c r="A348" s="6" t="s">
        <v>46</v>
      </c>
      <c r="B348" s="12"/>
      <c r="C348" s="12"/>
      <c r="D348" s="12"/>
      <c r="E348" s="12"/>
      <c r="F348" s="12"/>
      <c r="G348" s="12"/>
      <c r="H348" s="12"/>
      <c r="I348" s="12"/>
      <c r="J348" s="12"/>
      <c r="K348" s="12">
        <v>7.64</v>
      </c>
      <c r="L348" s="12"/>
      <c r="M348" s="12"/>
      <c r="N348" s="12"/>
      <c r="O348" s="12"/>
      <c r="P348" s="12"/>
      <c r="Q348" s="12"/>
      <c r="R348" s="12"/>
      <c r="S348" s="12"/>
      <c r="T348" s="12">
        <v>1.24</v>
      </c>
      <c r="U348" s="12"/>
      <c r="V348" s="12"/>
      <c r="W348" s="12"/>
      <c r="X348" s="12"/>
      <c r="Y348" s="12"/>
      <c r="Z348" s="12">
        <f t="shared" si="518"/>
        <v>8.879999999999999</v>
      </c>
      <c r="AA348" s="24">
        <f t="shared" si="505"/>
        <v>8.502546455213698E-4</v>
      </c>
      <c r="AC348" s="89">
        <f t="shared" si="507"/>
        <v>8.879999999999999</v>
      </c>
      <c r="AD348" s="89">
        <f t="shared" si="508"/>
        <v>0</v>
      </c>
      <c r="AE348" s="89">
        <f t="shared" si="509"/>
        <v>0</v>
      </c>
      <c r="AF348" s="89">
        <f t="shared" si="510"/>
        <v>8.879999999999999</v>
      </c>
      <c r="AG348" s="24">
        <f t="shared" si="511"/>
        <v>0</v>
      </c>
      <c r="AI348" s="6" t="s">
        <v>36</v>
      </c>
      <c r="AJ348" s="89">
        <v>39.050000000000004</v>
      </c>
      <c r="AK348" s="89">
        <v>68.209999999999994</v>
      </c>
      <c r="AL348" s="382">
        <f t="shared" si="516"/>
        <v>0.57249670136343656</v>
      </c>
    </row>
    <row r="349" spans="1:43" x14ac:dyDescent="0.35">
      <c r="A349" s="6" t="s">
        <v>47</v>
      </c>
      <c r="B349" s="12"/>
      <c r="C349" s="12"/>
      <c r="D349" s="12"/>
      <c r="E349" s="12"/>
      <c r="F349" s="12"/>
      <c r="G349" s="12"/>
      <c r="H349" s="12"/>
      <c r="I349" s="12"/>
      <c r="J349" s="12"/>
      <c r="K349" s="12"/>
      <c r="L349" s="12"/>
      <c r="M349" s="12"/>
      <c r="N349" s="12"/>
      <c r="O349" s="12"/>
      <c r="P349" s="12"/>
      <c r="Q349" s="12"/>
      <c r="R349" s="12"/>
      <c r="S349" s="12"/>
      <c r="T349" s="12">
        <v>11.24</v>
      </c>
      <c r="U349" s="12">
        <v>3.69</v>
      </c>
      <c r="V349" s="12"/>
      <c r="W349" s="12"/>
      <c r="X349" s="12"/>
      <c r="Y349" s="12"/>
      <c r="Z349" s="12">
        <f t="shared" si="518"/>
        <v>14.93</v>
      </c>
      <c r="AA349" s="24">
        <f t="shared" si="505"/>
        <v>1.4295384974813124E-3</v>
      </c>
      <c r="AC349" s="89">
        <f t="shared" si="507"/>
        <v>11.24</v>
      </c>
      <c r="AD349" s="89">
        <f t="shared" si="508"/>
        <v>3.69</v>
      </c>
      <c r="AE349" s="89">
        <f t="shared" si="509"/>
        <v>0</v>
      </c>
      <c r="AF349" s="89">
        <f t="shared" si="510"/>
        <v>14.93</v>
      </c>
      <c r="AG349" s="24">
        <f t="shared" si="511"/>
        <v>0.24715338245144006</v>
      </c>
      <c r="AI349" s="405" t="s">
        <v>33</v>
      </c>
      <c r="AJ349" s="89">
        <v>32.89</v>
      </c>
      <c r="AK349" s="89">
        <v>45.39</v>
      </c>
      <c r="AL349" s="382">
        <f t="shared" si="516"/>
        <v>0.72460894470147608</v>
      </c>
    </row>
    <row r="350" spans="1:43" x14ac:dyDescent="0.35">
      <c r="A350" s="182" t="s">
        <v>48</v>
      </c>
      <c r="B350" s="12"/>
      <c r="C350" s="12"/>
      <c r="D350" s="12"/>
      <c r="E350" s="12"/>
      <c r="F350" s="12"/>
      <c r="G350" s="12"/>
      <c r="H350" s="12"/>
      <c r="I350" s="12"/>
      <c r="J350" s="12"/>
      <c r="K350" s="12"/>
      <c r="L350" s="12"/>
      <c r="M350" s="12"/>
      <c r="N350" s="12"/>
      <c r="O350" s="12"/>
      <c r="P350" s="12"/>
      <c r="Q350" s="12"/>
      <c r="R350" s="12"/>
      <c r="S350" s="12"/>
      <c r="T350" s="12"/>
      <c r="U350" s="12"/>
      <c r="V350" s="12"/>
      <c r="W350" s="12">
        <v>3.87</v>
      </c>
      <c r="X350" s="12"/>
      <c r="Y350" s="12"/>
      <c r="Z350" s="12">
        <f t="shared" si="518"/>
        <v>3.87</v>
      </c>
      <c r="AA350" s="24">
        <f t="shared" si="505"/>
        <v>3.7055016646032679E-4</v>
      </c>
      <c r="AC350" s="89">
        <f t="shared" si="507"/>
        <v>0</v>
      </c>
      <c r="AD350" s="89">
        <f t="shared" si="508"/>
        <v>3.87</v>
      </c>
      <c r="AE350" s="89">
        <f t="shared" si="509"/>
        <v>0</v>
      </c>
      <c r="AF350" s="89">
        <f t="shared" si="510"/>
        <v>3.87</v>
      </c>
      <c r="AG350" s="24">
        <f t="shared" si="511"/>
        <v>1</v>
      </c>
      <c r="AI350" s="6" t="s">
        <v>30</v>
      </c>
      <c r="AJ350" s="89">
        <v>30.630000000000003</v>
      </c>
      <c r="AK350" s="89">
        <v>222.26999999999998</v>
      </c>
      <c r="AL350" s="382">
        <f t="shared" si="516"/>
        <v>0.13780537184505334</v>
      </c>
    </row>
    <row r="351" spans="1:43" x14ac:dyDescent="0.35">
      <c r="A351" s="182" t="s">
        <v>49</v>
      </c>
      <c r="B351" s="12"/>
      <c r="C351" s="12"/>
      <c r="D351" s="12"/>
      <c r="E351" s="12"/>
      <c r="F351" s="12"/>
      <c r="G351" s="12"/>
      <c r="H351" s="12"/>
      <c r="I351" s="12"/>
      <c r="J351" s="12"/>
      <c r="K351" s="12"/>
      <c r="L351" s="12"/>
      <c r="M351" s="12"/>
      <c r="N351" s="12"/>
      <c r="O351" s="12"/>
      <c r="P351" s="12"/>
      <c r="Q351" s="12"/>
      <c r="R351" s="12"/>
      <c r="S351" s="12"/>
      <c r="T351" s="12"/>
      <c r="U351" s="12">
        <v>1.36</v>
      </c>
      <c r="V351" s="54">
        <v>0.45</v>
      </c>
      <c r="W351" s="12"/>
      <c r="X351" s="12"/>
      <c r="Y351" s="12"/>
      <c r="Z351" s="12">
        <f t="shared" si="518"/>
        <v>1.81</v>
      </c>
      <c r="AA351" s="24">
        <f t="shared" ref="AA351:AA372" si="520">Z351/$Z$373</f>
        <v>1.7330640860289186E-4</v>
      </c>
      <c r="AC351" s="89">
        <f t="shared" si="507"/>
        <v>0</v>
      </c>
      <c r="AD351" s="89">
        <f t="shared" si="508"/>
        <v>1.81</v>
      </c>
      <c r="AE351" s="89">
        <f t="shared" si="509"/>
        <v>0</v>
      </c>
      <c r="AF351" s="89">
        <f t="shared" si="510"/>
        <v>1.81</v>
      </c>
      <c r="AG351" s="24">
        <f t="shared" si="511"/>
        <v>1</v>
      </c>
      <c r="AI351" s="6" t="s">
        <v>55</v>
      </c>
      <c r="AJ351" s="89">
        <v>30.259999999999998</v>
      </c>
      <c r="AK351" s="89">
        <v>190.67000000000002</v>
      </c>
      <c r="AL351" s="382">
        <f t="shared" si="516"/>
        <v>0.15870351916924527</v>
      </c>
    </row>
    <row r="352" spans="1:43" x14ac:dyDescent="0.35">
      <c r="A352" s="182" t="s">
        <v>50</v>
      </c>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f t="shared" si="518"/>
        <v>0</v>
      </c>
      <c r="AA352" s="24">
        <f t="shared" si="520"/>
        <v>0</v>
      </c>
      <c r="AC352" s="89">
        <f t="shared" si="507"/>
        <v>0</v>
      </c>
      <c r="AD352" s="89">
        <f t="shared" si="508"/>
        <v>0</v>
      </c>
      <c r="AE352" s="89">
        <f t="shared" si="509"/>
        <v>0</v>
      </c>
      <c r="AF352" s="89">
        <f t="shared" si="510"/>
        <v>0</v>
      </c>
      <c r="AG352" s="24"/>
      <c r="AI352" s="6" t="s">
        <v>7</v>
      </c>
      <c r="AJ352" s="89">
        <v>24.51</v>
      </c>
      <c r="AK352" s="89">
        <v>29.26</v>
      </c>
      <c r="AL352" s="382">
        <f t="shared" si="516"/>
        <v>0.83766233766233766</v>
      </c>
    </row>
    <row r="353" spans="1:38" x14ac:dyDescent="0.35">
      <c r="A353" s="182" t="s">
        <v>51</v>
      </c>
      <c r="B353" s="12"/>
      <c r="C353" s="12"/>
      <c r="D353" s="12"/>
      <c r="E353" s="12"/>
      <c r="F353" s="12"/>
      <c r="G353" s="12"/>
      <c r="H353" s="12"/>
      <c r="I353" s="12"/>
      <c r="J353" s="12"/>
      <c r="K353" s="12"/>
      <c r="L353" s="12"/>
      <c r="M353" s="12"/>
      <c r="N353" s="12"/>
      <c r="O353" s="12"/>
      <c r="P353" s="12"/>
      <c r="Q353" s="12"/>
      <c r="R353" s="12"/>
      <c r="S353" s="12"/>
      <c r="T353" s="12"/>
      <c r="U353" s="12">
        <v>0.81</v>
      </c>
      <c r="V353" s="12"/>
      <c r="W353" s="12">
        <v>3.08</v>
      </c>
      <c r="X353" s="12">
        <v>15.46</v>
      </c>
      <c r="Y353" s="12"/>
      <c r="Z353" s="12">
        <f t="shared" si="518"/>
        <v>19.350000000000001</v>
      </c>
      <c r="AA353" s="24">
        <f t="shared" si="520"/>
        <v>1.8527508323016341E-3</v>
      </c>
      <c r="AC353" s="89">
        <f t="shared" si="507"/>
        <v>0</v>
      </c>
      <c r="AD353" s="89">
        <f t="shared" si="508"/>
        <v>19.350000000000001</v>
      </c>
      <c r="AE353" s="89">
        <f t="shared" si="509"/>
        <v>0</v>
      </c>
      <c r="AF353" s="89">
        <f t="shared" si="510"/>
        <v>19.350000000000001</v>
      </c>
      <c r="AG353" s="24">
        <f t="shared" si="511"/>
        <v>1</v>
      </c>
      <c r="AI353" s="182" t="s">
        <v>51</v>
      </c>
      <c r="AJ353" s="89">
        <v>19.350000000000001</v>
      </c>
      <c r="AK353" s="89">
        <v>19.350000000000001</v>
      </c>
      <c r="AL353" s="382">
        <f t="shared" si="516"/>
        <v>1</v>
      </c>
    </row>
    <row r="354" spans="1:38" x14ac:dyDescent="0.35">
      <c r="A354" s="182" t="s">
        <v>52</v>
      </c>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v>0</v>
      </c>
      <c r="AA354" s="24">
        <f t="shared" si="520"/>
        <v>0</v>
      </c>
      <c r="AC354" s="89">
        <f t="shared" si="507"/>
        <v>0</v>
      </c>
      <c r="AD354" s="89">
        <f t="shared" si="508"/>
        <v>0</v>
      </c>
      <c r="AE354" s="89">
        <f t="shared" si="509"/>
        <v>0</v>
      </c>
      <c r="AF354" s="89">
        <f t="shared" si="510"/>
        <v>0</v>
      </c>
      <c r="AG354" s="24"/>
      <c r="AI354" s="6" t="s">
        <v>6</v>
      </c>
      <c r="AJ354" s="89">
        <v>18.97</v>
      </c>
      <c r="AK354" s="89">
        <v>25.4</v>
      </c>
      <c r="AL354" s="382">
        <f t="shared" si="516"/>
        <v>0.74685039370078743</v>
      </c>
    </row>
    <row r="355" spans="1:38" x14ac:dyDescent="0.35">
      <c r="A355" s="182" t="s">
        <v>53</v>
      </c>
      <c r="B355" s="12">
        <v>1.21</v>
      </c>
      <c r="C355" s="12"/>
      <c r="D355" s="12"/>
      <c r="E355" s="12"/>
      <c r="F355" s="12"/>
      <c r="G355" s="12"/>
      <c r="H355" s="12"/>
      <c r="I355" s="12"/>
      <c r="J355" s="12"/>
      <c r="K355" s="12"/>
      <c r="L355" s="12"/>
      <c r="M355" s="12">
        <v>0.81</v>
      </c>
      <c r="N355" s="12">
        <v>2.27</v>
      </c>
      <c r="O355" s="12"/>
      <c r="P355" s="12">
        <v>0.78</v>
      </c>
      <c r="Q355" s="12">
        <v>13.81</v>
      </c>
      <c r="R355" s="12">
        <v>7.58</v>
      </c>
      <c r="S355" s="12">
        <v>9.15</v>
      </c>
      <c r="T355" s="12">
        <v>25.49</v>
      </c>
      <c r="U355" s="12">
        <v>24.54</v>
      </c>
      <c r="V355" s="12">
        <v>7.41</v>
      </c>
      <c r="W355" s="12">
        <v>8.9899999999999984</v>
      </c>
      <c r="X355" s="12">
        <v>2</v>
      </c>
      <c r="Y355" s="12"/>
      <c r="Z355" s="12">
        <f t="shared" si="518"/>
        <v>104.03999999999998</v>
      </c>
      <c r="AA355" s="24">
        <f t="shared" si="520"/>
        <v>9.9617672657706432E-3</v>
      </c>
      <c r="AC355" s="89">
        <f t="shared" si="507"/>
        <v>61.099999999999994</v>
      </c>
      <c r="AD355" s="89">
        <f t="shared" si="508"/>
        <v>42.94</v>
      </c>
      <c r="AE355" s="89">
        <f t="shared" si="509"/>
        <v>0</v>
      </c>
      <c r="AF355" s="89">
        <f t="shared" si="510"/>
        <v>104.03999999999999</v>
      </c>
      <c r="AG355" s="24">
        <f t="shared" si="511"/>
        <v>0.41272587466359095</v>
      </c>
      <c r="AI355" s="6" t="s">
        <v>44</v>
      </c>
      <c r="AJ355" s="89">
        <v>14.740000000000002</v>
      </c>
      <c r="AK355" s="89">
        <v>47.28</v>
      </c>
      <c r="AL355" s="382">
        <f t="shared" si="516"/>
        <v>0.31175972927241968</v>
      </c>
    </row>
    <row r="356" spans="1:38" x14ac:dyDescent="0.35">
      <c r="A356" s="182" t="s">
        <v>54</v>
      </c>
      <c r="B356" s="12"/>
      <c r="C356" s="12"/>
      <c r="D356" s="12"/>
      <c r="E356" s="12"/>
      <c r="F356" s="12"/>
      <c r="G356" s="12"/>
      <c r="H356" s="12"/>
      <c r="I356" s="12"/>
      <c r="J356" s="12"/>
      <c r="K356" s="12"/>
      <c r="L356" s="12"/>
      <c r="M356" s="12">
        <v>7.93</v>
      </c>
      <c r="N356" s="12"/>
      <c r="O356" s="12">
        <v>1.1399999999999999</v>
      </c>
      <c r="P356" s="12">
        <v>9.58</v>
      </c>
      <c r="Q356" s="12">
        <v>8.66</v>
      </c>
      <c r="R356" s="12">
        <v>15.870000000000001</v>
      </c>
      <c r="S356" s="12">
        <v>9.24</v>
      </c>
      <c r="T356" s="12">
        <v>56.269999999999996</v>
      </c>
      <c r="U356" s="12">
        <v>81.540000000000006</v>
      </c>
      <c r="V356" s="12">
        <v>19.520000000000003</v>
      </c>
      <c r="W356" s="12">
        <v>63.339999999999996</v>
      </c>
      <c r="X356" s="12">
        <v>8.23</v>
      </c>
      <c r="Y356" s="12"/>
      <c r="Z356" s="12">
        <f t="shared" si="518"/>
        <v>281.32000000000005</v>
      </c>
      <c r="AA356" s="24">
        <f t="shared" si="520"/>
        <v>2.6936220369152233E-2</v>
      </c>
      <c r="AC356" s="89">
        <f t="shared" si="507"/>
        <v>108.69</v>
      </c>
      <c r="AD356" s="89">
        <f t="shared" si="508"/>
        <v>172.63</v>
      </c>
      <c r="AE356" s="89">
        <f t="shared" si="509"/>
        <v>0</v>
      </c>
      <c r="AF356" s="89">
        <f t="shared" si="510"/>
        <v>281.32</v>
      </c>
      <c r="AG356" s="24">
        <f t="shared" si="511"/>
        <v>0.61364282667424996</v>
      </c>
      <c r="AI356" s="6" t="s">
        <v>32</v>
      </c>
      <c r="AJ356" s="89">
        <v>14.74</v>
      </c>
      <c r="AK356" s="89">
        <v>20.27</v>
      </c>
      <c r="AL356" s="382">
        <f t="shared" si="516"/>
        <v>0.72718302910705479</v>
      </c>
    </row>
    <row r="357" spans="1:38" x14ac:dyDescent="0.35">
      <c r="A357" s="116" t="s">
        <v>17</v>
      </c>
      <c r="B357" s="117"/>
      <c r="C357" s="117"/>
      <c r="D357" s="117"/>
      <c r="E357" s="117"/>
      <c r="F357" s="117"/>
      <c r="G357" s="117"/>
      <c r="H357" s="117"/>
      <c r="I357" s="117"/>
      <c r="J357" s="117">
        <f t="shared" ref="J357:Y357" si="521">SUM(J358:J359)</f>
        <v>0.59</v>
      </c>
      <c r="K357" s="117"/>
      <c r="L357" s="117"/>
      <c r="M357" s="117">
        <f t="shared" si="521"/>
        <v>2.11</v>
      </c>
      <c r="N357" s="117">
        <f t="shared" si="521"/>
        <v>14.72</v>
      </c>
      <c r="O357" s="117">
        <f t="shared" si="521"/>
        <v>28.200000000000003</v>
      </c>
      <c r="P357" s="117">
        <f t="shared" si="521"/>
        <v>34.1</v>
      </c>
      <c r="Q357" s="117">
        <f t="shared" si="521"/>
        <v>24.82</v>
      </c>
      <c r="R357" s="117">
        <f t="shared" si="521"/>
        <v>7.8199999999999994</v>
      </c>
      <c r="S357" s="117">
        <f t="shared" si="521"/>
        <v>15.21</v>
      </c>
      <c r="T357" s="117">
        <f t="shared" si="521"/>
        <v>37.390000000000008</v>
      </c>
      <c r="U357" s="117">
        <f t="shared" si="521"/>
        <v>3.75</v>
      </c>
      <c r="V357" s="117">
        <f t="shared" si="521"/>
        <v>5.68</v>
      </c>
      <c r="W357" s="117">
        <f t="shared" si="521"/>
        <v>23.54</v>
      </c>
      <c r="X357" s="117">
        <f t="shared" si="521"/>
        <v>10.33</v>
      </c>
      <c r="Y357" s="138">
        <f t="shared" si="521"/>
        <v>0.04</v>
      </c>
      <c r="Z357" s="117">
        <f>SUM(Z358:Z359)</f>
        <v>208.3</v>
      </c>
      <c r="AA357" s="185">
        <f t="shared" si="520"/>
        <v>1.994459939888529E-2</v>
      </c>
      <c r="AC357" s="117">
        <f t="shared" si="507"/>
        <v>164.96</v>
      </c>
      <c r="AD357" s="117">
        <f t="shared" si="508"/>
        <v>43.3</v>
      </c>
      <c r="AE357" s="117">
        <f t="shared" si="509"/>
        <v>0.04</v>
      </c>
      <c r="AF357" s="117">
        <f>SUM(AC357:AE357)</f>
        <v>208.29999999999998</v>
      </c>
      <c r="AG357" s="185">
        <f>AD357/AF357</f>
        <v>0.20787325972155546</v>
      </c>
      <c r="AI357" s="6" t="s">
        <v>56</v>
      </c>
      <c r="AJ357" s="89">
        <v>13.04</v>
      </c>
      <c r="AK357" s="89">
        <v>17.63</v>
      </c>
      <c r="AL357" s="382">
        <f t="shared" si="516"/>
        <v>0.73964832671582526</v>
      </c>
    </row>
    <row r="358" spans="1:38" x14ac:dyDescent="0.35">
      <c r="A358" s="6" t="s">
        <v>55</v>
      </c>
      <c r="B358" s="12"/>
      <c r="C358" s="12"/>
      <c r="D358" s="12"/>
      <c r="E358" s="12"/>
      <c r="F358" s="12"/>
      <c r="G358" s="12"/>
      <c r="H358" s="12"/>
      <c r="I358" s="12"/>
      <c r="J358" s="12">
        <v>0.59</v>
      </c>
      <c r="K358" s="12"/>
      <c r="L358" s="12"/>
      <c r="M358" s="12">
        <v>2.11</v>
      </c>
      <c r="N358" s="12">
        <v>14.72</v>
      </c>
      <c r="O358" s="12">
        <v>28.200000000000003</v>
      </c>
      <c r="P358" s="12">
        <v>31.51</v>
      </c>
      <c r="Q358" s="12">
        <v>24.82</v>
      </c>
      <c r="R358" s="12">
        <v>7.629999999999999</v>
      </c>
      <c r="S358" s="12">
        <v>15.21</v>
      </c>
      <c r="T358" s="12">
        <v>35.620000000000005</v>
      </c>
      <c r="U358" s="12">
        <v>1.1599999999999999</v>
      </c>
      <c r="V358" s="12">
        <v>3.98</v>
      </c>
      <c r="W358" s="12">
        <v>14.790000000000001</v>
      </c>
      <c r="X358" s="12">
        <v>10.33</v>
      </c>
      <c r="Y358" s="54"/>
      <c r="Z358" s="12">
        <f t="shared" si="518"/>
        <v>190.67000000000002</v>
      </c>
      <c r="AA358" s="24">
        <f t="shared" si="520"/>
        <v>1.8256537529454914E-2</v>
      </c>
      <c r="AC358" s="89">
        <f t="shared" si="507"/>
        <v>160.41000000000003</v>
      </c>
      <c r="AD358" s="89">
        <f t="shared" si="508"/>
        <v>30.259999999999998</v>
      </c>
      <c r="AE358" s="89">
        <f t="shared" si="509"/>
        <v>0</v>
      </c>
      <c r="AF358" s="89">
        <f t="shared" si="510"/>
        <v>190.67000000000002</v>
      </c>
      <c r="AG358" s="24">
        <f t="shared" si="511"/>
        <v>0.15870351916924527</v>
      </c>
    </row>
    <row r="359" spans="1:38" x14ac:dyDescent="0.35">
      <c r="A359" s="6" t="s">
        <v>56</v>
      </c>
      <c r="B359" s="12"/>
      <c r="C359" s="12"/>
      <c r="D359" s="12"/>
      <c r="E359" s="12"/>
      <c r="F359" s="12"/>
      <c r="G359" s="12"/>
      <c r="H359" s="12"/>
      <c r="I359" s="12"/>
      <c r="J359" s="12"/>
      <c r="K359" s="12"/>
      <c r="L359" s="12"/>
      <c r="M359" s="12"/>
      <c r="N359" s="12"/>
      <c r="O359" s="12"/>
      <c r="P359" s="12">
        <v>2.5900000000000003</v>
      </c>
      <c r="Q359" s="12"/>
      <c r="R359" s="54">
        <v>0.19</v>
      </c>
      <c r="S359" s="12"/>
      <c r="T359" s="12">
        <v>1.77</v>
      </c>
      <c r="U359" s="12">
        <v>2.59</v>
      </c>
      <c r="V359" s="12">
        <v>1.7000000000000002</v>
      </c>
      <c r="W359" s="12">
        <v>8.75</v>
      </c>
      <c r="X359" s="12"/>
      <c r="Y359" s="54">
        <v>0.04</v>
      </c>
      <c r="Z359" s="12">
        <f t="shared" si="518"/>
        <v>17.63</v>
      </c>
      <c r="AA359" s="24">
        <f t="shared" si="520"/>
        <v>1.6880618694303773E-3</v>
      </c>
      <c r="AC359" s="89">
        <f t="shared" si="507"/>
        <v>4.5500000000000007</v>
      </c>
      <c r="AD359" s="89">
        <f t="shared" si="508"/>
        <v>13.04</v>
      </c>
      <c r="AE359" s="89">
        <f t="shared" si="509"/>
        <v>0.04</v>
      </c>
      <c r="AF359" s="89">
        <f t="shared" si="510"/>
        <v>17.63</v>
      </c>
      <c r="AG359" s="24">
        <f t="shared" si="511"/>
        <v>0.73964832671582526</v>
      </c>
    </row>
    <row r="360" spans="1:38" x14ac:dyDescent="0.35">
      <c r="A360" s="116" t="s">
        <v>64</v>
      </c>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v>0</v>
      </c>
      <c r="AA360" s="185">
        <f t="shared" si="520"/>
        <v>0</v>
      </c>
      <c r="AC360" s="117">
        <f t="shared" si="507"/>
        <v>0</v>
      </c>
      <c r="AD360" s="117">
        <f t="shared" si="508"/>
        <v>0</v>
      </c>
      <c r="AE360" s="117">
        <f t="shared" si="509"/>
        <v>0</v>
      </c>
      <c r="AF360" s="117">
        <f>SUM(AC360:AE360)</f>
        <v>0</v>
      </c>
      <c r="AG360" s="185"/>
    </row>
    <row r="361" spans="1:38" x14ac:dyDescent="0.35">
      <c r="A361" s="6" t="s">
        <v>65</v>
      </c>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v>0</v>
      </c>
      <c r="AA361" s="24">
        <f t="shared" si="520"/>
        <v>0</v>
      </c>
      <c r="AC361" s="89">
        <f t="shared" si="507"/>
        <v>0</v>
      </c>
      <c r="AD361" s="89">
        <f t="shared" si="508"/>
        <v>0</v>
      </c>
      <c r="AE361" s="89">
        <f t="shared" si="509"/>
        <v>0</v>
      </c>
      <c r="AF361" s="89">
        <f t="shared" si="510"/>
        <v>0</v>
      </c>
      <c r="AG361" s="24"/>
    </row>
    <row r="362" spans="1:38" x14ac:dyDescent="0.35">
      <c r="A362" s="7" t="s">
        <v>66</v>
      </c>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v>0</v>
      </c>
      <c r="AA362" s="24">
        <f t="shared" si="520"/>
        <v>0</v>
      </c>
      <c r="AC362" s="89">
        <f t="shared" si="507"/>
        <v>0</v>
      </c>
      <c r="AD362" s="89">
        <f t="shared" si="508"/>
        <v>0</v>
      </c>
      <c r="AE362" s="89">
        <f t="shared" si="509"/>
        <v>0</v>
      </c>
      <c r="AF362" s="89">
        <f t="shared" si="510"/>
        <v>0</v>
      </c>
      <c r="AG362" s="24"/>
    </row>
    <row r="363" spans="1:38" x14ac:dyDescent="0.35">
      <c r="A363" s="116" t="s">
        <v>18</v>
      </c>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v>0</v>
      </c>
      <c r="AA363" s="185">
        <f t="shared" si="520"/>
        <v>0</v>
      </c>
      <c r="AC363" s="117">
        <f t="shared" si="507"/>
        <v>0</v>
      </c>
      <c r="AD363" s="117">
        <f t="shared" si="508"/>
        <v>0</v>
      </c>
      <c r="AE363" s="117">
        <f t="shared" si="509"/>
        <v>0</v>
      </c>
      <c r="AF363" s="117">
        <f>SUM(AC363:AE363)</f>
        <v>0</v>
      </c>
      <c r="AG363" s="185"/>
    </row>
    <row r="364" spans="1:38" x14ac:dyDescent="0.35">
      <c r="A364" s="6" t="s">
        <v>18</v>
      </c>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v>0</v>
      </c>
      <c r="AA364" s="24">
        <f t="shared" si="520"/>
        <v>0</v>
      </c>
      <c r="AC364" s="89">
        <f t="shared" si="507"/>
        <v>0</v>
      </c>
      <c r="AD364" s="89">
        <f t="shared" si="508"/>
        <v>0</v>
      </c>
      <c r="AE364" s="89">
        <f t="shared" si="509"/>
        <v>0</v>
      </c>
      <c r="AF364" s="89">
        <f t="shared" si="510"/>
        <v>0</v>
      </c>
      <c r="AG364" s="24"/>
    </row>
    <row r="365" spans="1:38" x14ac:dyDescent="0.35">
      <c r="A365" s="116" t="s">
        <v>20</v>
      </c>
      <c r="B365" s="117"/>
      <c r="C365" s="117"/>
      <c r="D365" s="117"/>
      <c r="E365" s="117"/>
      <c r="F365" s="117"/>
      <c r="G365" s="117"/>
      <c r="H365" s="117"/>
      <c r="I365" s="117"/>
      <c r="J365" s="117"/>
      <c r="K365" s="117"/>
      <c r="L365" s="117"/>
      <c r="M365" s="117"/>
      <c r="N365" s="117"/>
      <c r="O365" s="117"/>
      <c r="P365" s="117"/>
      <c r="Q365" s="117"/>
      <c r="R365" s="117"/>
      <c r="S365" s="117">
        <f>SUM(S366)</f>
        <v>3.98</v>
      </c>
      <c r="T365" s="117">
        <f>SUM(T366)</f>
        <v>1.28</v>
      </c>
      <c r="U365" s="117"/>
      <c r="V365" s="117"/>
      <c r="W365" s="117"/>
      <c r="X365" s="117"/>
      <c r="Y365" s="117"/>
      <c r="Z365" s="117">
        <f>SUM(Z366)</f>
        <v>5.26</v>
      </c>
      <c r="AA365" s="185">
        <f t="shared" si="520"/>
        <v>5.0364182831558624E-4</v>
      </c>
      <c r="AC365" s="117">
        <f t="shared" si="507"/>
        <v>5.26</v>
      </c>
      <c r="AD365" s="117">
        <f t="shared" si="508"/>
        <v>0</v>
      </c>
      <c r="AE365" s="117">
        <f t="shared" si="509"/>
        <v>0</v>
      </c>
      <c r="AF365" s="117">
        <f>SUM(AC365:AE365)</f>
        <v>5.26</v>
      </c>
      <c r="AG365" s="185">
        <f>AD365/AF365</f>
        <v>0</v>
      </c>
    </row>
    <row r="366" spans="1:38" x14ac:dyDescent="0.35">
      <c r="A366" s="6" t="s">
        <v>20</v>
      </c>
      <c r="B366" s="12"/>
      <c r="C366" s="12"/>
      <c r="D366" s="12"/>
      <c r="E366" s="12"/>
      <c r="F366" s="12"/>
      <c r="G366" s="12"/>
      <c r="H366" s="12"/>
      <c r="I366" s="12"/>
      <c r="J366" s="12"/>
      <c r="K366" s="12"/>
      <c r="L366" s="12"/>
      <c r="M366" s="12"/>
      <c r="N366" s="12"/>
      <c r="O366" s="12"/>
      <c r="P366" s="12"/>
      <c r="Q366" s="12"/>
      <c r="R366" s="12"/>
      <c r="S366" s="12">
        <v>3.98</v>
      </c>
      <c r="T366" s="12">
        <v>1.28</v>
      </c>
      <c r="U366" s="12"/>
      <c r="V366" s="12"/>
      <c r="W366" s="12"/>
      <c r="X366" s="12"/>
      <c r="Y366" s="12"/>
      <c r="Z366" s="12">
        <f t="shared" ref="Z366:Z372" si="522">SUM(B366:Y366)</f>
        <v>5.26</v>
      </c>
      <c r="AA366" s="24">
        <f t="shared" si="520"/>
        <v>5.0364182831558624E-4</v>
      </c>
      <c r="AC366" s="89">
        <f t="shared" si="507"/>
        <v>5.26</v>
      </c>
      <c r="AD366" s="89">
        <f t="shared" si="508"/>
        <v>0</v>
      </c>
      <c r="AE366" s="89">
        <f t="shared" si="509"/>
        <v>0</v>
      </c>
      <c r="AF366" s="89">
        <f t="shared" si="510"/>
        <v>5.26</v>
      </c>
      <c r="AG366" s="24">
        <f t="shared" si="511"/>
        <v>0</v>
      </c>
    </row>
    <row r="367" spans="1:38" x14ac:dyDescent="0.35">
      <c r="A367" s="116" t="s">
        <v>21</v>
      </c>
      <c r="B367" s="117"/>
      <c r="C367" s="117"/>
      <c r="D367" s="117"/>
      <c r="E367" s="117"/>
      <c r="F367" s="117"/>
      <c r="G367" s="117"/>
      <c r="H367" s="117"/>
      <c r="I367" s="117"/>
      <c r="J367" s="117"/>
      <c r="K367" s="117"/>
      <c r="L367" s="117"/>
      <c r="M367" s="117"/>
      <c r="N367" s="117"/>
      <c r="O367" s="117"/>
      <c r="P367" s="117">
        <f t="shared" ref="P367:Y367" si="523">P368</f>
        <v>10.52</v>
      </c>
      <c r="Q367" s="117">
        <f t="shared" si="523"/>
        <v>7.56</v>
      </c>
      <c r="R367" s="117">
        <f t="shared" si="523"/>
        <v>14.22</v>
      </c>
      <c r="S367" s="117"/>
      <c r="T367" s="117">
        <f t="shared" si="523"/>
        <v>8.31</v>
      </c>
      <c r="U367" s="117">
        <f t="shared" si="523"/>
        <v>1.29</v>
      </c>
      <c r="V367" s="117"/>
      <c r="W367" s="117">
        <f t="shared" si="523"/>
        <v>8.9699999999999989</v>
      </c>
      <c r="X367" s="117"/>
      <c r="Y367" s="138">
        <f t="shared" si="523"/>
        <v>0.02</v>
      </c>
      <c r="Z367" s="117">
        <f>SUM(Z368)</f>
        <v>50.89</v>
      </c>
      <c r="AA367" s="185">
        <f t="shared" si="520"/>
        <v>4.8726868142547879E-3</v>
      </c>
      <c r="AC367" s="117">
        <f t="shared" si="507"/>
        <v>40.61</v>
      </c>
      <c r="AD367" s="117">
        <f t="shared" si="508"/>
        <v>10.259999999999998</v>
      </c>
      <c r="AE367" s="117">
        <f t="shared" si="509"/>
        <v>0.02</v>
      </c>
      <c r="AF367" s="117">
        <f>SUM(AC367:AE367)</f>
        <v>50.89</v>
      </c>
      <c r="AG367" s="185">
        <f>AD367/AF367</f>
        <v>0.20161131853016306</v>
      </c>
    </row>
    <row r="368" spans="1:38" x14ac:dyDescent="0.35">
      <c r="A368" s="6" t="s">
        <v>21</v>
      </c>
      <c r="B368" s="12"/>
      <c r="C368" s="12"/>
      <c r="D368" s="12"/>
      <c r="E368" s="12"/>
      <c r="F368" s="12"/>
      <c r="G368" s="12"/>
      <c r="H368" s="12"/>
      <c r="I368" s="12"/>
      <c r="J368" s="12"/>
      <c r="K368" s="12"/>
      <c r="L368" s="12"/>
      <c r="M368" s="12"/>
      <c r="N368" s="12"/>
      <c r="O368" s="12"/>
      <c r="P368" s="12">
        <v>10.52</v>
      </c>
      <c r="Q368" s="12">
        <v>7.56</v>
      </c>
      <c r="R368" s="12">
        <v>14.22</v>
      </c>
      <c r="S368" s="12"/>
      <c r="T368" s="12">
        <v>8.31</v>
      </c>
      <c r="U368" s="12">
        <v>1.29</v>
      </c>
      <c r="V368" s="12"/>
      <c r="W368" s="12">
        <v>8.9699999999999989</v>
      </c>
      <c r="X368" s="12"/>
      <c r="Y368" s="54">
        <v>0.02</v>
      </c>
      <c r="Z368" s="12">
        <f t="shared" si="522"/>
        <v>50.89</v>
      </c>
      <c r="AA368" s="24">
        <f t="shared" si="520"/>
        <v>4.8726868142547879E-3</v>
      </c>
      <c r="AC368" s="89">
        <f t="shared" si="507"/>
        <v>40.61</v>
      </c>
      <c r="AD368" s="89">
        <f t="shared" si="508"/>
        <v>10.259999999999998</v>
      </c>
      <c r="AE368" s="89">
        <f t="shared" si="509"/>
        <v>0.02</v>
      </c>
      <c r="AF368" s="89">
        <f t="shared" si="510"/>
        <v>50.89</v>
      </c>
      <c r="AG368" s="24">
        <f t="shared" si="511"/>
        <v>0.20161131853016306</v>
      </c>
    </row>
    <row r="369" spans="1:33" x14ac:dyDescent="0.35">
      <c r="A369" s="116" t="s">
        <v>22</v>
      </c>
      <c r="B369" s="117"/>
      <c r="C369" s="117"/>
      <c r="D369" s="117"/>
      <c r="E369" s="117"/>
      <c r="F369" s="117"/>
      <c r="G369" s="117"/>
      <c r="H369" s="117"/>
      <c r="I369" s="117"/>
      <c r="J369" s="117"/>
      <c r="K369" s="117"/>
      <c r="L369" s="117"/>
      <c r="M369" s="117">
        <f t="shared" ref="M369:Y369" si="524">SUM(M370)</f>
        <v>1.07</v>
      </c>
      <c r="N369" s="117"/>
      <c r="O369" s="117"/>
      <c r="P369" s="117">
        <f t="shared" si="524"/>
        <v>7.74</v>
      </c>
      <c r="Q369" s="117">
        <f t="shared" si="524"/>
        <v>14.08</v>
      </c>
      <c r="R369" s="117">
        <f t="shared" si="524"/>
        <v>125.06</v>
      </c>
      <c r="S369" s="117">
        <f t="shared" si="524"/>
        <v>38.450000000000003</v>
      </c>
      <c r="T369" s="117">
        <f t="shared" si="524"/>
        <v>45.97</v>
      </c>
      <c r="U369" s="117">
        <f t="shared" si="524"/>
        <v>23.48</v>
      </c>
      <c r="V369" s="117">
        <f t="shared" si="524"/>
        <v>5.01</v>
      </c>
      <c r="W369" s="117">
        <f t="shared" si="524"/>
        <v>26.590000000000003</v>
      </c>
      <c r="X369" s="117">
        <f t="shared" si="524"/>
        <v>15.009999999999998</v>
      </c>
      <c r="Y369" s="138">
        <f t="shared" si="524"/>
        <v>0.02</v>
      </c>
      <c r="Z369" s="117">
        <f>SUM(Z370)</f>
        <v>302.4799999999999</v>
      </c>
      <c r="AA369" s="185">
        <f t="shared" si="520"/>
        <v>2.8962277610056746E-2</v>
      </c>
      <c r="AC369" s="117">
        <f t="shared" si="507"/>
        <v>232.36999999999998</v>
      </c>
      <c r="AD369" s="117">
        <f t="shared" si="508"/>
        <v>70.09</v>
      </c>
      <c r="AE369" s="117">
        <f t="shared" si="509"/>
        <v>0.02</v>
      </c>
      <c r="AF369" s="117">
        <f>SUM(AC369:AE369)</f>
        <v>302.47999999999996</v>
      </c>
      <c r="AG369" s="185">
        <f>AD369/AF369</f>
        <v>0.23171779952393551</v>
      </c>
    </row>
    <row r="370" spans="1:33" x14ac:dyDescent="0.35">
      <c r="A370" s="6" t="s">
        <v>22</v>
      </c>
      <c r="B370" s="12"/>
      <c r="C370" s="12"/>
      <c r="D370" s="12"/>
      <c r="E370" s="12"/>
      <c r="F370" s="12"/>
      <c r="G370" s="12"/>
      <c r="H370" s="12"/>
      <c r="I370" s="12"/>
      <c r="J370" s="12"/>
      <c r="K370" s="12"/>
      <c r="L370" s="12"/>
      <c r="M370" s="12">
        <v>1.07</v>
      </c>
      <c r="N370" s="12"/>
      <c r="O370" s="12"/>
      <c r="P370" s="12">
        <v>7.74</v>
      </c>
      <c r="Q370" s="12">
        <v>14.08</v>
      </c>
      <c r="R370" s="12">
        <v>125.06</v>
      </c>
      <c r="S370" s="12">
        <v>38.450000000000003</v>
      </c>
      <c r="T370" s="12">
        <v>45.97</v>
      </c>
      <c r="U370" s="12">
        <v>23.48</v>
      </c>
      <c r="V370" s="12">
        <v>5.01</v>
      </c>
      <c r="W370" s="12">
        <v>26.590000000000003</v>
      </c>
      <c r="X370" s="12">
        <v>15.009999999999998</v>
      </c>
      <c r="Y370" s="54">
        <v>0.02</v>
      </c>
      <c r="Z370" s="12">
        <f t="shared" si="522"/>
        <v>302.4799999999999</v>
      </c>
      <c r="AA370" s="24">
        <f t="shared" si="520"/>
        <v>2.8962277610056746E-2</v>
      </c>
      <c r="AC370" s="89">
        <f t="shared" si="507"/>
        <v>232.36999999999998</v>
      </c>
      <c r="AD370" s="89">
        <f t="shared" si="508"/>
        <v>70.09</v>
      </c>
      <c r="AE370" s="89">
        <f t="shared" si="509"/>
        <v>0.02</v>
      </c>
      <c r="AF370" s="89">
        <f t="shared" si="510"/>
        <v>302.47999999999996</v>
      </c>
      <c r="AG370" s="24">
        <f t="shared" si="511"/>
        <v>0.23171779952393551</v>
      </c>
    </row>
    <row r="371" spans="1:33" x14ac:dyDescent="0.35">
      <c r="A371" s="116" t="s">
        <v>23</v>
      </c>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f>SUM(X372)</f>
        <v>1.48</v>
      </c>
      <c r="Y371" s="117"/>
      <c r="Z371" s="117">
        <f>SUM(Z372)</f>
        <v>1.48</v>
      </c>
      <c r="AA371" s="185">
        <f t="shared" si="520"/>
        <v>1.4170910758689499E-4</v>
      </c>
      <c r="AC371" s="117">
        <f t="shared" si="507"/>
        <v>0</v>
      </c>
      <c r="AD371" s="117">
        <f t="shared" si="508"/>
        <v>1.48</v>
      </c>
      <c r="AE371" s="117">
        <f t="shared" si="509"/>
        <v>0</v>
      </c>
      <c r="AF371" s="117">
        <f>SUM(AC371:AE371)</f>
        <v>1.48</v>
      </c>
      <c r="AG371" s="185">
        <f>AD371/AF371</f>
        <v>1</v>
      </c>
    </row>
    <row r="372" spans="1:33" x14ac:dyDescent="0.35">
      <c r="A372" s="6" t="s">
        <v>23</v>
      </c>
      <c r="B372" s="12"/>
      <c r="C372" s="12"/>
      <c r="D372" s="12"/>
      <c r="E372" s="12"/>
      <c r="F372" s="12"/>
      <c r="G372" s="12"/>
      <c r="H372" s="12"/>
      <c r="I372" s="12"/>
      <c r="J372" s="12"/>
      <c r="K372" s="12"/>
      <c r="L372" s="12"/>
      <c r="M372" s="12"/>
      <c r="N372" s="12"/>
      <c r="O372" s="12"/>
      <c r="P372" s="12"/>
      <c r="Q372" s="12"/>
      <c r="R372" s="12"/>
      <c r="S372" s="12"/>
      <c r="T372" s="12"/>
      <c r="U372" s="12"/>
      <c r="V372" s="12"/>
      <c r="W372" s="12"/>
      <c r="X372" s="12">
        <v>1.48</v>
      </c>
      <c r="Y372" s="12"/>
      <c r="Z372" s="12">
        <f t="shared" si="522"/>
        <v>1.48</v>
      </c>
      <c r="AA372" s="24">
        <f t="shared" si="520"/>
        <v>1.4170910758689499E-4</v>
      </c>
      <c r="AC372" s="89">
        <f t="shared" si="507"/>
        <v>0</v>
      </c>
      <c r="AD372" s="89">
        <f t="shared" si="508"/>
        <v>1.48</v>
      </c>
      <c r="AE372" s="89">
        <f t="shared" si="509"/>
        <v>0</v>
      </c>
      <c r="AF372" s="89">
        <f t="shared" si="510"/>
        <v>1.48</v>
      </c>
      <c r="AG372" s="24">
        <f t="shared" si="511"/>
        <v>1</v>
      </c>
    </row>
    <row r="373" spans="1:33" ht="15.5" x14ac:dyDescent="0.35">
      <c r="A373" s="179" t="s">
        <v>25</v>
      </c>
      <c r="B373" s="114">
        <f>SUM(B319,B328,B332,B336,B341,B347,B357,B360,B363,B365,B367,B369,B371)</f>
        <v>87.27</v>
      </c>
      <c r="C373" s="114">
        <f t="shared" ref="C373:Z373" si="525">SUM(C319,C328,C332,C336,C341,C347,C357,C360,C363,C365,C367,C369,C371)</f>
        <v>118.16000000000003</v>
      </c>
      <c r="D373" s="114">
        <f t="shared" si="525"/>
        <v>63.04</v>
      </c>
      <c r="E373" s="114">
        <f t="shared" si="525"/>
        <v>55.430000000000007</v>
      </c>
      <c r="F373" s="114">
        <f t="shared" si="525"/>
        <v>31.03</v>
      </c>
      <c r="G373" s="114">
        <f t="shared" si="525"/>
        <v>76.48</v>
      </c>
      <c r="H373" s="114">
        <f t="shared" si="525"/>
        <v>36.429999999999993</v>
      </c>
      <c r="I373" s="114">
        <f t="shared" si="525"/>
        <v>82.32</v>
      </c>
      <c r="J373" s="114">
        <f t="shared" si="525"/>
        <v>49.31</v>
      </c>
      <c r="K373" s="114">
        <f t="shared" si="525"/>
        <v>59.21</v>
      </c>
      <c r="L373" s="114">
        <f t="shared" si="525"/>
        <v>120.81</v>
      </c>
      <c r="M373" s="114">
        <f t="shared" si="525"/>
        <v>140.30000000000001</v>
      </c>
      <c r="N373" s="114">
        <f t="shared" si="525"/>
        <v>220.43</v>
      </c>
      <c r="O373" s="114">
        <f t="shared" si="525"/>
        <v>185.78999999999996</v>
      </c>
      <c r="P373" s="114">
        <f t="shared" si="525"/>
        <v>294.12</v>
      </c>
      <c r="Q373" s="114">
        <f t="shared" si="525"/>
        <v>349.71999999999997</v>
      </c>
      <c r="R373" s="114">
        <f t="shared" si="525"/>
        <v>818.76000000000022</v>
      </c>
      <c r="S373" s="114">
        <f t="shared" si="525"/>
        <v>1202.5500000000002</v>
      </c>
      <c r="T373" s="114">
        <f t="shared" si="525"/>
        <v>1390.71</v>
      </c>
      <c r="U373" s="114">
        <f t="shared" si="525"/>
        <v>1512.0000000000002</v>
      </c>
      <c r="V373" s="114">
        <f t="shared" si="525"/>
        <v>1374.9300000000003</v>
      </c>
      <c r="W373" s="114">
        <f t="shared" si="525"/>
        <v>1132.44</v>
      </c>
      <c r="X373" s="114">
        <f t="shared" si="525"/>
        <v>1039.71</v>
      </c>
      <c r="Y373" s="114">
        <f t="shared" si="525"/>
        <v>2.98</v>
      </c>
      <c r="Z373" s="114">
        <f t="shared" si="525"/>
        <v>10443.929999999998</v>
      </c>
      <c r="AA373" s="186">
        <f>SUM(AA319,AA328,AA332,AA336,AA341,AA347,AA357,AA360,AA363,AA365,AA367,AA369,AA371)</f>
        <v>1</v>
      </c>
      <c r="AC373" s="114">
        <f t="shared" si="507"/>
        <v>5381.8700000000008</v>
      </c>
      <c r="AD373" s="114">
        <f t="shared" si="508"/>
        <v>5059.08</v>
      </c>
      <c r="AE373" s="114">
        <f t="shared" si="509"/>
        <v>2.98</v>
      </c>
      <c r="AF373" s="114">
        <f>SUM(AC373:AE373)</f>
        <v>10443.93</v>
      </c>
      <c r="AG373" s="204">
        <f t="shared" si="511"/>
        <v>0.48440385946669501</v>
      </c>
    </row>
    <row r="374" spans="1:33" x14ac:dyDescent="0.35">
      <c r="A374" s="378" t="s">
        <v>253</v>
      </c>
      <c r="B374" s="379"/>
      <c r="C374" s="379">
        <f>C373+B373</f>
        <v>205.43</v>
      </c>
      <c r="D374" s="379">
        <f>D373+C374</f>
        <v>268.47000000000003</v>
      </c>
      <c r="E374" s="379">
        <f>E373+D374</f>
        <v>323.90000000000003</v>
      </c>
      <c r="F374" s="379">
        <f t="shared" ref="F374:X374" si="526">F373+E374</f>
        <v>354.93000000000006</v>
      </c>
      <c r="G374" s="379">
        <f t="shared" si="526"/>
        <v>431.41000000000008</v>
      </c>
      <c r="H374" s="379">
        <f t="shared" si="526"/>
        <v>467.84000000000009</v>
      </c>
      <c r="I374" s="379">
        <f t="shared" si="526"/>
        <v>550.16000000000008</v>
      </c>
      <c r="J374" s="379">
        <f t="shared" si="526"/>
        <v>599.47</v>
      </c>
      <c r="K374" s="379">
        <f t="shared" si="526"/>
        <v>658.68000000000006</v>
      </c>
      <c r="L374" s="379">
        <f t="shared" si="526"/>
        <v>779.49</v>
      </c>
      <c r="M374" s="379">
        <f t="shared" si="526"/>
        <v>919.79</v>
      </c>
      <c r="N374" s="379">
        <f t="shared" si="526"/>
        <v>1140.22</v>
      </c>
      <c r="O374" s="379">
        <f t="shared" si="526"/>
        <v>1326.01</v>
      </c>
      <c r="P374" s="379">
        <f t="shared" si="526"/>
        <v>1620.13</v>
      </c>
      <c r="Q374" s="379">
        <f t="shared" si="526"/>
        <v>1969.8500000000001</v>
      </c>
      <c r="R374" s="379">
        <f t="shared" si="526"/>
        <v>2788.6100000000006</v>
      </c>
      <c r="S374" s="379">
        <f t="shared" si="526"/>
        <v>3991.1600000000008</v>
      </c>
      <c r="T374" s="379">
        <f t="shared" si="526"/>
        <v>5381.8700000000008</v>
      </c>
      <c r="U374" s="379">
        <f t="shared" si="526"/>
        <v>6893.8700000000008</v>
      </c>
      <c r="V374" s="379">
        <f t="shared" si="526"/>
        <v>8268.8000000000011</v>
      </c>
      <c r="W374" s="379">
        <f t="shared" si="526"/>
        <v>9401.2400000000016</v>
      </c>
      <c r="X374" s="379">
        <f t="shared" si="526"/>
        <v>10440.950000000001</v>
      </c>
      <c r="AA374" s="141"/>
    </row>
    <row r="375" spans="1:33" x14ac:dyDescent="0.35">
      <c r="A375" s="380" t="s">
        <v>254</v>
      </c>
      <c r="B375" s="379"/>
      <c r="C375" s="381"/>
      <c r="D375" s="381">
        <f>D374/C374-1</f>
        <v>0.30686851969040552</v>
      </c>
      <c r="E375" s="381">
        <f t="shared" ref="E375:X375" si="527">E374/D374-1</f>
        <v>0.2064662718367043</v>
      </c>
      <c r="F375" s="381">
        <f t="shared" si="527"/>
        <v>9.5801173201605527E-2</v>
      </c>
      <c r="G375" s="381">
        <f t="shared" si="527"/>
        <v>0.21547910855661678</v>
      </c>
      <c r="H375" s="381">
        <f t="shared" si="527"/>
        <v>8.4444032359008769E-2</v>
      </c>
      <c r="I375" s="381">
        <f t="shared" si="527"/>
        <v>0.17595759233926134</v>
      </c>
      <c r="J375" s="381">
        <f t="shared" si="527"/>
        <v>8.9628471717318581E-2</v>
      </c>
      <c r="K375" s="381">
        <f t="shared" si="527"/>
        <v>9.8770580679600428E-2</v>
      </c>
      <c r="L375" s="381">
        <f t="shared" si="527"/>
        <v>0.18341227910366187</v>
      </c>
      <c r="M375" s="381">
        <f t="shared" si="527"/>
        <v>0.17998948030122253</v>
      </c>
      <c r="N375" s="381">
        <f t="shared" si="527"/>
        <v>0.23965252938170667</v>
      </c>
      <c r="O375" s="381">
        <f t="shared" si="527"/>
        <v>0.16294223921699325</v>
      </c>
      <c r="P375" s="381">
        <f t="shared" si="527"/>
        <v>0.22180828198882363</v>
      </c>
      <c r="Q375" s="381">
        <f t="shared" si="527"/>
        <v>0.21585922117360945</v>
      </c>
      <c r="R375" s="381">
        <f t="shared" si="527"/>
        <v>0.41564586136000226</v>
      </c>
      <c r="S375" s="381">
        <f t="shared" si="527"/>
        <v>0.43123635072670607</v>
      </c>
      <c r="T375" s="381">
        <f t="shared" si="527"/>
        <v>0.34844756912777242</v>
      </c>
      <c r="U375" s="381">
        <f t="shared" si="527"/>
        <v>0.2809432409181194</v>
      </c>
      <c r="V375" s="381">
        <f t="shared" si="527"/>
        <v>0.19944240317847606</v>
      </c>
      <c r="W375" s="381">
        <f t="shared" si="527"/>
        <v>0.13695336687306514</v>
      </c>
      <c r="X375" s="381">
        <f t="shared" si="527"/>
        <v>0.11059285796341745</v>
      </c>
    </row>
    <row r="376" spans="1:33" ht="15.5" x14ac:dyDescent="0.35">
      <c r="A376" s="179" t="s">
        <v>99</v>
      </c>
      <c r="B376" s="122" t="s">
        <v>100</v>
      </c>
      <c r="C376" s="122">
        <v>2000</v>
      </c>
      <c r="D376" s="122">
        <v>2001</v>
      </c>
      <c r="E376" s="122">
        <v>2002</v>
      </c>
      <c r="F376" s="122">
        <v>2003</v>
      </c>
      <c r="G376" s="122">
        <v>2004</v>
      </c>
      <c r="H376" s="122">
        <v>2005</v>
      </c>
      <c r="I376" s="122">
        <v>2006</v>
      </c>
      <c r="J376" s="122">
        <v>2007</v>
      </c>
      <c r="K376" s="122">
        <v>2008</v>
      </c>
      <c r="L376" s="122">
        <v>2009</v>
      </c>
      <c r="M376" s="122">
        <v>2010</v>
      </c>
      <c r="N376" s="122">
        <v>2011</v>
      </c>
      <c r="O376" s="122">
        <v>2012</v>
      </c>
      <c r="P376" s="122">
        <v>2013</v>
      </c>
      <c r="Q376" s="122">
        <v>2014</v>
      </c>
      <c r="R376" s="122">
        <v>2015</v>
      </c>
      <c r="S376" s="122">
        <v>2016</v>
      </c>
      <c r="T376" s="122">
        <v>2017</v>
      </c>
      <c r="U376" s="122">
        <v>2018</v>
      </c>
      <c r="V376" s="122">
        <v>2019</v>
      </c>
      <c r="W376" s="122">
        <v>2020</v>
      </c>
      <c r="X376" s="123">
        <v>2021</v>
      </c>
      <c r="Y376" s="123" t="s">
        <v>90</v>
      </c>
      <c r="AD376" s="141"/>
    </row>
    <row r="377" spans="1:33" x14ac:dyDescent="0.35">
      <c r="A377" s="116" t="s">
        <v>5</v>
      </c>
      <c r="B377" s="22">
        <f t="shared" ref="B377:Y377" si="528">B319/$Z$319</f>
        <v>0</v>
      </c>
      <c r="C377" s="22">
        <f t="shared" si="528"/>
        <v>0</v>
      </c>
      <c r="D377" s="22">
        <f t="shared" si="528"/>
        <v>0</v>
      </c>
      <c r="E377" s="22">
        <f t="shared" si="528"/>
        <v>0</v>
      </c>
      <c r="F377" s="22">
        <f t="shared" si="528"/>
        <v>0</v>
      </c>
      <c r="G377" s="22">
        <f t="shared" si="528"/>
        <v>0</v>
      </c>
      <c r="H377" s="22">
        <f t="shared" si="528"/>
        <v>6.3197230312688922E-4</v>
      </c>
      <c r="I377" s="22">
        <f t="shared" si="528"/>
        <v>5.7701818981150755E-4</v>
      </c>
      <c r="J377" s="22">
        <f t="shared" si="528"/>
        <v>0</v>
      </c>
      <c r="K377" s="22">
        <f t="shared" si="528"/>
        <v>0</v>
      </c>
      <c r="L377" s="22">
        <f t="shared" si="528"/>
        <v>0</v>
      </c>
      <c r="M377" s="22">
        <f t="shared" si="528"/>
        <v>3.1452070854170115E-2</v>
      </c>
      <c r="N377" s="22">
        <f t="shared" si="528"/>
        <v>5.6785917092561063E-3</v>
      </c>
      <c r="O377" s="22">
        <f t="shared" si="528"/>
        <v>2.6689381033503698E-2</v>
      </c>
      <c r="P377" s="22">
        <f t="shared" si="528"/>
        <v>3.2413767837189286E-2</v>
      </c>
      <c r="Q377" s="22">
        <f t="shared" si="528"/>
        <v>2.1862578080636005E-2</v>
      </c>
      <c r="R377" s="22">
        <f t="shared" si="528"/>
        <v>6.86834826253412E-2</v>
      </c>
      <c r="S377" s="22">
        <f t="shared" si="528"/>
        <v>0.10827792126907368</v>
      </c>
      <c r="T377" s="22">
        <f t="shared" si="528"/>
        <v>9.1938231576633528E-2</v>
      </c>
      <c r="U377" s="22">
        <f t="shared" si="528"/>
        <v>0.26850579765895488</v>
      </c>
      <c r="V377" s="22">
        <f t="shared" si="528"/>
        <v>7.2685973878478166E-2</v>
      </c>
      <c r="W377" s="22">
        <f t="shared" si="528"/>
        <v>0.14392482277298457</v>
      </c>
      <c r="X377" s="22">
        <f t="shared" si="528"/>
        <v>0.12652268688978038</v>
      </c>
      <c r="Y377" s="384">
        <f t="shared" si="528"/>
        <v>1.5570332106024806E-4</v>
      </c>
    </row>
    <row r="378" spans="1:33" x14ac:dyDescent="0.35">
      <c r="A378" s="116" t="s">
        <v>12</v>
      </c>
      <c r="B378" s="22">
        <f t="shared" ref="B378:Y378" si="529">B328/$Z$328</f>
        <v>7.9905297425273761E-3</v>
      </c>
      <c r="C378" s="22">
        <f t="shared" si="529"/>
        <v>0</v>
      </c>
      <c r="D378" s="22">
        <f t="shared" si="529"/>
        <v>0</v>
      </c>
      <c r="E378" s="22">
        <f t="shared" si="529"/>
        <v>0</v>
      </c>
      <c r="F378" s="22">
        <f t="shared" si="529"/>
        <v>0</v>
      </c>
      <c r="G378" s="22">
        <f t="shared" si="529"/>
        <v>0</v>
      </c>
      <c r="H378" s="22">
        <f t="shared" si="529"/>
        <v>0</v>
      </c>
      <c r="I378" s="22">
        <f t="shared" si="529"/>
        <v>0</v>
      </c>
      <c r="J378" s="22">
        <f t="shared" si="529"/>
        <v>0</v>
      </c>
      <c r="K378" s="22">
        <f t="shared" si="529"/>
        <v>0</v>
      </c>
      <c r="L378" s="22">
        <f t="shared" si="529"/>
        <v>0</v>
      </c>
      <c r="M378" s="22">
        <f t="shared" si="529"/>
        <v>0</v>
      </c>
      <c r="N378" s="22">
        <f t="shared" si="529"/>
        <v>6.9843148860609647E-2</v>
      </c>
      <c r="O378" s="22">
        <f t="shared" si="529"/>
        <v>2.841077241787511E-2</v>
      </c>
      <c r="P378" s="22">
        <f t="shared" si="529"/>
        <v>0</v>
      </c>
      <c r="Q378" s="22">
        <f t="shared" si="529"/>
        <v>1.0210121337673867E-2</v>
      </c>
      <c r="R378" s="22">
        <f t="shared" si="529"/>
        <v>0</v>
      </c>
      <c r="S378" s="22">
        <f t="shared" si="529"/>
        <v>0.10165729505770939</v>
      </c>
      <c r="T378" s="22">
        <f t="shared" si="529"/>
        <v>7.6205978100029603E-2</v>
      </c>
      <c r="U378" s="22">
        <f t="shared" si="529"/>
        <v>5.0014797277300974E-2</v>
      </c>
      <c r="V378" s="22">
        <f t="shared" si="529"/>
        <v>0.24075170168688961</v>
      </c>
      <c r="W378" s="22">
        <f t="shared" si="529"/>
        <v>0.35010358094110683</v>
      </c>
      <c r="X378" s="22">
        <f t="shared" si="529"/>
        <v>6.3924237940219009E-2</v>
      </c>
      <c r="Y378" s="384">
        <f t="shared" si="529"/>
        <v>8.878366380585972E-4</v>
      </c>
    </row>
    <row r="379" spans="1:33" x14ac:dyDescent="0.35">
      <c r="A379" s="116" t="s">
        <v>13</v>
      </c>
      <c r="B379" s="22">
        <f t="shared" ref="B379:Y379" si="530">B332/$Z$332</f>
        <v>0</v>
      </c>
      <c r="C379" s="22">
        <f t="shared" si="530"/>
        <v>0</v>
      </c>
      <c r="D379" s="22">
        <f t="shared" si="530"/>
        <v>0</v>
      </c>
      <c r="E379" s="22">
        <f t="shared" si="530"/>
        <v>0</v>
      </c>
      <c r="F379" s="22">
        <f t="shared" si="530"/>
        <v>0</v>
      </c>
      <c r="G379" s="22">
        <f t="shared" si="530"/>
        <v>0</v>
      </c>
      <c r="H379" s="22">
        <f t="shared" si="530"/>
        <v>0</v>
      </c>
      <c r="I379" s="22">
        <f t="shared" si="530"/>
        <v>2.0833333333333336E-2</v>
      </c>
      <c r="J379" s="22">
        <f t="shared" si="530"/>
        <v>0</v>
      </c>
      <c r="K379" s="22">
        <f t="shared" si="530"/>
        <v>0</v>
      </c>
      <c r="L379" s="22">
        <f t="shared" si="530"/>
        <v>0</v>
      </c>
      <c r="M379" s="22">
        <f t="shared" si="530"/>
        <v>0</v>
      </c>
      <c r="N379" s="22">
        <f t="shared" si="530"/>
        <v>2.1097046413502112E-3</v>
      </c>
      <c r="O379" s="22">
        <f t="shared" si="530"/>
        <v>0</v>
      </c>
      <c r="P379" s="22">
        <f t="shared" si="530"/>
        <v>3.3227848101265826E-2</v>
      </c>
      <c r="Q379" s="22">
        <f t="shared" si="530"/>
        <v>0</v>
      </c>
      <c r="R379" s="22">
        <f t="shared" si="530"/>
        <v>4.3248945147679331E-2</v>
      </c>
      <c r="S379" s="22">
        <f t="shared" si="530"/>
        <v>0.18077531645569622</v>
      </c>
      <c r="T379" s="22">
        <f t="shared" si="530"/>
        <v>0.12486814345991563</v>
      </c>
      <c r="U379" s="22">
        <f t="shared" si="530"/>
        <v>1.6482067510548527E-2</v>
      </c>
      <c r="V379" s="22">
        <f t="shared" si="530"/>
        <v>4.8786919831223637E-2</v>
      </c>
      <c r="W379" s="22">
        <f t="shared" si="530"/>
        <v>0.10561708860759497</v>
      </c>
      <c r="X379" s="22">
        <f t="shared" si="530"/>
        <v>0.42299578059071741</v>
      </c>
      <c r="Y379" s="384">
        <f t="shared" si="530"/>
        <v>1.0548523206751056E-3</v>
      </c>
    </row>
    <row r="380" spans="1:33" x14ac:dyDescent="0.35">
      <c r="A380" s="116" t="s">
        <v>14</v>
      </c>
      <c r="B380" s="22">
        <f t="shared" ref="B380:Y380" si="531">B336/$Z$336</f>
        <v>0.27906976744186041</v>
      </c>
      <c r="C380" s="22">
        <f t="shared" si="531"/>
        <v>0</v>
      </c>
      <c r="D380" s="22">
        <f t="shared" si="531"/>
        <v>0</v>
      </c>
      <c r="E380" s="22">
        <f t="shared" si="531"/>
        <v>0</v>
      </c>
      <c r="F380" s="22">
        <f t="shared" si="531"/>
        <v>0</v>
      </c>
      <c r="G380" s="22">
        <f t="shared" si="531"/>
        <v>0</v>
      </c>
      <c r="H380" s="22">
        <f t="shared" si="531"/>
        <v>0</v>
      </c>
      <c r="I380" s="22">
        <f t="shared" si="531"/>
        <v>0</v>
      </c>
      <c r="J380" s="22">
        <f t="shared" si="531"/>
        <v>0</v>
      </c>
      <c r="K380" s="22">
        <f t="shared" si="531"/>
        <v>0</v>
      </c>
      <c r="L380" s="22">
        <f t="shared" si="531"/>
        <v>0</v>
      </c>
      <c r="M380" s="22">
        <f t="shared" si="531"/>
        <v>4.9833887043189366E-3</v>
      </c>
      <c r="N380" s="22">
        <f t="shared" si="531"/>
        <v>2.3255813953488372E-2</v>
      </c>
      <c r="O380" s="22">
        <f t="shared" si="531"/>
        <v>0</v>
      </c>
      <c r="P380" s="22">
        <f t="shared" si="531"/>
        <v>0</v>
      </c>
      <c r="Q380" s="22">
        <f t="shared" si="531"/>
        <v>0</v>
      </c>
      <c r="R380" s="22">
        <f t="shared" si="531"/>
        <v>0</v>
      </c>
      <c r="S380" s="22">
        <f t="shared" si="531"/>
        <v>6.6445182724252497E-2</v>
      </c>
      <c r="T380" s="22">
        <f t="shared" si="531"/>
        <v>0.10631229235880398</v>
      </c>
      <c r="U380" s="22">
        <f t="shared" si="531"/>
        <v>2.9900332225913619E-2</v>
      </c>
      <c r="V380" s="22">
        <f t="shared" si="531"/>
        <v>0</v>
      </c>
      <c r="W380" s="22">
        <f t="shared" si="531"/>
        <v>0.49003322259136212</v>
      </c>
      <c r="X380" s="22">
        <f t="shared" si="531"/>
        <v>0</v>
      </c>
      <c r="Y380" s="385">
        <f t="shared" si="531"/>
        <v>0</v>
      </c>
    </row>
    <row r="381" spans="1:33" x14ac:dyDescent="0.35">
      <c r="A381" s="116" t="s">
        <v>15</v>
      </c>
      <c r="B381" s="22">
        <f t="shared" ref="B381:Y381" si="532">B341/$Z$341</f>
        <v>1.0224315431838304E-2</v>
      </c>
      <c r="C381" s="22">
        <f t="shared" si="532"/>
        <v>1.4409650661092727E-2</v>
      </c>
      <c r="D381" s="22">
        <f t="shared" si="532"/>
        <v>7.6877486262295642E-3</v>
      </c>
      <c r="E381" s="22">
        <f t="shared" si="532"/>
        <v>6.7597066362929063E-3</v>
      </c>
      <c r="F381" s="22">
        <f t="shared" si="532"/>
        <v>3.7841186527903456E-3</v>
      </c>
      <c r="G381" s="22">
        <f t="shared" si="532"/>
        <v>9.3267610236998279E-3</v>
      </c>
      <c r="H381" s="22">
        <f t="shared" si="532"/>
        <v>4.3585046938680932E-3</v>
      </c>
      <c r="I381" s="22">
        <f t="shared" si="532"/>
        <v>9.7694407114094287E-3</v>
      </c>
      <c r="J381" s="22">
        <f t="shared" si="532"/>
        <v>5.9414199408297013E-3</v>
      </c>
      <c r="K381" s="22">
        <f t="shared" si="532"/>
        <v>6.288978373328976E-3</v>
      </c>
      <c r="L381" s="22">
        <f t="shared" si="532"/>
        <v>1.4732819028153453E-2</v>
      </c>
      <c r="M381" s="22">
        <f t="shared" si="532"/>
        <v>1.1464550259388348E-2</v>
      </c>
      <c r="N381" s="22">
        <f t="shared" si="532"/>
        <v>2.344129189298615E-2</v>
      </c>
      <c r="O381" s="22">
        <f t="shared" si="532"/>
        <v>1.5291351526696145E-2</v>
      </c>
      <c r="P381" s="22">
        <f t="shared" si="532"/>
        <v>2.3596168808520911E-2</v>
      </c>
      <c r="Q381" s="22">
        <f t="shared" si="532"/>
        <v>3.1247332336592656E-2</v>
      </c>
      <c r="R381" s="22">
        <f t="shared" si="532"/>
        <v>6.950436948022333E-2</v>
      </c>
      <c r="S381" s="22">
        <f t="shared" si="532"/>
        <v>0.12040399704392409</v>
      </c>
      <c r="T381" s="22">
        <f t="shared" si="532"/>
        <v>0.13266732194642478</v>
      </c>
      <c r="U381" s="22">
        <f t="shared" si="532"/>
        <v>0.13092221276429689</v>
      </c>
      <c r="V381" s="22">
        <f t="shared" si="532"/>
        <v>0.15091718841081653</v>
      </c>
      <c r="W381" s="22">
        <f t="shared" si="532"/>
        <v>9.7840747506725584E-2</v>
      </c>
      <c r="X381" s="22">
        <f t="shared" si="532"/>
        <v>9.9104152896442213E-2</v>
      </c>
      <c r="Y381" s="384">
        <f t="shared" si="532"/>
        <v>3.1585134742916516E-4</v>
      </c>
    </row>
    <row r="382" spans="1:33" x14ac:dyDescent="0.35">
      <c r="A382" s="116" t="s">
        <v>16</v>
      </c>
      <c r="B382" s="22">
        <f t="shared" ref="B382:Y382" si="533">B347/$Z$347</f>
        <v>2.7867342238599721E-3</v>
      </c>
      <c r="C382" s="22">
        <f t="shared" si="533"/>
        <v>0</v>
      </c>
      <c r="D382" s="22">
        <f t="shared" si="533"/>
        <v>0</v>
      </c>
      <c r="E382" s="22">
        <f t="shared" si="533"/>
        <v>0</v>
      </c>
      <c r="F382" s="22">
        <f t="shared" si="533"/>
        <v>0</v>
      </c>
      <c r="G382" s="22">
        <f t="shared" si="533"/>
        <v>0</v>
      </c>
      <c r="H382" s="22">
        <f t="shared" si="533"/>
        <v>0</v>
      </c>
      <c r="I382" s="22">
        <f t="shared" si="533"/>
        <v>0</v>
      </c>
      <c r="J382" s="22">
        <f t="shared" si="533"/>
        <v>0</v>
      </c>
      <c r="K382" s="22">
        <f t="shared" si="533"/>
        <v>1.7595578074619988E-2</v>
      </c>
      <c r="L382" s="22">
        <f t="shared" si="533"/>
        <v>0</v>
      </c>
      <c r="M382" s="22">
        <f t="shared" si="533"/>
        <v>2.0128972823583599E-2</v>
      </c>
      <c r="N382" s="22">
        <f t="shared" si="533"/>
        <v>5.2280055274067242E-3</v>
      </c>
      <c r="O382" s="22">
        <f t="shared" si="533"/>
        <v>2.6255181943804695E-3</v>
      </c>
      <c r="P382" s="22">
        <f t="shared" si="533"/>
        <v>2.3859972362966372E-2</v>
      </c>
      <c r="Q382" s="22">
        <f t="shared" si="533"/>
        <v>5.1750345462920302E-2</v>
      </c>
      <c r="R382" s="22">
        <f t="shared" si="533"/>
        <v>5.400736987563335E-2</v>
      </c>
      <c r="S382" s="22">
        <f t="shared" si="533"/>
        <v>4.2353754030400731E-2</v>
      </c>
      <c r="T382" s="22">
        <f t="shared" si="533"/>
        <v>0.2170428374021188</v>
      </c>
      <c r="U382" s="22">
        <f t="shared" si="533"/>
        <v>0.25780746199907872</v>
      </c>
      <c r="V382" s="22">
        <f t="shared" si="533"/>
        <v>6.3058498387839709E-2</v>
      </c>
      <c r="W382" s="22">
        <f t="shared" si="533"/>
        <v>0.18258866881621372</v>
      </c>
      <c r="X382" s="22">
        <f t="shared" si="533"/>
        <v>5.9166282818977428E-2</v>
      </c>
      <c r="Y382" s="385">
        <f t="shared" si="533"/>
        <v>0</v>
      </c>
    </row>
    <row r="383" spans="1:33" x14ac:dyDescent="0.35">
      <c r="A383" s="116" t="s">
        <v>18</v>
      </c>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384"/>
    </row>
    <row r="384" spans="1:33" x14ac:dyDescent="0.35">
      <c r="A384" s="116" t="s">
        <v>17</v>
      </c>
      <c r="B384" s="22">
        <f t="shared" ref="B384:Y384" si="534">B357/$Z$357</f>
        <v>0</v>
      </c>
      <c r="C384" s="22">
        <f t="shared" si="534"/>
        <v>0</v>
      </c>
      <c r="D384" s="22">
        <f t="shared" si="534"/>
        <v>0</v>
      </c>
      <c r="E384" s="22">
        <f t="shared" si="534"/>
        <v>0</v>
      </c>
      <c r="F384" s="22">
        <f t="shared" si="534"/>
        <v>0</v>
      </c>
      <c r="G384" s="22">
        <f t="shared" si="534"/>
        <v>0</v>
      </c>
      <c r="H384" s="22">
        <f t="shared" si="534"/>
        <v>0</v>
      </c>
      <c r="I384" s="22">
        <f t="shared" si="534"/>
        <v>0</v>
      </c>
      <c r="J384" s="22">
        <f t="shared" si="534"/>
        <v>2.8324531925108015E-3</v>
      </c>
      <c r="K384" s="22">
        <f t="shared" si="534"/>
        <v>0</v>
      </c>
      <c r="L384" s="22">
        <f t="shared" si="534"/>
        <v>0</v>
      </c>
      <c r="M384" s="22">
        <f t="shared" si="534"/>
        <v>1.012962073931829E-2</v>
      </c>
      <c r="N384" s="22">
        <f t="shared" si="534"/>
        <v>7.0667306769083046E-2</v>
      </c>
      <c r="O384" s="22">
        <f t="shared" si="534"/>
        <v>0.13538166106577054</v>
      </c>
      <c r="P384" s="22">
        <f t="shared" si="534"/>
        <v>0.16370619299087855</v>
      </c>
      <c r="Q384" s="22">
        <f t="shared" si="534"/>
        <v>0.11915506481036965</v>
      </c>
      <c r="R384" s="22">
        <f t="shared" si="534"/>
        <v>3.7542006721075369E-2</v>
      </c>
      <c r="S384" s="22">
        <f t="shared" si="534"/>
        <v>7.3019683149303891E-2</v>
      </c>
      <c r="T384" s="22">
        <f t="shared" si="534"/>
        <v>0.17950072011521845</v>
      </c>
      <c r="U384" s="22">
        <f t="shared" si="534"/>
        <v>1.8002880460873737E-2</v>
      </c>
      <c r="V384" s="22">
        <f t="shared" si="534"/>
        <v>2.7268362938070088E-2</v>
      </c>
      <c r="W384" s="22">
        <f t="shared" si="534"/>
        <v>0.11301008161305807</v>
      </c>
      <c r="X384" s="22">
        <f t="shared" si="534"/>
        <v>4.9591934709553524E-2</v>
      </c>
      <c r="Y384" s="384">
        <f t="shared" si="534"/>
        <v>1.9203072491598655E-4</v>
      </c>
    </row>
    <row r="385" spans="1:33" x14ac:dyDescent="0.35">
      <c r="A385" s="116" t="s">
        <v>20</v>
      </c>
      <c r="B385" s="22">
        <f t="shared" ref="B385:Y385" si="535">B365/$Z$365</f>
        <v>0</v>
      </c>
      <c r="C385" s="22">
        <f t="shared" si="535"/>
        <v>0</v>
      </c>
      <c r="D385" s="22">
        <f t="shared" si="535"/>
        <v>0</v>
      </c>
      <c r="E385" s="22">
        <f t="shared" si="535"/>
        <v>0</v>
      </c>
      <c r="F385" s="22">
        <f t="shared" si="535"/>
        <v>0</v>
      </c>
      <c r="G385" s="22">
        <f t="shared" si="535"/>
        <v>0</v>
      </c>
      <c r="H385" s="22">
        <f t="shared" si="535"/>
        <v>0</v>
      </c>
      <c r="I385" s="22">
        <f t="shared" si="535"/>
        <v>0</v>
      </c>
      <c r="J385" s="22">
        <f t="shared" si="535"/>
        <v>0</v>
      </c>
      <c r="K385" s="22">
        <f t="shared" si="535"/>
        <v>0</v>
      </c>
      <c r="L385" s="22">
        <f t="shared" si="535"/>
        <v>0</v>
      </c>
      <c r="M385" s="22">
        <f t="shared" si="535"/>
        <v>0</v>
      </c>
      <c r="N385" s="22">
        <f t="shared" si="535"/>
        <v>0</v>
      </c>
      <c r="O385" s="22">
        <f t="shared" si="535"/>
        <v>0</v>
      </c>
      <c r="P385" s="22">
        <f t="shared" si="535"/>
        <v>0</v>
      </c>
      <c r="Q385" s="22">
        <f t="shared" si="535"/>
        <v>0</v>
      </c>
      <c r="R385" s="22">
        <f t="shared" si="535"/>
        <v>0</v>
      </c>
      <c r="S385" s="22">
        <f t="shared" si="535"/>
        <v>0.75665399239543729</v>
      </c>
      <c r="T385" s="22">
        <f t="shared" si="535"/>
        <v>0.24334600760456276</v>
      </c>
      <c r="U385" s="22">
        <f t="shared" si="535"/>
        <v>0</v>
      </c>
      <c r="V385" s="22">
        <f t="shared" si="535"/>
        <v>0</v>
      </c>
      <c r="W385" s="22">
        <f t="shared" si="535"/>
        <v>0</v>
      </c>
      <c r="X385" s="22">
        <f t="shared" si="535"/>
        <v>0</v>
      </c>
      <c r="Y385" s="385">
        <f t="shared" si="535"/>
        <v>0</v>
      </c>
    </row>
    <row r="386" spans="1:33" x14ac:dyDescent="0.35">
      <c r="A386" s="116" t="s">
        <v>21</v>
      </c>
      <c r="B386" s="22">
        <f t="shared" ref="B386:Y386" si="536">B367/$Z$367</f>
        <v>0</v>
      </c>
      <c r="C386" s="22">
        <f t="shared" si="536"/>
        <v>0</v>
      </c>
      <c r="D386" s="22">
        <f t="shared" si="536"/>
        <v>0</v>
      </c>
      <c r="E386" s="22">
        <f t="shared" si="536"/>
        <v>0</v>
      </c>
      <c r="F386" s="22">
        <f t="shared" si="536"/>
        <v>0</v>
      </c>
      <c r="G386" s="22">
        <f t="shared" si="536"/>
        <v>0</v>
      </c>
      <c r="H386" s="22">
        <f t="shared" si="536"/>
        <v>0</v>
      </c>
      <c r="I386" s="22">
        <f t="shared" si="536"/>
        <v>0</v>
      </c>
      <c r="J386" s="22">
        <f t="shared" si="536"/>
        <v>0</v>
      </c>
      <c r="K386" s="22">
        <f t="shared" si="536"/>
        <v>0</v>
      </c>
      <c r="L386" s="22">
        <f t="shared" si="536"/>
        <v>0</v>
      </c>
      <c r="M386" s="22">
        <f t="shared" si="536"/>
        <v>0</v>
      </c>
      <c r="N386" s="22">
        <f t="shared" si="536"/>
        <v>0</v>
      </c>
      <c r="O386" s="22">
        <f t="shared" si="536"/>
        <v>0</v>
      </c>
      <c r="P386" s="22">
        <f t="shared" si="536"/>
        <v>0.20672037728433876</v>
      </c>
      <c r="Q386" s="22">
        <f t="shared" si="536"/>
        <v>0.1485557083906465</v>
      </c>
      <c r="R386" s="22">
        <f t="shared" si="536"/>
        <v>0.27942621340145413</v>
      </c>
      <c r="S386" s="22">
        <f t="shared" si="536"/>
        <v>0</v>
      </c>
      <c r="T386" s="22">
        <f t="shared" si="536"/>
        <v>0.16329337787384557</v>
      </c>
      <c r="U386" s="22">
        <f t="shared" si="536"/>
        <v>2.5348791511102378E-2</v>
      </c>
      <c r="V386" s="22">
        <f t="shared" si="536"/>
        <v>0</v>
      </c>
      <c r="W386" s="22">
        <f t="shared" si="536"/>
        <v>0.1762625270190607</v>
      </c>
      <c r="X386" s="22">
        <f t="shared" si="536"/>
        <v>0</v>
      </c>
      <c r="Y386" s="384">
        <f t="shared" si="536"/>
        <v>3.9300451955197487E-4</v>
      </c>
    </row>
    <row r="387" spans="1:33" x14ac:dyDescent="0.35">
      <c r="A387" s="116" t="s">
        <v>22</v>
      </c>
      <c r="B387" s="22">
        <f t="shared" ref="B387:Y387" si="537">B369/$Z$369</f>
        <v>0</v>
      </c>
      <c r="C387" s="22">
        <f t="shared" si="537"/>
        <v>0</v>
      </c>
      <c r="D387" s="22">
        <f t="shared" si="537"/>
        <v>0</v>
      </c>
      <c r="E387" s="22">
        <f t="shared" si="537"/>
        <v>0</v>
      </c>
      <c r="F387" s="22">
        <f t="shared" si="537"/>
        <v>0</v>
      </c>
      <c r="G387" s="22">
        <f t="shared" si="537"/>
        <v>0</v>
      </c>
      <c r="H387" s="22">
        <f t="shared" si="537"/>
        <v>0</v>
      </c>
      <c r="I387" s="22">
        <f t="shared" si="537"/>
        <v>0</v>
      </c>
      <c r="J387" s="22">
        <f t="shared" si="537"/>
        <v>0</v>
      </c>
      <c r="K387" s="22">
        <f t="shared" si="537"/>
        <v>0</v>
      </c>
      <c r="L387" s="22">
        <f t="shared" si="537"/>
        <v>0</v>
      </c>
      <c r="M387" s="22">
        <f t="shared" si="537"/>
        <v>3.5374239619148386E-3</v>
      </c>
      <c r="N387" s="22">
        <f t="shared" si="537"/>
        <v>0</v>
      </c>
      <c r="O387" s="22">
        <f t="shared" si="537"/>
        <v>0</v>
      </c>
      <c r="P387" s="22">
        <f t="shared" si="537"/>
        <v>2.5588468659084908E-2</v>
      </c>
      <c r="Q387" s="22">
        <f t="shared" si="537"/>
        <v>4.6548532134356002E-2</v>
      </c>
      <c r="R387" s="22">
        <f t="shared" si="537"/>
        <v>0.41344882306268199</v>
      </c>
      <c r="S387" s="22">
        <f t="shared" si="537"/>
        <v>0.12711584236974349</v>
      </c>
      <c r="T387" s="22">
        <f t="shared" si="537"/>
        <v>0.15197699021422909</v>
      </c>
      <c r="U387" s="22">
        <f t="shared" si="537"/>
        <v>7.7624966939963E-2</v>
      </c>
      <c r="V387" s="22">
        <f t="shared" si="537"/>
        <v>1.6563078550647981E-2</v>
      </c>
      <c r="W387" s="22">
        <f t="shared" si="537"/>
        <v>8.7906638455435115E-2</v>
      </c>
      <c r="X387" s="22">
        <f t="shared" si="537"/>
        <v>4.9623115577889454E-2</v>
      </c>
      <c r="Y387" s="384">
        <f t="shared" si="537"/>
        <v>6.6120074054482961E-5</v>
      </c>
    </row>
    <row r="388" spans="1:33" x14ac:dyDescent="0.35">
      <c r="A388" s="116" t="s">
        <v>23</v>
      </c>
      <c r="B388" s="22">
        <f t="shared" ref="B388:Y388" si="538">B371/$Z$371</f>
        <v>0</v>
      </c>
      <c r="C388" s="22">
        <f t="shared" si="538"/>
        <v>0</v>
      </c>
      <c r="D388" s="22">
        <f t="shared" si="538"/>
        <v>0</v>
      </c>
      <c r="E388" s="22">
        <f t="shared" si="538"/>
        <v>0</v>
      </c>
      <c r="F388" s="22">
        <f t="shared" si="538"/>
        <v>0</v>
      </c>
      <c r="G388" s="22">
        <f t="shared" si="538"/>
        <v>0</v>
      </c>
      <c r="H388" s="22">
        <f t="shared" si="538"/>
        <v>0</v>
      </c>
      <c r="I388" s="22">
        <f t="shared" si="538"/>
        <v>0</v>
      </c>
      <c r="J388" s="22">
        <f t="shared" si="538"/>
        <v>0</v>
      </c>
      <c r="K388" s="22">
        <f t="shared" si="538"/>
        <v>0</v>
      </c>
      <c r="L388" s="22">
        <f t="shared" si="538"/>
        <v>0</v>
      </c>
      <c r="M388" s="22">
        <f t="shared" si="538"/>
        <v>0</v>
      </c>
      <c r="N388" s="22">
        <f t="shared" si="538"/>
        <v>0</v>
      </c>
      <c r="O388" s="22">
        <f t="shared" si="538"/>
        <v>0</v>
      </c>
      <c r="P388" s="22">
        <f t="shared" si="538"/>
        <v>0</v>
      </c>
      <c r="Q388" s="22">
        <f t="shared" si="538"/>
        <v>0</v>
      </c>
      <c r="R388" s="22">
        <f t="shared" si="538"/>
        <v>0</v>
      </c>
      <c r="S388" s="22">
        <f t="shared" si="538"/>
        <v>0</v>
      </c>
      <c r="T388" s="22">
        <f t="shared" si="538"/>
        <v>0</v>
      </c>
      <c r="U388" s="22">
        <f t="shared" si="538"/>
        <v>0</v>
      </c>
      <c r="V388" s="22">
        <f t="shared" si="538"/>
        <v>0</v>
      </c>
      <c r="W388" s="22">
        <f t="shared" si="538"/>
        <v>0</v>
      </c>
      <c r="X388" s="22">
        <f t="shared" si="538"/>
        <v>1</v>
      </c>
      <c r="Y388" s="385">
        <f t="shared" si="538"/>
        <v>0</v>
      </c>
    </row>
    <row r="389" spans="1:33" x14ac:dyDescent="0.35">
      <c r="A389" s="116" t="s">
        <v>25</v>
      </c>
      <c r="B389" s="22">
        <f t="shared" ref="B389:Y389" si="539">B373/$Z$373</f>
        <v>8.3560498777758962E-3</v>
      </c>
      <c r="C389" s="22">
        <f t="shared" si="539"/>
        <v>1.1313748751667241E-2</v>
      </c>
      <c r="D389" s="22">
        <f t="shared" si="539"/>
        <v>6.0360419880255813E-3</v>
      </c>
      <c r="E389" s="22">
        <f t="shared" si="539"/>
        <v>5.3073890767172905E-3</v>
      </c>
      <c r="F389" s="22">
        <f t="shared" si="539"/>
        <v>2.9711037894738861E-3</v>
      </c>
      <c r="G389" s="22">
        <f t="shared" si="539"/>
        <v>7.3229138839498173E-3</v>
      </c>
      <c r="H389" s="22">
        <f t="shared" si="539"/>
        <v>3.488150533372016E-3</v>
      </c>
      <c r="I389" s="22">
        <f t="shared" si="539"/>
        <v>7.8820903625359418E-3</v>
      </c>
      <c r="J389" s="22">
        <f t="shared" si="539"/>
        <v>4.7214027669660761E-3</v>
      </c>
      <c r="K389" s="22">
        <f t="shared" si="539"/>
        <v>5.6693217974459814E-3</v>
      </c>
      <c r="L389" s="22">
        <f t="shared" si="539"/>
        <v>1.1567484653765395E-2</v>
      </c>
      <c r="M389" s="22">
        <f t="shared" si="539"/>
        <v>1.3433640401649573E-2</v>
      </c>
      <c r="N389" s="22">
        <f t="shared" si="539"/>
        <v>2.110603958471572E-2</v>
      </c>
      <c r="O389" s="22">
        <f t="shared" si="539"/>
        <v>1.7789280472006227E-2</v>
      </c>
      <c r="P389" s="22">
        <f t="shared" si="539"/>
        <v>2.8161812650984833E-2</v>
      </c>
      <c r="Q389" s="22">
        <f t="shared" si="539"/>
        <v>3.3485479125195214E-2</v>
      </c>
      <c r="R389" s="22">
        <f t="shared" si="539"/>
        <v>7.8395776302598766E-2</v>
      </c>
      <c r="S389" s="22">
        <f t="shared" si="539"/>
        <v>0.1151434373842031</v>
      </c>
      <c r="T389" s="22">
        <f t="shared" si="539"/>
        <v>0.13315964392714238</v>
      </c>
      <c r="U389" s="22">
        <f t="shared" si="539"/>
        <v>0.14477308829147653</v>
      </c>
      <c r="V389" s="22">
        <f t="shared" si="539"/>
        <v>0.13164871844219567</v>
      </c>
      <c r="W389" s="22">
        <f t="shared" si="539"/>
        <v>0.10843044715925904</v>
      </c>
      <c r="X389" s="22">
        <f t="shared" si="539"/>
        <v>9.9551605573763913E-2</v>
      </c>
      <c r="Y389" s="384">
        <f t="shared" si="539"/>
        <v>2.8533320311415345E-4</v>
      </c>
    </row>
    <row r="391" spans="1:33" ht="15" x14ac:dyDescent="0.35">
      <c r="A391" s="284" t="s">
        <v>67</v>
      </c>
      <c r="B391" s="284"/>
    </row>
    <row r="392" spans="1:33" ht="15.5" x14ac:dyDescent="0.35">
      <c r="A392" s="288" t="s">
        <v>98</v>
      </c>
      <c r="AB392" s="111"/>
    </row>
    <row r="394" spans="1:33" ht="39" x14ac:dyDescent="0.35">
      <c r="A394" s="125" t="s">
        <v>88</v>
      </c>
      <c r="B394" s="125" t="s">
        <v>89</v>
      </c>
      <c r="C394" s="125">
        <v>2000</v>
      </c>
      <c r="D394" s="125">
        <v>2001</v>
      </c>
      <c r="E394" s="125">
        <v>2002</v>
      </c>
      <c r="F394" s="125">
        <v>2003</v>
      </c>
      <c r="G394" s="125">
        <v>2004</v>
      </c>
      <c r="H394" s="125">
        <v>2005</v>
      </c>
      <c r="I394" s="125">
        <v>2006</v>
      </c>
      <c r="J394" s="125">
        <v>2007</v>
      </c>
      <c r="K394" s="125">
        <v>2008</v>
      </c>
      <c r="L394" s="125">
        <v>2009</v>
      </c>
      <c r="M394" s="125">
        <v>2010</v>
      </c>
      <c r="N394" s="125">
        <v>2011</v>
      </c>
      <c r="O394" s="125">
        <v>2012</v>
      </c>
      <c r="P394" s="125">
        <v>2013</v>
      </c>
      <c r="Q394" s="125">
        <v>2014</v>
      </c>
      <c r="R394" s="125">
        <v>2015</v>
      </c>
      <c r="S394" s="125">
        <v>2016</v>
      </c>
      <c r="T394" s="125">
        <v>2017</v>
      </c>
      <c r="U394" s="125">
        <v>2018</v>
      </c>
      <c r="V394" s="125">
        <v>2019</v>
      </c>
      <c r="W394" s="125">
        <v>2020</v>
      </c>
      <c r="X394" s="125">
        <v>2021</v>
      </c>
      <c r="Y394" s="125" t="s">
        <v>90</v>
      </c>
      <c r="Z394" s="125" t="s">
        <v>91</v>
      </c>
      <c r="AA394" s="126" t="s">
        <v>92</v>
      </c>
      <c r="AC394" s="127" t="s">
        <v>110</v>
      </c>
      <c r="AD394" s="127" t="s">
        <v>108</v>
      </c>
      <c r="AE394" s="127" t="s">
        <v>94</v>
      </c>
      <c r="AF394" s="127" t="s">
        <v>96</v>
      </c>
      <c r="AG394" s="127" t="s">
        <v>97</v>
      </c>
    </row>
    <row r="395" spans="1:33" x14ac:dyDescent="0.35">
      <c r="A395" s="11" t="s">
        <v>5</v>
      </c>
      <c r="B395" s="119"/>
      <c r="C395" s="119"/>
      <c r="D395" s="119"/>
      <c r="E395" s="119"/>
      <c r="F395" s="119"/>
      <c r="G395" s="119"/>
      <c r="H395" s="119">
        <f t="shared" ref="H395:Z395" si="540">SUM(H396:H403)</f>
        <v>10.06</v>
      </c>
      <c r="I395" s="119">
        <f t="shared" si="540"/>
        <v>1.27</v>
      </c>
      <c r="J395" s="119"/>
      <c r="K395" s="119"/>
      <c r="L395" s="119">
        <f t="shared" si="540"/>
        <v>2.73</v>
      </c>
      <c r="M395" s="119">
        <f t="shared" si="540"/>
        <v>0.56999999999999995</v>
      </c>
      <c r="N395" s="119">
        <f t="shared" si="540"/>
        <v>15.43</v>
      </c>
      <c r="O395" s="119">
        <f t="shared" si="540"/>
        <v>13.46</v>
      </c>
      <c r="P395" s="119">
        <f t="shared" si="540"/>
        <v>0</v>
      </c>
      <c r="Q395" s="119">
        <f t="shared" si="540"/>
        <v>97.36</v>
      </c>
      <c r="R395" s="119">
        <f t="shared" si="540"/>
        <v>29.11</v>
      </c>
      <c r="S395" s="119">
        <f t="shared" si="540"/>
        <v>6.78</v>
      </c>
      <c r="T395" s="119">
        <f t="shared" si="540"/>
        <v>10.220000000000001</v>
      </c>
      <c r="U395" s="119">
        <f t="shared" si="540"/>
        <v>35.44</v>
      </c>
      <c r="V395" s="119">
        <f t="shared" si="540"/>
        <v>18.07</v>
      </c>
      <c r="W395" s="119">
        <f t="shared" si="540"/>
        <v>11.84</v>
      </c>
      <c r="X395" s="119">
        <f t="shared" si="540"/>
        <v>32.74</v>
      </c>
      <c r="Y395" s="131">
        <f t="shared" si="540"/>
        <v>0.02</v>
      </c>
      <c r="Z395" s="119">
        <f t="shared" si="540"/>
        <v>285.38</v>
      </c>
      <c r="AA395" s="144">
        <f t="shared" ref="AA395:AA426" si="541">Z395/$Z$446</f>
        <v>8.3865488431687743E-2</v>
      </c>
      <c r="AC395" s="119">
        <f t="shared" ref="AC395:AC426" si="542">SUM(B395:U395)</f>
        <v>222.43</v>
      </c>
      <c r="AD395" s="119">
        <f t="shared" ref="AD395:AD426" si="543">SUM(V395:X395)</f>
        <v>62.650000000000006</v>
      </c>
      <c r="AE395" s="131">
        <f>Y395</f>
        <v>0.02</v>
      </c>
      <c r="AF395" s="119">
        <f>SUM(AC395:AE395)</f>
        <v>285.10000000000002</v>
      </c>
      <c r="AG395" s="143">
        <f>AD395/AF395</f>
        <v>0.21974745703262014</v>
      </c>
    </row>
    <row r="396" spans="1:33" x14ac:dyDescent="0.35">
      <c r="A396" s="15" t="s">
        <v>6</v>
      </c>
      <c r="B396" s="12"/>
      <c r="C396" s="12"/>
      <c r="D396" s="12"/>
      <c r="E396" s="12"/>
      <c r="F396" s="12"/>
      <c r="G396" s="12"/>
      <c r="H396" s="12"/>
      <c r="I396" s="12"/>
      <c r="J396" s="12"/>
      <c r="K396" s="12"/>
      <c r="L396" s="12"/>
      <c r="M396" s="12"/>
      <c r="N396" s="12"/>
      <c r="O396" s="12"/>
      <c r="P396" s="12"/>
      <c r="Q396" s="12"/>
      <c r="R396" s="54">
        <v>0.14000000000000001</v>
      </c>
      <c r="S396" s="12"/>
      <c r="T396" s="12"/>
      <c r="U396" s="12"/>
      <c r="V396" s="12"/>
      <c r="W396" s="12"/>
      <c r="X396" s="12">
        <v>0.36</v>
      </c>
      <c r="Y396" s="54"/>
      <c r="Z396" s="12">
        <f>SUM(B396:Y396)</f>
        <v>0.5</v>
      </c>
      <c r="AA396" s="150">
        <f t="shared" si="541"/>
        <v>1.4693652048442031E-4</v>
      </c>
      <c r="AC396" s="12">
        <f t="shared" si="542"/>
        <v>0.14000000000000001</v>
      </c>
      <c r="AD396" s="12">
        <f t="shared" si="543"/>
        <v>0.36</v>
      </c>
      <c r="AE396" s="12">
        <f t="shared" ref="AE396:AE446" si="544">Y396</f>
        <v>0</v>
      </c>
      <c r="AF396" s="12">
        <f>SUM(AC396:AE396)</f>
        <v>0.5</v>
      </c>
      <c r="AG396" s="150">
        <f>AD396/AF396</f>
        <v>0.72</v>
      </c>
    </row>
    <row r="397" spans="1:33" x14ac:dyDescent="0.35">
      <c r="A397" s="16" t="s">
        <v>7</v>
      </c>
      <c r="B397" s="54"/>
      <c r="C397" s="12"/>
      <c r="D397" s="12"/>
      <c r="E397" s="12"/>
      <c r="F397" s="12"/>
      <c r="G397" s="12"/>
      <c r="H397" s="12"/>
      <c r="I397" s="12"/>
      <c r="J397" s="12"/>
      <c r="K397" s="12"/>
      <c r="L397" s="12"/>
      <c r="M397" s="12"/>
      <c r="N397" s="12"/>
      <c r="O397" s="12"/>
      <c r="P397" s="12"/>
      <c r="Q397" s="12"/>
      <c r="R397" s="12"/>
      <c r="S397" s="12"/>
      <c r="T397" s="12"/>
      <c r="U397" s="54"/>
      <c r="V397" s="12"/>
      <c r="W397" s="12">
        <v>1.26</v>
      </c>
      <c r="X397" s="12">
        <v>7.07</v>
      </c>
      <c r="Y397" s="12"/>
      <c r="Z397" s="12">
        <f>SUM(B397:Y397)</f>
        <v>8.33</v>
      </c>
      <c r="AA397" s="150">
        <f t="shared" si="541"/>
        <v>2.4479624312704427E-3</v>
      </c>
      <c r="AB397" s="133"/>
      <c r="AC397" s="12">
        <f t="shared" si="542"/>
        <v>0</v>
      </c>
      <c r="AD397" s="12">
        <f t="shared" si="543"/>
        <v>8.33</v>
      </c>
      <c r="AE397" s="12">
        <f t="shared" si="544"/>
        <v>0</v>
      </c>
      <c r="AF397" s="12">
        <f t="shared" ref="AF397:AF407" si="545">SUM(AC397:AE397)</f>
        <v>8.33</v>
      </c>
      <c r="AG397" s="150">
        <f t="shared" ref="AG397:AG437" si="546">AD397/AF397</f>
        <v>1</v>
      </c>
    </row>
    <row r="398" spans="1:33" x14ac:dyDescent="0.35">
      <c r="A398" s="16" t="s">
        <v>8</v>
      </c>
      <c r="B398" s="54"/>
      <c r="C398" s="54"/>
      <c r="D398" s="54"/>
      <c r="E398" s="54"/>
      <c r="F398" s="54"/>
      <c r="G398" s="54"/>
      <c r="H398" s="54"/>
      <c r="I398" s="54"/>
      <c r="J398" s="54"/>
      <c r="K398" s="54"/>
      <c r="L398" s="54"/>
      <c r="M398" s="54"/>
      <c r="N398" s="54"/>
      <c r="O398" s="12">
        <v>11.33</v>
      </c>
      <c r="P398" s="12"/>
      <c r="Q398" s="12"/>
      <c r="R398" s="12">
        <v>28.97</v>
      </c>
      <c r="S398" s="12">
        <v>6.34</v>
      </c>
      <c r="T398" s="12">
        <v>1.21</v>
      </c>
      <c r="U398" s="12">
        <v>18.89</v>
      </c>
      <c r="V398" s="12"/>
      <c r="W398" s="12">
        <v>0.78</v>
      </c>
      <c r="X398" s="12">
        <v>3.2</v>
      </c>
      <c r="Y398" s="12"/>
      <c r="Z398" s="12">
        <f>SUM(B398:Y398)</f>
        <v>70.720000000000013</v>
      </c>
      <c r="AA398" s="150">
        <f t="shared" si="541"/>
        <v>2.0782701457316415E-2</v>
      </c>
      <c r="AB398" s="136"/>
      <c r="AC398" s="12">
        <f t="shared" si="542"/>
        <v>66.740000000000009</v>
      </c>
      <c r="AD398" s="12">
        <f t="shared" si="543"/>
        <v>3.9800000000000004</v>
      </c>
      <c r="AE398" s="12">
        <f t="shared" si="544"/>
        <v>0</v>
      </c>
      <c r="AF398" s="12">
        <f t="shared" si="545"/>
        <v>70.720000000000013</v>
      </c>
      <c r="AG398" s="150">
        <f t="shared" si="546"/>
        <v>5.627828054298642E-2</v>
      </c>
    </row>
    <row r="399" spans="1:33" x14ac:dyDescent="0.35">
      <c r="A399" s="16" t="s">
        <v>26</v>
      </c>
      <c r="B399" s="12"/>
      <c r="C399" s="12"/>
      <c r="D399" s="12"/>
      <c r="E399" s="12"/>
      <c r="F399" s="12"/>
      <c r="G399" s="12"/>
      <c r="H399" s="12"/>
      <c r="I399" s="12"/>
      <c r="J399" s="12"/>
      <c r="K399" s="54">
        <v>0.28000000000000003</v>
      </c>
      <c r="L399" s="12"/>
      <c r="M399" s="54">
        <v>0.08</v>
      </c>
      <c r="N399" s="12">
        <v>6.38</v>
      </c>
      <c r="O399" s="12">
        <v>2.13</v>
      </c>
      <c r="P399" s="12"/>
      <c r="Q399" s="12">
        <v>97.36</v>
      </c>
      <c r="R399" s="12"/>
      <c r="S399" s="54">
        <v>0.44</v>
      </c>
      <c r="T399" s="12">
        <v>7.2900000000000009</v>
      </c>
      <c r="U399" s="12">
        <v>8</v>
      </c>
      <c r="V399" s="12">
        <v>18.07</v>
      </c>
      <c r="W399" s="12">
        <v>9.7999999999999989</v>
      </c>
      <c r="X399" s="12">
        <v>4.2</v>
      </c>
      <c r="Y399" s="54">
        <v>0.02</v>
      </c>
      <c r="Z399" s="12">
        <f>SUM(B399:Y399)</f>
        <v>154.05000000000001</v>
      </c>
      <c r="AA399" s="150">
        <f t="shared" si="541"/>
        <v>4.5271141961249907E-2</v>
      </c>
      <c r="AB399" s="136"/>
      <c r="AC399" s="12">
        <f t="shared" si="542"/>
        <v>121.96000000000001</v>
      </c>
      <c r="AD399" s="12">
        <f t="shared" si="543"/>
        <v>32.07</v>
      </c>
      <c r="AE399" s="54">
        <f t="shared" si="544"/>
        <v>0.02</v>
      </c>
      <c r="AF399" s="12">
        <f t="shared" si="545"/>
        <v>154.05000000000001</v>
      </c>
      <c r="AG399" s="150">
        <f t="shared" si="546"/>
        <v>0.20817916260954233</v>
      </c>
    </row>
    <row r="400" spans="1:33" x14ac:dyDescent="0.35">
      <c r="A400" s="16" t="s">
        <v>27</v>
      </c>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v>0</v>
      </c>
      <c r="AA400" s="150">
        <f t="shared" si="541"/>
        <v>0</v>
      </c>
      <c r="AB400" s="136"/>
      <c r="AC400" s="12">
        <f t="shared" si="542"/>
        <v>0</v>
      </c>
      <c r="AD400" s="12">
        <f t="shared" si="543"/>
        <v>0</v>
      </c>
      <c r="AE400" s="12">
        <f t="shared" si="544"/>
        <v>0</v>
      </c>
      <c r="AF400" s="12">
        <f t="shared" si="545"/>
        <v>0</v>
      </c>
      <c r="AG400" s="150"/>
    </row>
    <row r="401" spans="1:43" x14ac:dyDescent="0.35">
      <c r="A401" s="16" t="s">
        <v>28</v>
      </c>
      <c r="B401" s="12"/>
      <c r="C401" s="12"/>
      <c r="D401" s="12"/>
      <c r="E401" s="12"/>
      <c r="F401" s="12"/>
      <c r="G401" s="12"/>
      <c r="H401" s="12"/>
      <c r="I401" s="12"/>
      <c r="J401" s="12"/>
      <c r="K401" s="12"/>
      <c r="L401" s="12"/>
      <c r="M401" s="54"/>
      <c r="N401" s="12">
        <v>9.0500000000000007</v>
      </c>
      <c r="O401" s="12"/>
      <c r="P401" s="12"/>
      <c r="Q401" s="12"/>
      <c r="R401" s="12"/>
      <c r="S401" s="12"/>
      <c r="T401" s="12"/>
      <c r="U401" s="12">
        <v>3.6399999999999997</v>
      </c>
      <c r="V401" s="12"/>
      <c r="W401" s="12"/>
      <c r="X401" s="12"/>
      <c r="Y401" s="12"/>
      <c r="Z401" s="12">
        <f>SUM(B401:Y401)</f>
        <v>12.690000000000001</v>
      </c>
      <c r="AA401" s="150">
        <f t="shared" si="541"/>
        <v>3.7292488898945883E-3</v>
      </c>
      <c r="AB401" s="133"/>
      <c r="AC401" s="12">
        <f t="shared" si="542"/>
        <v>12.690000000000001</v>
      </c>
      <c r="AD401" s="12">
        <f t="shared" si="543"/>
        <v>0</v>
      </c>
      <c r="AE401" s="12">
        <f t="shared" si="544"/>
        <v>0</v>
      </c>
      <c r="AF401" s="12">
        <f t="shared" si="545"/>
        <v>12.690000000000001</v>
      </c>
      <c r="AG401" s="150">
        <f t="shared" si="546"/>
        <v>0</v>
      </c>
    </row>
    <row r="402" spans="1:43" x14ac:dyDescent="0.35">
      <c r="A402" s="16" t="s">
        <v>29</v>
      </c>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v>0</v>
      </c>
      <c r="AA402" s="150">
        <f t="shared" si="541"/>
        <v>0</v>
      </c>
      <c r="AB402" s="136"/>
      <c r="AC402" s="12">
        <f t="shared" si="542"/>
        <v>0</v>
      </c>
      <c r="AD402" s="12">
        <f t="shared" si="543"/>
        <v>0</v>
      </c>
      <c r="AE402" s="12">
        <f t="shared" si="544"/>
        <v>0</v>
      </c>
      <c r="AF402" s="12">
        <f t="shared" si="545"/>
        <v>0</v>
      </c>
      <c r="AG402" s="150"/>
    </row>
    <row r="403" spans="1:43" x14ac:dyDescent="0.35">
      <c r="A403" s="16" t="s">
        <v>30</v>
      </c>
      <c r="B403" s="12"/>
      <c r="C403" s="12"/>
      <c r="D403" s="12"/>
      <c r="E403" s="12"/>
      <c r="F403" s="12"/>
      <c r="G403" s="12"/>
      <c r="H403" s="12">
        <v>10.06</v>
      </c>
      <c r="I403" s="12">
        <v>1.27</v>
      </c>
      <c r="J403" s="12"/>
      <c r="K403" s="12"/>
      <c r="L403" s="12">
        <v>2.73</v>
      </c>
      <c r="M403" s="54">
        <v>0.49</v>
      </c>
      <c r="N403" s="12"/>
      <c r="O403" s="12"/>
      <c r="P403" s="12"/>
      <c r="Q403" s="12"/>
      <c r="R403" s="12"/>
      <c r="S403" s="12"/>
      <c r="T403" s="12">
        <v>1.72</v>
      </c>
      <c r="U403" s="12">
        <v>4.91</v>
      </c>
      <c r="V403" s="12"/>
      <c r="W403" s="12"/>
      <c r="X403" s="12">
        <v>17.91</v>
      </c>
      <c r="Y403" s="12"/>
      <c r="Z403" s="12">
        <f>SUM(B403:Y403)</f>
        <v>39.090000000000003</v>
      </c>
      <c r="AA403" s="150">
        <f t="shared" si="541"/>
        <v>1.1487497171471982E-2</v>
      </c>
      <c r="AB403" s="136"/>
      <c r="AC403" s="12">
        <f t="shared" si="542"/>
        <v>21.18</v>
      </c>
      <c r="AD403" s="12">
        <f t="shared" si="543"/>
        <v>17.91</v>
      </c>
      <c r="AE403" s="12">
        <f t="shared" si="544"/>
        <v>0</v>
      </c>
      <c r="AF403" s="12">
        <f t="shared" si="545"/>
        <v>39.090000000000003</v>
      </c>
      <c r="AG403" s="150">
        <f t="shared" si="546"/>
        <v>0.45817344589409054</v>
      </c>
    </row>
    <row r="404" spans="1:43" x14ac:dyDescent="0.35">
      <c r="A404" s="11" t="s">
        <v>12</v>
      </c>
      <c r="B404" s="119">
        <f>SUM(B405:B407)</f>
        <v>2.2799999999999998</v>
      </c>
      <c r="C404" s="119"/>
      <c r="D404" s="119"/>
      <c r="E404" s="119"/>
      <c r="F404" s="119"/>
      <c r="G404" s="119"/>
      <c r="H404" s="119"/>
      <c r="I404" s="119"/>
      <c r="J404" s="119"/>
      <c r="K404" s="119"/>
      <c r="L404" s="119"/>
      <c r="M404" s="119"/>
      <c r="N404" s="119"/>
      <c r="O404" s="119"/>
      <c r="P404" s="119"/>
      <c r="Q404" s="119"/>
      <c r="R404" s="119"/>
      <c r="S404" s="119">
        <f>SUM(S405:S407)</f>
        <v>0.56000000000000005</v>
      </c>
      <c r="T404" s="119"/>
      <c r="U404" s="119">
        <f>SUM(U405:U407)</f>
        <v>15.850000000000001</v>
      </c>
      <c r="V404" s="119">
        <f>SUM(V405:V407)</f>
        <v>4.03</v>
      </c>
      <c r="W404" s="119">
        <f>SUM(W405:W407)</f>
        <v>12.09</v>
      </c>
      <c r="X404" s="119">
        <f>SUM(X405:X407)</f>
        <v>4.1300000000000008</v>
      </c>
      <c r="Y404" s="119"/>
      <c r="Z404" s="119">
        <f>SUM(Z405:Z407)</f>
        <v>38.94</v>
      </c>
      <c r="AA404" s="144">
        <f t="shared" si="541"/>
        <v>1.1443416215326654E-2</v>
      </c>
      <c r="AB404" s="136"/>
      <c r="AC404" s="119">
        <f t="shared" si="542"/>
        <v>18.690000000000001</v>
      </c>
      <c r="AD404" s="119">
        <f t="shared" si="543"/>
        <v>20.25</v>
      </c>
      <c r="AE404" s="119">
        <f t="shared" si="544"/>
        <v>0</v>
      </c>
      <c r="AF404" s="119">
        <f>SUM(AC404:AE404)</f>
        <v>38.94</v>
      </c>
      <c r="AG404" s="143">
        <f>AD404/AF404</f>
        <v>0.52003081664098616</v>
      </c>
    </row>
    <row r="405" spans="1:43" x14ac:dyDescent="0.35">
      <c r="A405" s="6" t="s">
        <v>31</v>
      </c>
      <c r="B405" s="12"/>
      <c r="C405" s="12"/>
      <c r="D405" s="12"/>
      <c r="E405" s="12"/>
      <c r="F405" s="54"/>
      <c r="G405" s="12"/>
      <c r="H405" s="12"/>
      <c r="I405" s="12"/>
      <c r="J405" s="12"/>
      <c r="K405" s="12"/>
      <c r="L405" s="12"/>
      <c r="M405" s="12"/>
      <c r="N405" s="12"/>
      <c r="O405" s="12"/>
      <c r="P405" s="12"/>
      <c r="Q405" s="12"/>
      <c r="R405" s="12"/>
      <c r="S405" s="12"/>
      <c r="T405" s="12"/>
      <c r="U405" s="12"/>
      <c r="V405" s="12"/>
      <c r="W405" s="12"/>
      <c r="X405" s="12"/>
      <c r="Y405" s="54"/>
      <c r="Z405" s="12">
        <v>0</v>
      </c>
      <c r="AA405" s="150">
        <f t="shared" si="541"/>
        <v>0</v>
      </c>
      <c r="AB405" s="133"/>
      <c r="AC405" s="12">
        <f t="shared" si="542"/>
        <v>0</v>
      </c>
      <c r="AD405" s="12">
        <f t="shared" si="543"/>
        <v>0</v>
      </c>
      <c r="AE405" s="12">
        <f t="shared" si="544"/>
        <v>0</v>
      </c>
      <c r="AF405" s="12">
        <f t="shared" si="545"/>
        <v>0</v>
      </c>
      <c r="AG405" s="150"/>
    </row>
    <row r="406" spans="1:43" x14ac:dyDescent="0.35">
      <c r="A406" s="6" t="s">
        <v>32</v>
      </c>
      <c r="B406" s="12"/>
      <c r="C406" s="12"/>
      <c r="D406" s="12"/>
      <c r="E406" s="12"/>
      <c r="F406" s="12"/>
      <c r="G406" s="12"/>
      <c r="H406" s="12"/>
      <c r="I406" s="12"/>
      <c r="J406" s="12"/>
      <c r="K406" s="12"/>
      <c r="L406" s="12"/>
      <c r="M406" s="12"/>
      <c r="N406" s="12"/>
      <c r="O406" s="12"/>
      <c r="P406" s="12"/>
      <c r="Q406" s="54"/>
      <c r="R406" s="12"/>
      <c r="S406" s="12">
        <v>0.45</v>
      </c>
      <c r="T406" s="12"/>
      <c r="U406" s="12"/>
      <c r="V406" s="12">
        <v>4.03</v>
      </c>
      <c r="W406" s="12"/>
      <c r="X406" s="12"/>
      <c r="Y406" s="54"/>
      <c r="Z406" s="12">
        <f>SUM(B406:Y406)</f>
        <v>4.4800000000000004</v>
      </c>
      <c r="AA406" s="150">
        <f t="shared" si="541"/>
        <v>1.3165512235404062E-3</v>
      </c>
      <c r="AB406" s="136"/>
      <c r="AC406" s="12">
        <f t="shared" si="542"/>
        <v>0.45</v>
      </c>
      <c r="AD406" s="12">
        <f t="shared" si="543"/>
        <v>4.03</v>
      </c>
      <c r="AE406" s="12">
        <f t="shared" si="544"/>
        <v>0</v>
      </c>
      <c r="AF406" s="12">
        <f t="shared" si="545"/>
        <v>4.4800000000000004</v>
      </c>
      <c r="AG406" s="150">
        <f t="shared" si="546"/>
        <v>0.8995535714285714</v>
      </c>
    </row>
    <row r="407" spans="1:43" x14ac:dyDescent="0.35">
      <c r="A407" s="6" t="s">
        <v>33</v>
      </c>
      <c r="B407" s="12">
        <v>2.2799999999999998</v>
      </c>
      <c r="C407" s="12"/>
      <c r="D407" s="12"/>
      <c r="E407" s="12"/>
      <c r="F407" s="12"/>
      <c r="G407" s="12"/>
      <c r="H407" s="12"/>
      <c r="I407" s="12"/>
      <c r="J407" s="12"/>
      <c r="K407" s="12"/>
      <c r="L407" s="12"/>
      <c r="M407" s="12"/>
      <c r="N407" s="12"/>
      <c r="O407" s="12"/>
      <c r="P407" s="12"/>
      <c r="Q407" s="12"/>
      <c r="R407" s="12"/>
      <c r="S407" s="12">
        <v>0.11</v>
      </c>
      <c r="T407" s="12"/>
      <c r="U407" s="12">
        <f>6.28+7.02+2.55</f>
        <v>15.850000000000001</v>
      </c>
      <c r="V407" s="12"/>
      <c r="W407" s="12">
        <v>12.09</v>
      </c>
      <c r="X407" s="12">
        <f>2.64+0.14+1.35</f>
        <v>4.1300000000000008</v>
      </c>
      <c r="Y407" s="12"/>
      <c r="Z407" s="12">
        <f>SUM(B407:Y407)</f>
        <v>34.46</v>
      </c>
      <c r="AA407" s="150">
        <f t="shared" si="541"/>
        <v>1.012686499178625E-2</v>
      </c>
      <c r="AB407" s="136"/>
      <c r="AC407" s="12">
        <f t="shared" si="542"/>
        <v>18.240000000000002</v>
      </c>
      <c r="AD407" s="12">
        <f t="shared" si="543"/>
        <v>16.22</v>
      </c>
      <c r="AE407" s="12">
        <f t="shared" si="544"/>
        <v>0</v>
      </c>
      <c r="AF407" s="12">
        <f t="shared" si="545"/>
        <v>34.46</v>
      </c>
      <c r="AG407" s="150">
        <f t="shared" si="546"/>
        <v>0.47069065583284964</v>
      </c>
    </row>
    <row r="408" spans="1:43" x14ac:dyDescent="0.35">
      <c r="A408" s="11" t="s">
        <v>13</v>
      </c>
      <c r="B408" s="119"/>
      <c r="C408" s="119"/>
      <c r="D408" s="119"/>
      <c r="E408" s="119"/>
      <c r="F408" s="119"/>
      <c r="G408" s="119"/>
      <c r="H408" s="119">
        <f>SUM(H409:H411)</f>
        <v>0.93</v>
      </c>
      <c r="I408" s="119"/>
      <c r="J408" s="119"/>
      <c r="K408" s="119"/>
      <c r="L408" s="119"/>
      <c r="M408" s="119"/>
      <c r="N408" s="119"/>
      <c r="O408" s="119"/>
      <c r="P408" s="119"/>
      <c r="Q408" s="119"/>
      <c r="R408" s="119"/>
      <c r="S408" s="119"/>
      <c r="T408" s="119">
        <f>SUM(T409:T411)</f>
        <v>5.03</v>
      </c>
      <c r="U408" s="119">
        <f>SUM(U409:U411)</f>
        <v>1.45</v>
      </c>
      <c r="V408" s="119"/>
      <c r="W408" s="119"/>
      <c r="X408" s="119"/>
      <c r="Y408" s="119"/>
      <c r="Z408" s="119">
        <f>SUM(Z409:Z411)</f>
        <v>7.41</v>
      </c>
      <c r="AA408" s="144">
        <f t="shared" si="541"/>
        <v>2.1775992335791093E-3</v>
      </c>
      <c r="AC408" s="119">
        <f t="shared" si="542"/>
        <v>7.41</v>
      </c>
      <c r="AD408" s="119">
        <f t="shared" si="543"/>
        <v>0</v>
      </c>
      <c r="AE408" s="119">
        <f t="shared" si="544"/>
        <v>0</v>
      </c>
      <c r="AF408" s="119">
        <f>SUM(AC408:AE408)</f>
        <v>7.41</v>
      </c>
      <c r="AG408" s="143">
        <f>AD408/AF408</f>
        <v>0</v>
      </c>
    </row>
    <row r="409" spans="1:43" x14ac:dyDescent="0.35">
      <c r="A409" s="6" t="s">
        <v>34</v>
      </c>
      <c r="B409" s="12"/>
      <c r="C409" s="12"/>
      <c r="D409" s="12"/>
      <c r="E409" s="12"/>
      <c r="F409" s="12"/>
      <c r="G409" s="12"/>
      <c r="H409" s="12">
        <v>0.93</v>
      </c>
      <c r="I409" s="12"/>
      <c r="J409" s="12"/>
      <c r="K409" s="12"/>
      <c r="L409" s="12"/>
      <c r="M409" s="12"/>
      <c r="N409" s="12"/>
      <c r="O409" s="12"/>
      <c r="P409" s="12"/>
      <c r="Q409" s="12"/>
      <c r="R409" s="12"/>
      <c r="S409" s="12"/>
      <c r="T409" s="12">
        <v>5.03</v>
      </c>
      <c r="U409" s="12">
        <v>1.45</v>
      </c>
      <c r="V409" s="12"/>
      <c r="W409" s="12"/>
      <c r="X409" s="12"/>
      <c r="Y409" s="12"/>
      <c r="Z409" s="12">
        <f>SUM(B409:Y409)</f>
        <v>7.41</v>
      </c>
      <c r="AA409" s="150">
        <f t="shared" si="541"/>
        <v>2.1775992335791093E-3</v>
      </c>
      <c r="AC409" s="12">
        <f t="shared" si="542"/>
        <v>7.41</v>
      </c>
      <c r="AD409" s="12">
        <f t="shared" si="543"/>
        <v>0</v>
      </c>
      <c r="AE409" s="12">
        <f t="shared" si="544"/>
        <v>0</v>
      </c>
      <c r="AF409" s="12">
        <f>SUM(AC409:AE409)</f>
        <v>7.41</v>
      </c>
      <c r="AG409" s="150">
        <f t="shared" si="546"/>
        <v>0</v>
      </c>
    </row>
    <row r="410" spans="1:43" x14ac:dyDescent="0.35">
      <c r="A410" s="6" t="s">
        <v>61</v>
      </c>
      <c r="B410" s="12"/>
      <c r="C410" s="54"/>
      <c r="D410" s="12"/>
      <c r="E410" s="12"/>
      <c r="F410" s="12"/>
      <c r="G410" s="12"/>
      <c r="H410" s="12"/>
      <c r="I410" s="12"/>
      <c r="J410" s="12"/>
      <c r="K410" s="12"/>
      <c r="L410" s="12"/>
      <c r="M410" s="12"/>
      <c r="N410" s="12"/>
      <c r="O410" s="12"/>
      <c r="P410" s="12"/>
      <c r="Q410" s="54"/>
      <c r="R410" s="12"/>
      <c r="S410" s="12"/>
      <c r="T410" s="12"/>
      <c r="U410" s="12"/>
      <c r="V410" s="12"/>
      <c r="W410" s="12"/>
      <c r="X410" s="12"/>
      <c r="Y410" s="12"/>
      <c r="Z410" s="12">
        <v>0</v>
      </c>
      <c r="AA410" s="150">
        <f t="shared" si="541"/>
        <v>0</v>
      </c>
      <c r="AC410" s="12">
        <f t="shared" si="542"/>
        <v>0</v>
      </c>
      <c r="AD410" s="12">
        <f t="shared" si="543"/>
        <v>0</v>
      </c>
      <c r="AE410" s="12">
        <f t="shared" si="544"/>
        <v>0</v>
      </c>
      <c r="AF410" s="12">
        <f>SUM(AC410:AE410)</f>
        <v>0</v>
      </c>
      <c r="AG410" s="150"/>
    </row>
    <row r="411" spans="1:43" x14ac:dyDescent="0.35">
      <c r="A411" s="6" t="s">
        <v>36</v>
      </c>
      <c r="B411" s="12"/>
      <c r="C411" s="12"/>
      <c r="D411" s="12"/>
      <c r="E411" s="12"/>
      <c r="F411" s="12"/>
      <c r="G411" s="12"/>
      <c r="H411" s="12"/>
      <c r="I411" s="12"/>
      <c r="J411" s="12"/>
      <c r="K411" s="12"/>
      <c r="L411" s="54"/>
      <c r="M411" s="12"/>
      <c r="N411" s="12"/>
      <c r="O411" s="12"/>
      <c r="P411" s="12"/>
      <c r="Q411" s="12"/>
      <c r="R411" s="12"/>
      <c r="S411" s="12"/>
      <c r="T411" s="12"/>
      <c r="U411" s="12"/>
      <c r="V411" s="12"/>
      <c r="W411" s="12"/>
      <c r="X411" s="12"/>
      <c r="Y411" s="12"/>
      <c r="Z411" s="12">
        <v>0</v>
      </c>
      <c r="AA411" s="150">
        <f t="shared" si="541"/>
        <v>0</v>
      </c>
      <c r="AC411" s="12">
        <f t="shared" si="542"/>
        <v>0</v>
      </c>
      <c r="AD411" s="12">
        <f t="shared" si="543"/>
        <v>0</v>
      </c>
      <c r="AE411" s="12">
        <f t="shared" si="544"/>
        <v>0</v>
      </c>
      <c r="AF411" s="12">
        <f>SUM(AC411:AE411)</f>
        <v>0</v>
      </c>
      <c r="AG411" s="150"/>
      <c r="AN411" s="342"/>
      <c r="AO411" s="342" t="s">
        <v>256</v>
      </c>
      <c r="AP411" s="342" t="s">
        <v>96</v>
      </c>
      <c r="AQ411" s="342" t="s">
        <v>257</v>
      </c>
    </row>
    <row r="412" spans="1:43" x14ac:dyDescent="0.35">
      <c r="A412" s="11" t="s">
        <v>14</v>
      </c>
      <c r="B412" s="119">
        <f>SUM(B413:B416)</f>
        <v>2.6799999999999997</v>
      </c>
      <c r="C412" s="119"/>
      <c r="D412" s="119"/>
      <c r="E412" s="119"/>
      <c r="F412" s="119"/>
      <c r="G412" s="119"/>
      <c r="H412" s="119"/>
      <c r="I412" s="119"/>
      <c r="J412" s="119"/>
      <c r="K412" s="119"/>
      <c r="L412" s="119"/>
      <c r="M412" s="119"/>
      <c r="N412" s="119"/>
      <c r="O412" s="119"/>
      <c r="P412" s="119"/>
      <c r="Q412" s="119"/>
      <c r="R412" s="119"/>
      <c r="S412" s="119">
        <f>SUM(S413:S416)</f>
        <v>8.379999999999999</v>
      </c>
      <c r="T412" s="119">
        <f>SUM(T413:T416)</f>
        <v>16.46</v>
      </c>
      <c r="U412" s="131">
        <f>SUM(U413:U416)</f>
        <v>0.1</v>
      </c>
      <c r="V412" s="119"/>
      <c r="W412" s="131">
        <f>SUM(W413:W416)</f>
        <v>0.48</v>
      </c>
      <c r="X412" s="119">
        <f>SUM(X413:X416)</f>
        <v>3.0999999999999996</v>
      </c>
      <c r="Y412" s="119"/>
      <c r="Z412" s="119">
        <f>SUM(Z413:Z416)</f>
        <v>31.199999999999996</v>
      </c>
      <c r="AA412" s="144">
        <f t="shared" si="541"/>
        <v>9.1688388782278276E-3</v>
      </c>
      <c r="AC412" s="119">
        <f t="shared" si="542"/>
        <v>27.62</v>
      </c>
      <c r="AD412" s="119">
        <f t="shared" si="543"/>
        <v>3.5799999999999996</v>
      </c>
      <c r="AE412" s="119">
        <f t="shared" si="544"/>
        <v>0</v>
      </c>
      <c r="AF412" s="119">
        <f>SUM(AC412:AE412)</f>
        <v>31.2</v>
      </c>
      <c r="AG412" s="143">
        <f>AD412/AF412</f>
        <v>0.11474358974358974</v>
      </c>
      <c r="AN412" s="406" t="s">
        <v>15</v>
      </c>
      <c r="AO412" s="12">
        <v>844.65</v>
      </c>
      <c r="AP412" s="12">
        <v>2482.46</v>
      </c>
      <c r="AQ412" s="190">
        <f>AO412/AP412</f>
        <v>0.3402471741740048</v>
      </c>
    </row>
    <row r="413" spans="1:43" x14ac:dyDescent="0.35">
      <c r="A413" s="6" t="s">
        <v>37</v>
      </c>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v>0</v>
      </c>
      <c r="AA413" s="150">
        <f t="shared" si="541"/>
        <v>0</v>
      </c>
      <c r="AC413" s="12">
        <f t="shared" si="542"/>
        <v>0</v>
      </c>
      <c r="AD413" s="12">
        <f t="shared" si="543"/>
        <v>0</v>
      </c>
      <c r="AE413" s="12">
        <f t="shared" si="544"/>
        <v>0</v>
      </c>
      <c r="AF413" s="12">
        <f t="shared" ref="AF413:AF436" si="547">SUM(AC413:AE413)</f>
        <v>0</v>
      </c>
      <c r="AG413" s="150"/>
      <c r="AI413" s="210" t="s">
        <v>255</v>
      </c>
      <c r="AN413" s="11" t="s">
        <v>5</v>
      </c>
      <c r="AO413" s="12">
        <v>62.650000000000006</v>
      </c>
      <c r="AP413" s="12">
        <v>285.10000000000002</v>
      </c>
      <c r="AQ413" s="190">
        <f t="shared" ref="AQ413" si="548">AO413/AP413</f>
        <v>0.21974745703262014</v>
      </c>
    </row>
    <row r="414" spans="1:43" x14ac:dyDescent="0.35">
      <c r="A414" s="6" t="s">
        <v>38</v>
      </c>
      <c r="B414" s="12"/>
      <c r="C414" s="54"/>
      <c r="D414" s="12"/>
      <c r="E414" s="12"/>
      <c r="F414" s="12"/>
      <c r="G414" s="12"/>
      <c r="H414" s="12"/>
      <c r="I414" s="12"/>
      <c r="J414" s="12"/>
      <c r="K414" s="12"/>
      <c r="L414" s="12"/>
      <c r="M414" s="12"/>
      <c r="N414" s="12"/>
      <c r="O414" s="12"/>
      <c r="P414" s="12"/>
      <c r="Q414" s="12"/>
      <c r="R414" s="12"/>
      <c r="S414" s="12"/>
      <c r="T414" s="12"/>
      <c r="U414" s="12"/>
      <c r="V414" s="12"/>
      <c r="W414" s="12"/>
      <c r="X414" s="12"/>
      <c r="Y414" s="12"/>
      <c r="Z414" s="12">
        <v>0</v>
      </c>
      <c r="AA414" s="150">
        <f t="shared" si="541"/>
        <v>0</v>
      </c>
      <c r="AC414" s="12">
        <f t="shared" si="542"/>
        <v>0</v>
      </c>
      <c r="AD414" s="12">
        <f t="shared" si="543"/>
        <v>0</v>
      </c>
      <c r="AE414" s="12">
        <f t="shared" si="544"/>
        <v>0</v>
      </c>
      <c r="AF414" s="12">
        <f t="shared" si="547"/>
        <v>0</v>
      </c>
      <c r="AG414" s="150"/>
      <c r="AJ414" t="s">
        <v>256</v>
      </c>
      <c r="AK414" t="s">
        <v>96</v>
      </c>
      <c r="AL414" t="s">
        <v>257</v>
      </c>
      <c r="AN414" s="406" t="s">
        <v>16</v>
      </c>
      <c r="AO414" s="12">
        <v>52.91</v>
      </c>
      <c r="AP414" s="12">
        <v>210.01</v>
      </c>
      <c r="AQ414" s="190">
        <f t="shared" ref="AQ414:AQ417" si="549">AO414/AP414</f>
        <v>0.25194038379124806</v>
      </c>
    </row>
    <row r="415" spans="1:43" x14ac:dyDescent="0.35">
      <c r="A415" s="6" t="s">
        <v>39</v>
      </c>
      <c r="B415" s="12">
        <v>0.11</v>
      </c>
      <c r="C415" s="12"/>
      <c r="D415" s="12"/>
      <c r="E415" s="12"/>
      <c r="F415" s="12"/>
      <c r="G415" s="12"/>
      <c r="H415" s="12"/>
      <c r="I415" s="12"/>
      <c r="J415" s="12"/>
      <c r="K415" s="12"/>
      <c r="L415" s="12"/>
      <c r="M415" s="12"/>
      <c r="N415" s="12"/>
      <c r="O415" s="12"/>
      <c r="P415" s="12"/>
      <c r="Q415" s="12"/>
      <c r="R415" s="12"/>
      <c r="S415" s="54">
        <v>0.01</v>
      </c>
      <c r="T415" s="12">
        <v>12.44</v>
      </c>
      <c r="U415" s="12"/>
      <c r="V415" s="12"/>
      <c r="W415" s="54">
        <v>0.42</v>
      </c>
      <c r="X415" s="12">
        <f>3.09+0.01</f>
        <v>3.0999999999999996</v>
      </c>
      <c r="Y415" s="12"/>
      <c r="Z415" s="12">
        <f>SUM(B415:Y415)</f>
        <v>16.079999999999998</v>
      </c>
      <c r="AA415" s="150">
        <f t="shared" si="541"/>
        <v>4.7254784987789573E-3</v>
      </c>
      <c r="AC415" s="12">
        <f t="shared" si="542"/>
        <v>12.559999999999999</v>
      </c>
      <c r="AD415" s="12">
        <f t="shared" si="543"/>
        <v>3.5199999999999996</v>
      </c>
      <c r="AE415" s="12">
        <f t="shared" si="544"/>
        <v>0</v>
      </c>
      <c r="AF415" s="12">
        <f t="shared" si="547"/>
        <v>16.079999999999998</v>
      </c>
      <c r="AG415" s="150">
        <f t="shared" si="546"/>
        <v>0.21890547263681592</v>
      </c>
      <c r="AI415" s="16" t="s">
        <v>45</v>
      </c>
      <c r="AJ415" s="12">
        <v>301.08</v>
      </c>
      <c r="AK415" s="12">
        <v>803.42</v>
      </c>
      <c r="AL415" s="382">
        <f>AJ415/AK415</f>
        <v>0.37474795250304949</v>
      </c>
      <c r="AN415" s="11" t="s">
        <v>21</v>
      </c>
      <c r="AO415" s="12">
        <v>22.82</v>
      </c>
      <c r="AP415" s="12">
        <v>22.82</v>
      </c>
      <c r="AQ415" s="190">
        <f t="shared" si="549"/>
        <v>1</v>
      </c>
    </row>
    <row r="416" spans="1:43" x14ac:dyDescent="0.35">
      <c r="A416" s="6" t="s">
        <v>40</v>
      </c>
      <c r="B416" s="12">
        <v>2.57</v>
      </c>
      <c r="C416" s="12"/>
      <c r="D416" s="12"/>
      <c r="E416" s="12"/>
      <c r="F416" s="12"/>
      <c r="G416" s="12"/>
      <c r="H416" s="12"/>
      <c r="I416" s="12"/>
      <c r="J416" s="12"/>
      <c r="K416" s="12"/>
      <c r="L416" s="12"/>
      <c r="M416" s="12"/>
      <c r="N416" s="12"/>
      <c r="O416" s="12"/>
      <c r="P416" s="12"/>
      <c r="Q416" s="12"/>
      <c r="R416" s="12"/>
      <c r="S416" s="12">
        <v>8.3699999999999992</v>
      </c>
      <c r="T416" s="12">
        <v>4.0199999999999996</v>
      </c>
      <c r="U416" s="54">
        <v>0.1</v>
      </c>
      <c r="V416" s="12"/>
      <c r="W416" s="54">
        <v>0.06</v>
      </c>
      <c r="X416" s="12"/>
      <c r="Y416" s="12"/>
      <c r="Z416" s="12">
        <f>SUM(B416:Y416)</f>
        <v>15.12</v>
      </c>
      <c r="AA416" s="150">
        <f t="shared" si="541"/>
        <v>4.4433603794488703E-3</v>
      </c>
      <c r="AC416" s="12">
        <f t="shared" si="542"/>
        <v>15.059999999999999</v>
      </c>
      <c r="AD416" s="12">
        <f t="shared" si="543"/>
        <v>0.06</v>
      </c>
      <c r="AE416" s="12">
        <f t="shared" si="544"/>
        <v>0</v>
      </c>
      <c r="AF416" s="12">
        <f t="shared" si="547"/>
        <v>15.12</v>
      </c>
      <c r="AG416" s="150">
        <f t="shared" si="546"/>
        <v>3.968253968253968E-3</v>
      </c>
      <c r="AI416" s="16" t="s">
        <v>41</v>
      </c>
      <c r="AJ416" s="12">
        <v>239.53999999999996</v>
      </c>
      <c r="AK416" s="12">
        <v>542.14999999999986</v>
      </c>
      <c r="AL416" s="382">
        <f t="shared" ref="AL416:AL428" si="550">AJ416/AK416</f>
        <v>0.44183344092963206</v>
      </c>
      <c r="AN416" s="11" t="s">
        <v>12</v>
      </c>
      <c r="AO416" s="12">
        <v>20.25</v>
      </c>
      <c r="AP416" s="12">
        <v>38.94</v>
      </c>
      <c r="AQ416" s="190">
        <f t="shared" si="549"/>
        <v>0.52003081664098616</v>
      </c>
    </row>
    <row r="417" spans="1:43" x14ac:dyDescent="0.35">
      <c r="A417" s="11" t="s">
        <v>15</v>
      </c>
      <c r="B417" s="119">
        <f>SUM(B418:B422)</f>
        <v>20.43</v>
      </c>
      <c r="C417" s="119">
        <f t="shared" ref="C417:Y417" si="551">SUM(C418:C422)</f>
        <v>66.41</v>
      </c>
      <c r="D417" s="119">
        <f t="shared" si="551"/>
        <v>0</v>
      </c>
      <c r="E417" s="131">
        <f t="shared" si="551"/>
        <v>9.58</v>
      </c>
      <c r="F417" s="119">
        <f t="shared" si="551"/>
        <v>23.14</v>
      </c>
      <c r="G417" s="119">
        <f t="shared" si="551"/>
        <v>56.329999999999991</v>
      </c>
      <c r="H417" s="119">
        <f t="shared" si="551"/>
        <v>23.13</v>
      </c>
      <c r="I417" s="119">
        <f t="shared" si="551"/>
        <v>34.17</v>
      </c>
      <c r="J417" s="119">
        <f t="shared" si="551"/>
        <v>6.8000000000000007</v>
      </c>
      <c r="K417" s="119">
        <f t="shared" si="551"/>
        <v>15.86</v>
      </c>
      <c r="L417" s="119">
        <f t="shared" si="551"/>
        <v>80.53</v>
      </c>
      <c r="M417" s="119">
        <f t="shared" si="551"/>
        <v>97.96</v>
      </c>
      <c r="N417" s="119">
        <f t="shared" si="551"/>
        <v>26.67</v>
      </c>
      <c r="O417" s="119">
        <f t="shared" si="551"/>
        <v>62.569999999999993</v>
      </c>
      <c r="P417" s="119">
        <f t="shared" si="551"/>
        <v>59.05</v>
      </c>
      <c r="Q417" s="119">
        <f t="shared" si="551"/>
        <v>102.94000000000001</v>
      </c>
      <c r="R417" s="119">
        <f t="shared" si="551"/>
        <v>191.70000000000002</v>
      </c>
      <c r="S417" s="119">
        <f t="shared" si="551"/>
        <v>203.32000000000002</v>
      </c>
      <c r="T417" s="119">
        <f t="shared" si="551"/>
        <v>249.74</v>
      </c>
      <c r="U417" s="119">
        <f t="shared" si="551"/>
        <v>306.95</v>
      </c>
      <c r="V417" s="119">
        <f t="shared" si="551"/>
        <v>352.75</v>
      </c>
      <c r="W417" s="119">
        <f t="shared" si="551"/>
        <v>229.41999999999996</v>
      </c>
      <c r="X417" s="119">
        <f t="shared" si="551"/>
        <v>262.48</v>
      </c>
      <c r="Y417" s="131">
        <f t="shared" si="551"/>
        <v>0.53</v>
      </c>
      <c r="Z417" s="119">
        <f>SUM(Z418:Z422)</f>
        <v>2482.4599999999996</v>
      </c>
      <c r="AA417" s="144">
        <f t="shared" si="541"/>
        <v>0.729528069283508</v>
      </c>
      <c r="AC417" s="119">
        <f t="shared" si="542"/>
        <v>1637.28</v>
      </c>
      <c r="AD417" s="119">
        <f t="shared" si="543"/>
        <v>844.65</v>
      </c>
      <c r="AE417" s="131">
        <f t="shared" si="544"/>
        <v>0.53</v>
      </c>
      <c r="AF417" s="119">
        <f>SUM(AC417:AE417)</f>
        <v>2482.46</v>
      </c>
      <c r="AG417" s="143">
        <f>AD417/AF417</f>
        <v>0.3402471741740048</v>
      </c>
      <c r="AI417" s="16" t="s">
        <v>42</v>
      </c>
      <c r="AJ417" s="12">
        <v>214.26</v>
      </c>
      <c r="AK417" s="12">
        <v>845.67</v>
      </c>
      <c r="AL417" s="382">
        <f t="shared" si="550"/>
        <v>0.25336124020007805</v>
      </c>
      <c r="AN417" s="11" t="s">
        <v>22</v>
      </c>
      <c r="AO417" s="12">
        <v>12.43</v>
      </c>
      <c r="AP417" s="12">
        <v>317.82</v>
      </c>
      <c r="AQ417" s="190">
        <f t="shared" si="549"/>
        <v>3.9110188156818326E-2</v>
      </c>
    </row>
    <row r="418" spans="1:43" x14ac:dyDescent="0.35">
      <c r="A418" s="6" t="s">
        <v>41</v>
      </c>
      <c r="B418" s="12">
        <f>4.75+7.65</f>
        <v>12.4</v>
      </c>
      <c r="C418" s="12"/>
      <c r="D418" s="12"/>
      <c r="E418" s="12"/>
      <c r="F418" s="12"/>
      <c r="G418" s="12">
        <v>11.87</v>
      </c>
      <c r="H418" s="12"/>
      <c r="I418" s="12">
        <v>0.62</v>
      </c>
      <c r="J418" s="12">
        <f>0.67+1.16</f>
        <v>1.83</v>
      </c>
      <c r="K418" s="54">
        <v>0.42</v>
      </c>
      <c r="L418" s="12">
        <f>0.83+2.62+0.78</f>
        <v>4.2300000000000004</v>
      </c>
      <c r="M418" s="12"/>
      <c r="N418" s="12">
        <v>11.82</v>
      </c>
      <c r="O418" s="12">
        <v>22.13</v>
      </c>
      <c r="P418" s="12">
        <f>25.56+4.37+7.76</f>
        <v>37.69</v>
      </c>
      <c r="Q418" s="12">
        <f>23.13+11.8+0.51</f>
        <v>35.44</v>
      </c>
      <c r="R418" s="12">
        <v>25.499999999999996</v>
      </c>
      <c r="S418" s="12">
        <v>37.380000000000003</v>
      </c>
      <c r="T418" s="12">
        <v>42.599999999999994</v>
      </c>
      <c r="U418" s="12">
        <v>58.37</v>
      </c>
      <c r="V418" s="12">
        <v>53.19</v>
      </c>
      <c r="W418" s="12">
        <v>84.699999999999989</v>
      </c>
      <c r="X418" s="12">
        <v>101.64999999999999</v>
      </c>
      <c r="Y418" s="54">
        <f>0.02+0.1+0.19</f>
        <v>0.31</v>
      </c>
      <c r="Z418" s="12">
        <f>SUM(B418:Y418)</f>
        <v>542.14999999999986</v>
      </c>
      <c r="AA418" s="150">
        <f t="shared" si="541"/>
        <v>0.15932326916125691</v>
      </c>
      <c r="AC418" s="12">
        <f t="shared" si="542"/>
        <v>302.29999999999995</v>
      </c>
      <c r="AD418" s="12">
        <f t="shared" si="543"/>
        <v>239.53999999999996</v>
      </c>
      <c r="AE418" s="54">
        <f t="shared" si="544"/>
        <v>0.31</v>
      </c>
      <c r="AF418" s="12">
        <f t="shared" si="547"/>
        <v>542.14999999999986</v>
      </c>
      <c r="AG418" s="150">
        <f t="shared" si="546"/>
        <v>0.44183344092963206</v>
      </c>
      <c r="AI418" s="16" t="s">
        <v>43</v>
      </c>
      <c r="AJ418" s="12">
        <v>87.27</v>
      </c>
      <c r="AK418" s="12">
        <v>264.89999999999998</v>
      </c>
      <c r="AL418" s="382">
        <f t="shared" si="550"/>
        <v>0.32944507361268405</v>
      </c>
    </row>
    <row r="419" spans="1:43" x14ac:dyDescent="0.35">
      <c r="A419" s="6" t="s">
        <v>42</v>
      </c>
      <c r="B419" s="12">
        <v>5.4</v>
      </c>
      <c r="C419" s="12">
        <v>39.5</v>
      </c>
      <c r="D419" s="12"/>
      <c r="E419" s="54">
        <v>0.28000000000000003</v>
      </c>
      <c r="F419" s="12">
        <v>2.83</v>
      </c>
      <c r="G419" s="12">
        <v>44.459999999999994</v>
      </c>
      <c r="H419" s="54">
        <v>14.629999999999999</v>
      </c>
      <c r="I419" s="54">
        <v>12.46</v>
      </c>
      <c r="J419" s="12">
        <v>4.4700000000000006</v>
      </c>
      <c r="K419" s="12">
        <v>4.01</v>
      </c>
      <c r="L419" s="12">
        <v>6.38</v>
      </c>
      <c r="M419" s="12">
        <v>14.42</v>
      </c>
      <c r="N419" s="12">
        <v>10.81</v>
      </c>
      <c r="O419" s="12">
        <v>32.75</v>
      </c>
      <c r="P419" s="12">
        <v>21.29</v>
      </c>
      <c r="Q419" s="12">
        <v>37.020000000000003</v>
      </c>
      <c r="R419" s="12">
        <v>84.43</v>
      </c>
      <c r="S419" s="12">
        <v>107.69</v>
      </c>
      <c r="T419" s="12">
        <v>110.17000000000002</v>
      </c>
      <c r="U419" s="12">
        <v>78.339999999999975</v>
      </c>
      <c r="V419" s="12">
        <v>56.22</v>
      </c>
      <c r="W419" s="12">
        <v>87.759999999999991</v>
      </c>
      <c r="X419" s="12">
        <v>70.28</v>
      </c>
      <c r="Y419" s="54">
        <v>6.9999999999999993E-2</v>
      </c>
      <c r="Z419" s="12">
        <f>SUM(B419:Y419)</f>
        <v>845.67</v>
      </c>
      <c r="AA419" s="150">
        <f t="shared" si="541"/>
        <v>0.24851961455611946</v>
      </c>
      <c r="AC419" s="12">
        <f t="shared" si="542"/>
        <v>631.33999999999992</v>
      </c>
      <c r="AD419" s="12">
        <f t="shared" si="543"/>
        <v>214.26</v>
      </c>
      <c r="AE419" s="54">
        <f t="shared" si="544"/>
        <v>6.9999999999999993E-2</v>
      </c>
      <c r="AF419" s="12">
        <f t="shared" si="547"/>
        <v>845.67</v>
      </c>
      <c r="AG419" s="150">
        <f t="shared" si="546"/>
        <v>0.25336124020007805</v>
      </c>
      <c r="AI419" s="16" t="s">
        <v>26</v>
      </c>
      <c r="AJ419" s="12">
        <v>32.07</v>
      </c>
      <c r="AK419" s="12">
        <v>154.05000000000001</v>
      </c>
      <c r="AL419" s="382">
        <f t="shared" si="550"/>
        <v>0.20817916260954233</v>
      </c>
    </row>
    <row r="420" spans="1:43" x14ac:dyDescent="0.35">
      <c r="A420" s="6" t="s">
        <v>43</v>
      </c>
      <c r="B420" s="12"/>
      <c r="C420" s="12"/>
      <c r="D420" s="12"/>
      <c r="E420" s="12"/>
      <c r="F420" s="12">
        <v>2.37</v>
      </c>
      <c r="G420" s="12"/>
      <c r="H420" s="12"/>
      <c r="I420" s="12">
        <v>8.66</v>
      </c>
      <c r="J420" s="12"/>
      <c r="K420" s="12"/>
      <c r="L420" s="12"/>
      <c r="M420" s="12"/>
      <c r="N420" s="54"/>
      <c r="O420" s="12">
        <v>7.6899999999999995</v>
      </c>
      <c r="P420" s="12"/>
      <c r="Q420" s="12">
        <v>5.87</v>
      </c>
      <c r="R420" s="12">
        <v>19.399999999999999</v>
      </c>
      <c r="S420" s="12">
        <v>27.92</v>
      </c>
      <c r="T420" s="12">
        <v>35.18</v>
      </c>
      <c r="U420" s="12">
        <v>70.539999999999992</v>
      </c>
      <c r="V420" s="12">
        <v>15.46</v>
      </c>
      <c r="W420" s="12">
        <v>23.26</v>
      </c>
      <c r="X420" s="12">
        <v>48.55</v>
      </c>
      <c r="Y420" s="12"/>
      <c r="Z420" s="12">
        <f t="shared" ref="Z420:Z432" si="552">SUM(B420:Y420)</f>
        <v>264.89999999999998</v>
      </c>
      <c r="AA420" s="150">
        <f t="shared" si="541"/>
        <v>7.7846968552645876E-2</v>
      </c>
      <c r="AC420" s="12">
        <f t="shared" si="542"/>
        <v>177.63</v>
      </c>
      <c r="AD420" s="12">
        <f t="shared" si="543"/>
        <v>87.27</v>
      </c>
      <c r="AE420" s="12">
        <f t="shared" si="544"/>
        <v>0</v>
      </c>
      <c r="AF420" s="12">
        <f t="shared" si="547"/>
        <v>264.89999999999998</v>
      </c>
      <c r="AG420" s="150">
        <f t="shared" si="546"/>
        <v>0.32944507361268405</v>
      </c>
      <c r="AI420" s="16" t="s">
        <v>54</v>
      </c>
      <c r="AJ420" s="12">
        <v>31.619999999999997</v>
      </c>
      <c r="AK420" s="12">
        <v>100.12</v>
      </c>
      <c r="AL420" s="382">
        <f t="shared" si="550"/>
        <v>0.31582101478226127</v>
      </c>
    </row>
    <row r="421" spans="1:43" x14ac:dyDescent="0.35">
      <c r="A421" s="6" t="s">
        <v>44</v>
      </c>
      <c r="B421" s="12"/>
      <c r="C421" s="12"/>
      <c r="D421" s="12"/>
      <c r="E421" s="12"/>
      <c r="F421" s="12"/>
      <c r="G421" s="12"/>
      <c r="H421" s="12"/>
      <c r="I421" s="12">
        <v>6.35</v>
      </c>
      <c r="J421" s="12"/>
      <c r="K421" s="12"/>
      <c r="L421" s="12"/>
      <c r="M421" s="12"/>
      <c r="N421" s="12"/>
      <c r="O421" s="12"/>
      <c r="P421" s="12"/>
      <c r="Q421" s="12">
        <v>0.83</v>
      </c>
      <c r="R421" s="12">
        <v>12.719999999999999</v>
      </c>
      <c r="S421" s="12"/>
      <c r="T421" s="12">
        <v>2.94</v>
      </c>
      <c r="U421" s="12">
        <v>0.98</v>
      </c>
      <c r="V421" s="12"/>
      <c r="W421" s="12">
        <v>2.5</v>
      </c>
      <c r="X421" s="12"/>
      <c r="Y421" s="12"/>
      <c r="Z421" s="12">
        <f t="shared" si="552"/>
        <v>26.32</v>
      </c>
      <c r="AA421" s="150">
        <f t="shared" si="541"/>
        <v>7.7347384382998857E-3</v>
      </c>
      <c r="AC421" s="12">
        <f t="shared" si="542"/>
        <v>23.82</v>
      </c>
      <c r="AD421" s="12">
        <f t="shared" si="543"/>
        <v>2.5</v>
      </c>
      <c r="AE421" s="12">
        <f t="shared" si="544"/>
        <v>0</v>
      </c>
      <c r="AF421" s="12">
        <f t="shared" si="547"/>
        <v>26.32</v>
      </c>
      <c r="AG421" s="150">
        <f t="shared" si="546"/>
        <v>9.4984802431610935E-2</v>
      </c>
      <c r="AI421" s="6" t="s">
        <v>21</v>
      </c>
      <c r="AJ421" s="12">
        <v>22.82</v>
      </c>
      <c r="AK421" s="12">
        <v>22.82</v>
      </c>
      <c r="AL421" s="382">
        <f t="shared" si="550"/>
        <v>1</v>
      </c>
    </row>
    <row r="422" spans="1:43" x14ac:dyDescent="0.35">
      <c r="A422" s="6" t="s">
        <v>45</v>
      </c>
      <c r="B422" s="12">
        <v>2.63</v>
      </c>
      <c r="C422" s="12">
        <v>26.91</v>
      </c>
      <c r="D422" s="12"/>
      <c r="E422" s="12">
        <v>9.3000000000000007</v>
      </c>
      <c r="F422" s="12">
        <v>17.940000000000001</v>
      </c>
      <c r="G422" s="12"/>
      <c r="H422" s="12">
        <v>8.5</v>
      </c>
      <c r="I422" s="12">
        <v>6.08</v>
      </c>
      <c r="J422" s="12">
        <v>0.5</v>
      </c>
      <c r="K422" s="12">
        <v>11.43</v>
      </c>
      <c r="L422" s="12">
        <v>69.92</v>
      </c>
      <c r="M422" s="12">
        <v>83.539999999999992</v>
      </c>
      <c r="N422" s="12">
        <v>4.04</v>
      </c>
      <c r="O422" s="12"/>
      <c r="P422" s="54">
        <v>7.0000000000000007E-2</v>
      </c>
      <c r="Q422" s="12">
        <v>23.78</v>
      </c>
      <c r="R422" s="12">
        <v>49.65</v>
      </c>
      <c r="S422" s="12">
        <v>30.330000000000002</v>
      </c>
      <c r="T422" s="12">
        <v>58.85</v>
      </c>
      <c r="U422" s="12">
        <v>98.720000000000013</v>
      </c>
      <c r="V422" s="12">
        <v>227.88</v>
      </c>
      <c r="W422" s="12">
        <v>31.199999999999996</v>
      </c>
      <c r="X422" s="12">
        <v>42</v>
      </c>
      <c r="Y422" s="54">
        <v>0.15</v>
      </c>
      <c r="Z422" s="12">
        <f t="shared" si="552"/>
        <v>803.42</v>
      </c>
      <c r="AA422" s="150">
        <f t="shared" si="541"/>
        <v>0.23610347857518593</v>
      </c>
      <c r="AC422" s="12">
        <f t="shared" si="542"/>
        <v>502.19</v>
      </c>
      <c r="AD422" s="12">
        <f t="shared" si="543"/>
        <v>301.08</v>
      </c>
      <c r="AE422" s="54">
        <f t="shared" si="544"/>
        <v>0.15</v>
      </c>
      <c r="AF422" s="12">
        <f t="shared" si="547"/>
        <v>803.42</v>
      </c>
      <c r="AG422" s="150">
        <f t="shared" si="546"/>
        <v>0.37474795250304949</v>
      </c>
      <c r="AI422" s="182" t="s">
        <v>53</v>
      </c>
      <c r="AJ422" s="12">
        <v>20.8</v>
      </c>
      <c r="AK422" s="12">
        <v>105.40999999999998</v>
      </c>
      <c r="AL422" s="382">
        <f t="shared" si="550"/>
        <v>0.19732473199886164</v>
      </c>
    </row>
    <row r="423" spans="1:43" x14ac:dyDescent="0.35">
      <c r="A423" s="11" t="s">
        <v>16</v>
      </c>
      <c r="B423" s="119">
        <f>SUM(B424:B432)</f>
        <v>0</v>
      </c>
      <c r="C423" s="119">
        <f t="shared" ref="C423:Z423" si="553">SUM(C424:C432)</f>
        <v>0</v>
      </c>
      <c r="D423" s="119">
        <f t="shared" si="553"/>
        <v>0</v>
      </c>
      <c r="E423" s="119">
        <f t="shared" si="553"/>
        <v>0</v>
      </c>
      <c r="F423" s="119">
        <f t="shared" si="553"/>
        <v>0</v>
      </c>
      <c r="G423" s="119">
        <f t="shared" si="553"/>
        <v>0</v>
      </c>
      <c r="H423" s="119">
        <f t="shared" si="553"/>
        <v>0</v>
      </c>
      <c r="I423" s="119">
        <f t="shared" si="553"/>
        <v>0</v>
      </c>
      <c r="J423" s="119">
        <f t="shared" si="553"/>
        <v>0</v>
      </c>
      <c r="K423" s="119">
        <f t="shared" si="553"/>
        <v>0</v>
      </c>
      <c r="L423" s="119">
        <f t="shared" si="553"/>
        <v>0</v>
      </c>
      <c r="M423" s="119">
        <f t="shared" si="553"/>
        <v>2.33</v>
      </c>
      <c r="N423" s="119">
        <f t="shared" si="553"/>
        <v>0</v>
      </c>
      <c r="O423" s="119">
        <f t="shared" si="553"/>
        <v>6.41</v>
      </c>
      <c r="P423" s="119">
        <f t="shared" si="553"/>
        <v>6.5299999999999994</v>
      </c>
      <c r="Q423" s="119">
        <f t="shared" si="553"/>
        <v>11.76</v>
      </c>
      <c r="R423" s="119">
        <f t="shared" si="553"/>
        <v>18.77</v>
      </c>
      <c r="S423" s="119">
        <f t="shared" si="553"/>
        <v>14.37</v>
      </c>
      <c r="T423" s="119">
        <f t="shared" si="553"/>
        <v>29.669999999999998</v>
      </c>
      <c r="U423" s="119">
        <f t="shared" si="553"/>
        <v>67.260000000000005</v>
      </c>
      <c r="V423" s="119">
        <f t="shared" si="553"/>
        <v>22.25</v>
      </c>
      <c r="W423" s="119">
        <f t="shared" si="553"/>
        <v>29.83</v>
      </c>
      <c r="X423" s="119">
        <f t="shared" si="553"/>
        <v>0.83</v>
      </c>
      <c r="Y423" s="119">
        <f t="shared" si="553"/>
        <v>0</v>
      </c>
      <c r="Z423" s="119">
        <f t="shared" si="553"/>
        <v>210.01</v>
      </c>
      <c r="AA423" s="144">
        <f t="shared" si="541"/>
        <v>6.1716277333866219E-2</v>
      </c>
      <c r="AC423" s="119">
        <f t="shared" si="542"/>
        <v>157.1</v>
      </c>
      <c r="AD423" s="119">
        <f t="shared" si="543"/>
        <v>52.91</v>
      </c>
      <c r="AE423" s="119">
        <f t="shared" si="544"/>
        <v>0</v>
      </c>
      <c r="AF423" s="119">
        <f>SUM(AC423:AE423)</f>
        <v>210.01</v>
      </c>
      <c r="AG423" s="143">
        <f>AD423/AF423</f>
        <v>0.25194038379124806</v>
      </c>
      <c r="AI423" s="6" t="s">
        <v>30</v>
      </c>
      <c r="AJ423" s="12">
        <v>17.91</v>
      </c>
      <c r="AK423" s="12">
        <v>39.090000000000003</v>
      </c>
      <c r="AL423" s="382">
        <f t="shared" si="550"/>
        <v>0.45817344589409054</v>
      </c>
    </row>
    <row r="424" spans="1:43" x14ac:dyDescent="0.35">
      <c r="A424" s="6" t="s">
        <v>46</v>
      </c>
      <c r="B424" s="12"/>
      <c r="C424" s="12"/>
      <c r="D424" s="12"/>
      <c r="E424" s="12"/>
      <c r="F424" s="12"/>
      <c r="G424" s="12"/>
      <c r="H424" s="12"/>
      <c r="I424" s="12"/>
      <c r="J424" s="12"/>
      <c r="K424" s="12"/>
      <c r="L424" s="12"/>
      <c r="M424" s="12"/>
      <c r="N424" s="12"/>
      <c r="O424" s="12"/>
      <c r="P424" s="12"/>
      <c r="Q424" s="12"/>
      <c r="R424" s="12"/>
      <c r="S424" s="12"/>
      <c r="T424" s="12">
        <v>1.79</v>
      </c>
      <c r="U424" s="12"/>
      <c r="V424" s="12"/>
      <c r="W424" s="12"/>
      <c r="X424" s="12"/>
      <c r="Y424" s="12"/>
      <c r="Z424" s="12">
        <f t="shared" si="552"/>
        <v>1.79</v>
      </c>
      <c r="AA424" s="150">
        <f t="shared" si="541"/>
        <v>5.2603274333422475E-4</v>
      </c>
      <c r="AC424" s="12">
        <f t="shared" si="542"/>
        <v>1.79</v>
      </c>
      <c r="AD424" s="12">
        <f t="shared" si="543"/>
        <v>0</v>
      </c>
      <c r="AE424" s="12">
        <f t="shared" si="544"/>
        <v>0</v>
      </c>
      <c r="AF424" s="12">
        <f t="shared" si="547"/>
        <v>1.79</v>
      </c>
      <c r="AG424" s="150">
        <f t="shared" si="546"/>
        <v>0</v>
      </c>
      <c r="AI424" s="6" t="s">
        <v>33</v>
      </c>
      <c r="AJ424" s="12">
        <v>16.22</v>
      </c>
      <c r="AK424" s="12">
        <v>34.46</v>
      </c>
      <c r="AL424" s="382">
        <f t="shared" si="550"/>
        <v>0.47069065583284964</v>
      </c>
    </row>
    <row r="425" spans="1:43" x14ac:dyDescent="0.35">
      <c r="A425" s="6" t="s">
        <v>47</v>
      </c>
      <c r="B425" s="12"/>
      <c r="C425" s="12"/>
      <c r="D425" s="12"/>
      <c r="E425" s="12"/>
      <c r="F425" s="12"/>
      <c r="G425" s="12"/>
      <c r="H425" s="12"/>
      <c r="I425" s="12"/>
      <c r="J425" s="12"/>
      <c r="K425" s="12"/>
      <c r="L425" s="12"/>
      <c r="M425" s="12"/>
      <c r="N425" s="12"/>
      <c r="O425" s="12"/>
      <c r="P425" s="12"/>
      <c r="Q425" s="12"/>
      <c r="R425" s="12"/>
      <c r="S425" s="12"/>
      <c r="T425" s="12"/>
      <c r="U425" s="12">
        <v>2.2000000000000002</v>
      </c>
      <c r="V425" s="12"/>
      <c r="W425" s="12"/>
      <c r="X425" s="12"/>
      <c r="Y425" s="12"/>
      <c r="Z425" s="12">
        <f t="shared" si="552"/>
        <v>2.2000000000000002</v>
      </c>
      <c r="AA425" s="150">
        <f t="shared" si="541"/>
        <v>6.4652069013144953E-4</v>
      </c>
      <c r="AC425" s="12">
        <f t="shared" si="542"/>
        <v>2.2000000000000002</v>
      </c>
      <c r="AD425" s="12">
        <f t="shared" si="543"/>
        <v>0</v>
      </c>
      <c r="AE425" s="12">
        <f t="shared" si="544"/>
        <v>0</v>
      </c>
      <c r="AF425" s="12">
        <f t="shared" si="547"/>
        <v>2.2000000000000002</v>
      </c>
      <c r="AG425" s="150">
        <f t="shared" si="546"/>
        <v>0</v>
      </c>
      <c r="AI425" s="6" t="s">
        <v>22</v>
      </c>
      <c r="AJ425" s="12">
        <v>12.43</v>
      </c>
      <c r="AK425" s="12">
        <v>317.82</v>
      </c>
      <c r="AL425" s="382">
        <f t="shared" si="550"/>
        <v>3.9110188156818326E-2</v>
      </c>
    </row>
    <row r="426" spans="1:43" x14ac:dyDescent="0.35">
      <c r="A426" s="182" t="s">
        <v>48</v>
      </c>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f t="shared" si="552"/>
        <v>0</v>
      </c>
      <c r="AA426" s="150">
        <f t="shared" si="541"/>
        <v>0</v>
      </c>
      <c r="AC426" s="12">
        <f t="shared" si="542"/>
        <v>0</v>
      </c>
      <c r="AD426" s="12">
        <f t="shared" si="543"/>
        <v>0</v>
      </c>
      <c r="AE426" s="12">
        <f t="shared" si="544"/>
        <v>0</v>
      </c>
      <c r="AF426" s="12">
        <f t="shared" si="547"/>
        <v>0</v>
      </c>
      <c r="AG426" s="150"/>
      <c r="AI426" s="6" t="s">
        <v>7</v>
      </c>
      <c r="AJ426" s="12">
        <v>8.33</v>
      </c>
      <c r="AK426" s="12">
        <v>8.33</v>
      </c>
      <c r="AL426" s="382">
        <f t="shared" si="550"/>
        <v>1</v>
      </c>
    </row>
    <row r="427" spans="1:43" x14ac:dyDescent="0.35">
      <c r="A427" s="182" t="s">
        <v>49</v>
      </c>
      <c r="B427" s="12"/>
      <c r="C427" s="12"/>
      <c r="D427" s="12"/>
      <c r="E427" s="12"/>
      <c r="F427" s="12"/>
      <c r="G427" s="12"/>
      <c r="H427" s="12"/>
      <c r="I427" s="12"/>
      <c r="J427" s="12"/>
      <c r="K427" s="12"/>
      <c r="L427" s="12"/>
      <c r="M427" s="12"/>
      <c r="N427" s="12"/>
      <c r="O427" s="12"/>
      <c r="P427" s="12"/>
      <c r="Q427" s="12"/>
      <c r="R427" s="12"/>
      <c r="S427" s="12"/>
      <c r="T427" s="12"/>
      <c r="U427" s="12"/>
      <c r="V427" s="12"/>
      <c r="W427" s="12">
        <v>0.49</v>
      </c>
      <c r="X427" s="12"/>
      <c r="Y427" s="12"/>
      <c r="Z427" s="12">
        <f t="shared" si="552"/>
        <v>0.49</v>
      </c>
      <c r="AA427" s="150">
        <f t="shared" ref="AA427:AA445" si="554">Z427/$Z$446</f>
        <v>1.4399779007473191E-4</v>
      </c>
      <c r="AC427" s="12">
        <f t="shared" ref="AC427:AC446" si="555">SUM(B427:U427)</f>
        <v>0</v>
      </c>
      <c r="AD427" s="12">
        <f t="shared" ref="AD427:AD446" si="556">SUM(V427:X427)</f>
        <v>0.49</v>
      </c>
      <c r="AE427" s="12">
        <f t="shared" si="544"/>
        <v>0</v>
      </c>
      <c r="AF427" s="12">
        <f t="shared" si="547"/>
        <v>0.49</v>
      </c>
      <c r="AG427" s="150">
        <f t="shared" si="546"/>
        <v>1</v>
      </c>
      <c r="AI427" s="6" t="s">
        <v>32</v>
      </c>
      <c r="AJ427" s="12">
        <v>4.03</v>
      </c>
      <c r="AK427" s="12">
        <v>4.4800000000000004</v>
      </c>
      <c r="AL427" s="382">
        <f t="shared" si="550"/>
        <v>0.8995535714285714</v>
      </c>
    </row>
    <row r="428" spans="1:43" x14ac:dyDescent="0.35">
      <c r="A428" s="182" t="s">
        <v>50</v>
      </c>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v>0</v>
      </c>
      <c r="AA428" s="150">
        <f t="shared" si="554"/>
        <v>0</v>
      </c>
      <c r="AC428" s="12">
        <f t="shared" si="555"/>
        <v>0</v>
      </c>
      <c r="AD428" s="12">
        <f t="shared" si="556"/>
        <v>0</v>
      </c>
      <c r="AE428" s="12">
        <f t="shared" si="544"/>
        <v>0</v>
      </c>
      <c r="AF428" s="12">
        <f t="shared" si="547"/>
        <v>0</v>
      </c>
      <c r="AG428" s="150"/>
      <c r="AI428" s="6" t="s">
        <v>8</v>
      </c>
      <c r="AJ428" s="12">
        <v>3.9800000000000004</v>
      </c>
      <c r="AK428" s="12">
        <v>70.720000000000013</v>
      </c>
      <c r="AL428" s="382">
        <f t="shared" si="550"/>
        <v>5.627828054298642E-2</v>
      </c>
    </row>
    <row r="429" spans="1:43" x14ac:dyDescent="0.35">
      <c r="A429" s="182" t="s">
        <v>51</v>
      </c>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v>0</v>
      </c>
      <c r="AA429" s="150">
        <f t="shared" si="554"/>
        <v>0</v>
      </c>
      <c r="AC429" s="12">
        <f t="shared" si="555"/>
        <v>0</v>
      </c>
      <c r="AD429" s="12">
        <f t="shared" si="556"/>
        <v>0</v>
      </c>
      <c r="AE429" s="12">
        <f t="shared" si="544"/>
        <v>0</v>
      </c>
      <c r="AF429" s="12">
        <f t="shared" si="547"/>
        <v>0</v>
      </c>
      <c r="AG429" s="150"/>
    </row>
    <row r="430" spans="1:43" x14ac:dyDescent="0.35">
      <c r="A430" s="182" t="s">
        <v>52</v>
      </c>
      <c r="B430" s="54"/>
      <c r="C430" s="12"/>
      <c r="D430" s="12"/>
      <c r="E430" s="12"/>
      <c r="F430" s="12"/>
      <c r="G430" s="12"/>
      <c r="H430" s="12"/>
      <c r="I430" s="12"/>
      <c r="J430" s="12"/>
      <c r="K430" s="12"/>
      <c r="L430" s="12"/>
      <c r="M430" s="12"/>
      <c r="N430" s="12"/>
      <c r="O430" s="12"/>
      <c r="P430" s="54"/>
      <c r="Q430" s="12"/>
      <c r="R430" s="12"/>
      <c r="S430" s="12"/>
      <c r="T430" s="12"/>
      <c r="U430" s="12"/>
      <c r="V430" s="12"/>
      <c r="W430" s="12"/>
      <c r="X430" s="12"/>
      <c r="Y430" s="12"/>
      <c r="Z430" s="12">
        <v>0</v>
      </c>
      <c r="AA430" s="150">
        <f t="shared" si="554"/>
        <v>0</v>
      </c>
      <c r="AC430" s="12">
        <f t="shared" si="555"/>
        <v>0</v>
      </c>
      <c r="AD430" s="12">
        <f t="shared" si="556"/>
        <v>0</v>
      </c>
      <c r="AE430" s="12">
        <f t="shared" si="544"/>
        <v>0</v>
      </c>
      <c r="AF430" s="12">
        <f t="shared" si="547"/>
        <v>0</v>
      </c>
      <c r="AG430" s="150"/>
    </row>
    <row r="431" spans="1:43" x14ac:dyDescent="0.35">
      <c r="A431" s="182" t="s">
        <v>53</v>
      </c>
      <c r="B431" s="12"/>
      <c r="C431" s="12"/>
      <c r="D431" s="12"/>
      <c r="E431" s="12"/>
      <c r="F431" s="12"/>
      <c r="G431" s="12"/>
      <c r="H431" s="12"/>
      <c r="I431" s="12"/>
      <c r="J431" s="12"/>
      <c r="K431" s="12"/>
      <c r="L431" s="12"/>
      <c r="M431" s="12">
        <v>2.33</v>
      </c>
      <c r="N431" s="12"/>
      <c r="O431" s="12">
        <v>0.37</v>
      </c>
      <c r="P431" s="12">
        <v>4.1999999999999993</v>
      </c>
      <c r="Q431" s="12">
        <v>8.36</v>
      </c>
      <c r="R431" s="12">
        <v>15.72</v>
      </c>
      <c r="S431" s="12">
        <v>10.79</v>
      </c>
      <c r="T431" s="12">
        <v>13.649999999999999</v>
      </c>
      <c r="U431" s="12">
        <v>29.189999999999998</v>
      </c>
      <c r="V431" s="12">
        <v>12.82</v>
      </c>
      <c r="W431" s="12">
        <v>7.98</v>
      </c>
      <c r="X431" s="12"/>
      <c r="Y431" s="12"/>
      <c r="Z431" s="12">
        <f t="shared" si="552"/>
        <v>105.40999999999998</v>
      </c>
      <c r="AA431" s="150">
        <f t="shared" si="554"/>
        <v>3.0977157248525487E-2</v>
      </c>
      <c r="AC431" s="12">
        <f t="shared" si="555"/>
        <v>84.609999999999985</v>
      </c>
      <c r="AD431" s="12">
        <f t="shared" si="556"/>
        <v>20.8</v>
      </c>
      <c r="AE431" s="12">
        <f t="shared" si="544"/>
        <v>0</v>
      </c>
      <c r="AF431" s="12">
        <f t="shared" si="547"/>
        <v>105.40999999999998</v>
      </c>
      <c r="AG431" s="150">
        <f t="shared" si="546"/>
        <v>0.19732473199886164</v>
      </c>
    </row>
    <row r="432" spans="1:43" x14ac:dyDescent="0.35">
      <c r="A432" s="6" t="s">
        <v>54</v>
      </c>
      <c r="B432" s="12"/>
      <c r="C432" s="12"/>
      <c r="D432" s="12"/>
      <c r="E432" s="12"/>
      <c r="F432" s="12"/>
      <c r="G432" s="12"/>
      <c r="H432" s="12"/>
      <c r="I432" s="12"/>
      <c r="J432" s="12"/>
      <c r="K432" s="12"/>
      <c r="L432" s="12"/>
      <c r="M432" s="12"/>
      <c r="N432" s="12"/>
      <c r="O432" s="12">
        <v>6.04</v>
      </c>
      <c r="P432" s="12">
        <v>2.33</v>
      </c>
      <c r="Q432" s="12">
        <v>3.4</v>
      </c>
      <c r="R432" s="12">
        <v>3.05</v>
      </c>
      <c r="S432" s="12">
        <v>3.5799999999999996</v>
      </c>
      <c r="T432" s="12">
        <v>14.23</v>
      </c>
      <c r="U432" s="12">
        <v>35.870000000000005</v>
      </c>
      <c r="V432" s="12">
        <v>9.4300000000000015</v>
      </c>
      <c r="W432" s="12">
        <v>21.36</v>
      </c>
      <c r="X432" s="54">
        <v>0.83</v>
      </c>
      <c r="Y432" s="54"/>
      <c r="Z432" s="12">
        <f t="shared" si="552"/>
        <v>100.12</v>
      </c>
      <c r="AA432" s="150">
        <f t="shared" si="554"/>
        <v>2.9422568861800329E-2</v>
      </c>
      <c r="AC432" s="12">
        <f t="shared" si="555"/>
        <v>68.5</v>
      </c>
      <c r="AD432" s="12">
        <f t="shared" si="556"/>
        <v>31.619999999999997</v>
      </c>
      <c r="AE432" s="12">
        <f t="shared" si="544"/>
        <v>0</v>
      </c>
      <c r="AF432" s="12">
        <f t="shared" si="547"/>
        <v>100.12</v>
      </c>
      <c r="AG432" s="150">
        <f t="shared" si="546"/>
        <v>0.31582101478226127</v>
      </c>
    </row>
    <row r="433" spans="1:33" x14ac:dyDescent="0.35">
      <c r="A433" s="11" t="s">
        <v>18</v>
      </c>
      <c r="B433" s="130"/>
      <c r="C433" s="119"/>
      <c r="D433" s="119"/>
      <c r="E433" s="119"/>
      <c r="F433" s="119"/>
      <c r="G433" s="119"/>
      <c r="H433" s="119"/>
      <c r="I433" s="119"/>
      <c r="J433" s="119"/>
      <c r="K433" s="119"/>
      <c r="L433" s="119"/>
      <c r="M433" s="131"/>
      <c r="N433" s="119"/>
      <c r="O433" s="119"/>
      <c r="P433" s="119"/>
      <c r="Q433" s="119"/>
      <c r="R433" s="119"/>
      <c r="S433" s="119"/>
      <c r="T433" s="119"/>
      <c r="U433" s="130"/>
      <c r="V433" s="119"/>
      <c r="W433" s="119"/>
      <c r="X433" s="119"/>
      <c r="Y433" s="130"/>
      <c r="Z433" s="119">
        <v>0</v>
      </c>
      <c r="AA433" s="144">
        <f t="shared" si="554"/>
        <v>0</v>
      </c>
      <c r="AC433" s="119">
        <f t="shared" si="555"/>
        <v>0</v>
      </c>
      <c r="AD433" s="119">
        <f>SUM(V433:X433)</f>
        <v>0</v>
      </c>
      <c r="AE433" s="119">
        <f t="shared" si="544"/>
        <v>0</v>
      </c>
      <c r="AF433" s="119">
        <f>SUM(AC433:AE433)</f>
        <v>0</v>
      </c>
      <c r="AG433" s="143"/>
    </row>
    <row r="434" spans="1:33" x14ac:dyDescent="0.35">
      <c r="A434" s="6" t="s">
        <v>18</v>
      </c>
      <c r="B434" s="54"/>
      <c r="C434" s="54"/>
      <c r="D434" s="54"/>
      <c r="E434" s="54"/>
      <c r="F434" s="54"/>
      <c r="G434" s="54"/>
      <c r="H434" s="54"/>
      <c r="I434" s="54"/>
      <c r="J434" s="54"/>
      <c r="K434" s="54"/>
      <c r="L434" s="54"/>
      <c r="M434" s="54"/>
      <c r="N434" s="54"/>
      <c r="O434" s="54"/>
      <c r="P434" s="54"/>
      <c r="Q434" s="54"/>
      <c r="R434" s="54"/>
      <c r="S434" s="12"/>
      <c r="T434" s="12"/>
      <c r="U434" s="54"/>
      <c r="V434" s="54"/>
      <c r="W434" s="12"/>
      <c r="X434" s="54"/>
      <c r="Y434" s="54"/>
      <c r="Z434" s="12">
        <v>0</v>
      </c>
      <c r="AA434" s="150">
        <f t="shared" si="554"/>
        <v>0</v>
      </c>
      <c r="AC434" s="12">
        <f t="shared" si="555"/>
        <v>0</v>
      </c>
      <c r="AD434" s="12">
        <f t="shared" si="556"/>
        <v>0</v>
      </c>
      <c r="AE434" s="12">
        <f t="shared" si="544"/>
        <v>0</v>
      </c>
      <c r="AF434" s="12">
        <f t="shared" si="547"/>
        <v>0</v>
      </c>
      <c r="AG434" s="150"/>
    </row>
    <row r="435" spans="1:33" x14ac:dyDescent="0.35">
      <c r="A435" s="11" t="s">
        <v>17</v>
      </c>
      <c r="B435" s="119"/>
      <c r="C435" s="119"/>
      <c r="D435" s="119"/>
      <c r="E435" s="119"/>
      <c r="F435" s="119"/>
      <c r="G435" s="119"/>
      <c r="H435" s="119"/>
      <c r="I435" s="119"/>
      <c r="J435" s="119"/>
      <c r="K435" s="119"/>
      <c r="L435" s="119"/>
      <c r="M435" s="119"/>
      <c r="N435" s="119"/>
      <c r="O435" s="119"/>
      <c r="P435" s="119">
        <f t="shared" ref="P435:Y435" si="557">SUM(P436:P437)</f>
        <v>0.56999999999999995</v>
      </c>
      <c r="Q435" s="119"/>
      <c r="R435" s="119"/>
      <c r="S435" s="119"/>
      <c r="T435" s="119">
        <f t="shared" si="557"/>
        <v>4.6500000000000004</v>
      </c>
      <c r="U435" s="131">
        <f t="shared" si="557"/>
        <v>0.04</v>
      </c>
      <c r="V435" s="119"/>
      <c r="W435" s="119">
        <f t="shared" si="557"/>
        <v>1.46</v>
      </c>
      <c r="X435" s="119"/>
      <c r="Y435" s="131">
        <f t="shared" si="557"/>
        <v>7.0000000000000007E-2</v>
      </c>
      <c r="Z435" s="119">
        <f>SUM(Z436:Z437)</f>
        <v>6.79</v>
      </c>
      <c r="AA435" s="144">
        <f t="shared" si="554"/>
        <v>1.995397948178428E-3</v>
      </c>
      <c r="AC435" s="119">
        <f t="shared" si="555"/>
        <v>5.2600000000000007</v>
      </c>
      <c r="AD435" s="119">
        <f>SUM(V435:X435)</f>
        <v>1.46</v>
      </c>
      <c r="AE435" s="131">
        <f t="shared" si="544"/>
        <v>7.0000000000000007E-2</v>
      </c>
      <c r="AF435" s="119">
        <f>SUM(AC435:AE435)</f>
        <v>6.7900000000000009</v>
      </c>
      <c r="AG435" s="143">
        <f>AD435/AF435</f>
        <v>0.21502209131075106</v>
      </c>
    </row>
    <row r="436" spans="1:33" x14ac:dyDescent="0.35">
      <c r="A436" s="6" t="s">
        <v>55</v>
      </c>
      <c r="B436" s="12"/>
      <c r="C436" s="12"/>
      <c r="D436" s="12"/>
      <c r="E436" s="12"/>
      <c r="F436" s="12"/>
      <c r="G436" s="12"/>
      <c r="H436" s="12"/>
      <c r="I436" s="12"/>
      <c r="J436" s="12"/>
      <c r="K436" s="12"/>
      <c r="L436" s="12"/>
      <c r="M436" s="12"/>
      <c r="N436" s="12"/>
      <c r="O436" s="12"/>
      <c r="P436" s="12"/>
      <c r="Q436" s="12"/>
      <c r="R436" s="12"/>
      <c r="S436" s="12"/>
      <c r="T436" s="12">
        <v>4.6500000000000004</v>
      </c>
      <c r="U436" s="54">
        <v>0.01</v>
      </c>
      <c r="V436" s="12"/>
      <c r="W436" s="12"/>
      <c r="X436" s="12"/>
      <c r="Y436" s="54"/>
      <c r="Z436" s="12">
        <f>SUM(B436:Y436)</f>
        <v>4.66</v>
      </c>
      <c r="AA436" s="150">
        <f t="shared" si="554"/>
        <v>1.3694483709147975E-3</v>
      </c>
      <c r="AC436" s="12">
        <f t="shared" si="555"/>
        <v>4.66</v>
      </c>
      <c r="AD436" s="12">
        <f t="shared" si="556"/>
        <v>0</v>
      </c>
      <c r="AE436" s="12">
        <f t="shared" si="544"/>
        <v>0</v>
      </c>
      <c r="AF436" s="12">
        <f t="shared" si="547"/>
        <v>4.66</v>
      </c>
      <c r="AG436" s="150">
        <f t="shared" si="546"/>
        <v>0</v>
      </c>
    </row>
    <row r="437" spans="1:33" x14ac:dyDescent="0.35">
      <c r="A437" s="6" t="s">
        <v>56</v>
      </c>
      <c r="B437" s="12"/>
      <c r="C437" s="12"/>
      <c r="D437" s="12"/>
      <c r="E437" s="12"/>
      <c r="F437" s="12"/>
      <c r="G437" s="12"/>
      <c r="H437" s="12"/>
      <c r="I437" s="12"/>
      <c r="J437" s="12"/>
      <c r="K437" s="12"/>
      <c r="L437" s="12"/>
      <c r="M437" s="12"/>
      <c r="N437" s="12"/>
      <c r="O437" s="12"/>
      <c r="P437" s="12">
        <v>0.56999999999999995</v>
      </c>
      <c r="Q437" s="12"/>
      <c r="R437" s="12"/>
      <c r="S437" s="12"/>
      <c r="T437" s="12"/>
      <c r="U437" s="54">
        <v>0.03</v>
      </c>
      <c r="V437" s="12"/>
      <c r="W437" s="12">
        <v>1.46</v>
      </c>
      <c r="X437" s="12"/>
      <c r="Y437" s="54">
        <v>7.0000000000000007E-2</v>
      </c>
      <c r="Z437" s="12">
        <f>SUM(B437:Y437)</f>
        <v>2.13</v>
      </c>
      <c r="AA437" s="150">
        <f t="shared" si="554"/>
        <v>6.2594957726363055E-4</v>
      </c>
      <c r="AC437" s="12">
        <f t="shared" si="555"/>
        <v>0.6</v>
      </c>
      <c r="AD437" s="12">
        <f t="shared" si="556"/>
        <v>1.46</v>
      </c>
      <c r="AE437" s="54">
        <f t="shared" si="544"/>
        <v>7.0000000000000007E-2</v>
      </c>
      <c r="AF437" s="12">
        <f t="shared" ref="AF437:AF446" si="558">SUM(AC437:AE437)</f>
        <v>2.13</v>
      </c>
      <c r="AG437" s="150">
        <f t="shared" si="546"/>
        <v>0.68544600938967137</v>
      </c>
    </row>
    <row r="438" spans="1:33" x14ac:dyDescent="0.35">
      <c r="A438" s="11" t="s">
        <v>20</v>
      </c>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31"/>
      <c r="Z438" s="119">
        <v>0</v>
      </c>
      <c r="AA438" s="144">
        <f t="shared" si="554"/>
        <v>0</v>
      </c>
      <c r="AC438" s="119">
        <f t="shared" si="555"/>
        <v>0</v>
      </c>
      <c r="AD438" s="119">
        <f>SUM(V438:X438)</f>
        <v>0</v>
      </c>
      <c r="AE438" s="119">
        <f t="shared" si="544"/>
        <v>0</v>
      </c>
      <c r="AF438" s="119">
        <f t="shared" si="558"/>
        <v>0</v>
      </c>
      <c r="AG438" s="143"/>
    </row>
    <row r="439" spans="1:33" x14ac:dyDescent="0.35">
      <c r="A439" s="6" t="s">
        <v>20</v>
      </c>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v>0</v>
      </c>
      <c r="AA439" s="150">
        <f t="shared" si="554"/>
        <v>0</v>
      </c>
      <c r="AC439" s="12">
        <f t="shared" si="555"/>
        <v>0</v>
      </c>
      <c r="AD439" s="12">
        <f t="shared" si="556"/>
        <v>0</v>
      </c>
      <c r="AE439" s="12">
        <f t="shared" si="544"/>
        <v>0</v>
      </c>
      <c r="AF439" s="12">
        <f t="shared" si="558"/>
        <v>0</v>
      </c>
      <c r="AG439" s="150"/>
    </row>
    <row r="440" spans="1:33" x14ac:dyDescent="0.35">
      <c r="A440" s="11" t="s">
        <v>21</v>
      </c>
      <c r="B440" s="119"/>
      <c r="C440" s="119"/>
      <c r="D440" s="119"/>
      <c r="E440" s="119"/>
      <c r="F440" s="119"/>
      <c r="G440" s="119"/>
      <c r="H440" s="119"/>
      <c r="I440" s="119"/>
      <c r="J440" s="119"/>
      <c r="K440" s="119"/>
      <c r="L440" s="119"/>
      <c r="M440" s="119"/>
      <c r="N440" s="119"/>
      <c r="O440" s="119"/>
      <c r="P440" s="119"/>
      <c r="Q440" s="119"/>
      <c r="R440" s="119"/>
      <c r="S440" s="119"/>
      <c r="T440" s="119"/>
      <c r="U440" s="119"/>
      <c r="V440" s="119">
        <f>V441</f>
        <v>20.48</v>
      </c>
      <c r="W440" s="119">
        <f>W441</f>
        <v>2.34</v>
      </c>
      <c r="X440" s="119"/>
      <c r="Y440" s="119"/>
      <c r="Z440" s="119">
        <f>Z441</f>
        <v>22.82</v>
      </c>
      <c r="AA440" s="144">
        <f t="shared" si="554"/>
        <v>6.706182794908944E-3</v>
      </c>
      <c r="AC440" s="119">
        <f t="shared" si="555"/>
        <v>0</v>
      </c>
      <c r="AD440" s="119">
        <f>SUM(V440:X440)</f>
        <v>22.82</v>
      </c>
      <c r="AE440" s="119">
        <f t="shared" si="544"/>
        <v>0</v>
      </c>
      <c r="AF440" s="119">
        <f t="shared" si="558"/>
        <v>22.82</v>
      </c>
      <c r="AG440" s="143">
        <f>AD440/AF440</f>
        <v>1</v>
      </c>
    </row>
    <row r="441" spans="1:33" x14ac:dyDescent="0.35">
      <c r="A441" s="6" t="s">
        <v>21</v>
      </c>
      <c r="B441" s="12"/>
      <c r="C441" s="12"/>
      <c r="D441" s="12"/>
      <c r="E441" s="12"/>
      <c r="F441" s="12"/>
      <c r="G441" s="12"/>
      <c r="H441" s="12"/>
      <c r="I441" s="12"/>
      <c r="J441" s="12"/>
      <c r="K441" s="12"/>
      <c r="L441" s="12"/>
      <c r="M441" s="12"/>
      <c r="N441" s="12"/>
      <c r="O441" s="12"/>
      <c r="P441" s="12"/>
      <c r="Q441" s="12"/>
      <c r="R441" s="12"/>
      <c r="S441" s="12"/>
      <c r="T441" s="12"/>
      <c r="U441" s="12"/>
      <c r="V441" s="12">
        <v>20.48</v>
      </c>
      <c r="W441" s="12">
        <v>2.34</v>
      </c>
      <c r="X441" s="12"/>
      <c r="Y441" s="12"/>
      <c r="Z441" s="12">
        <f>SUM(B441:Y441)</f>
        <v>22.82</v>
      </c>
      <c r="AA441" s="150">
        <f t="shared" si="554"/>
        <v>6.706182794908944E-3</v>
      </c>
      <c r="AC441" s="12">
        <f t="shared" si="555"/>
        <v>0</v>
      </c>
      <c r="AD441" s="12">
        <f t="shared" si="556"/>
        <v>22.82</v>
      </c>
      <c r="AE441" s="12">
        <f t="shared" si="544"/>
        <v>0</v>
      </c>
      <c r="AF441" s="12">
        <f t="shared" si="558"/>
        <v>22.82</v>
      </c>
      <c r="AG441" s="150">
        <f>AD441/AF441</f>
        <v>1</v>
      </c>
    </row>
    <row r="442" spans="1:33" x14ac:dyDescent="0.35">
      <c r="A442" s="11" t="s">
        <v>22</v>
      </c>
      <c r="B442" s="119"/>
      <c r="C442" s="119"/>
      <c r="D442" s="119"/>
      <c r="E442" s="119"/>
      <c r="F442" s="119"/>
      <c r="G442" s="119"/>
      <c r="H442" s="119"/>
      <c r="I442" s="119"/>
      <c r="J442" s="119"/>
      <c r="K442" s="119"/>
      <c r="L442" s="119"/>
      <c r="M442" s="119"/>
      <c r="N442" s="119"/>
      <c r="O442" s="119"/>
      <c r="P442" s="119">
        <f t="shared" ref="P442:Y442" si="559">P443</f>
        <v>29.060000000000002</v>
      </c>
      <c r="Q442" s="119">
        <f t="shared" si="559"/>
        <v>11.54</v>
      </c>
      <c r="R442" s="119">
        <f t="shared" si="559"/>
        <v>220.45</v>
      </c>
      <c r="S442" s="119">
        <f t="shared" si="559"/>
        <v>33.659999999999997</v>
      </c>
      <c r="T442" s="119"/>
      <c r="U442" s="119">
        <f t="shared" si="559"/>
        <v>10.65</v>
      </c>
      <c r="V442" s="131">
        <f t="shared" si="559"/>
        <v>0.15</v>
      </c>
      <c r="W442" s="119">
        <f t="shared" si="559"/>
        <v>6.83</v>
      </c>
      <c r="X442" s="119">
        <f t="shared" si="559"/>
        <v>5.45</v>
      </c>
      <c r="Y442" s="131">
        <f t="shared" si="559"/>
        <v>0.03</v>
      </c>
      <c r="Z442" s="119">
        <f>Z443</f>
        <v>317.81999999999994</v>
      </c>
      <c r="AA442" s="144">
        <f t="shared" si="554"/>
        <v>9.3398729880716916E-2</v>
      </c>
      <c r="AC442" s="119">
        <f t="shared" si="555"/>
        <v>305.36</v>
      </c>
      <c r="AD442" s="119">
        <f>SUM(V442:X442)</f>
        <v>12.43</v>
      </c>
      <c r="AE442" s="131">
        <f t="shared" si="544"/>
        <v>0.03</v>
      </c>
      <c r="AF442" s="119">
        <f t="shared" si="558"/>
        <v>317.82</v>
      </c>
      <c r="AG442" s="143">
        <f>AD442/AF442</f>
        <v>3.9110188156818326E-2</v>
      </c>
    </row>
    <row r="443" spans="1:33" x14ac:dyDescent="0.35">
      <c r="A443" s="6" t="s">
        <v>22</v>
      </c>
      <c r="B443" s="12"/>
      <c r="C443" s="12"/>
      <c r="D443" s="12"/>
      <c r="E443" s="12"/>
      <c r="F443" s="12"/>
      <c r="G443" s="12"/>
      <c r="H443" s="12"/>
      <c r="I443" s="12"/>
      <c r="J443" s="12"/>
      <c r="K443" s="12"/>
      <c r="L443" s="12"/>
      <c r="M443" s="12"/>
      <c r="N443" s="12"/>
      <c r="O443" s="12"/>
      <c r="P443" s="12">
        <v>29.060000000000002</v>
      </c>
      <c r="Q443" s="12">
        <v>11.54</v>
      </c>
      <c r="R443" s="12">
        <v>220.45</v>
      </c>
      <c r="S443" s="12">
        <v>33.659999999999997</v>
      </c>
      <c r="T443" s="12"/>
      <c r="U443" s="12">
        <v>10.65</v>
      </c>
      <c r="V443" s="54">
        <v>0.15</v>
      </c>
      <c r="W443" s="12">
        <v>6.83</v>
      </c>
      <c r="X443" s="12">
        <v>5.45</v>
      </c>
      <c r="Y443" s="54">
        <v>0.03</v>
      </c>
      <c r="Z443" s="12">
        <f>SUM(B443:Y443)</f>
        <v>317.81999999999994</v>
      </c>
      <c r="AA443" s="150">
        <f t="shared" si="554"/>
        <v>9.3398729880716916E-2</v>
      </c>
      <c r="AC443" s="12">
        <f t="shared" si="555"/>
        <v>305.36</v>
      </c>
      <c r="AD443" s="12">
        <f t="shared" si="556"/>
        <v>12.43</v>
      </c>
      <c r="AE443" s="54">
        <f t="shared" si="544"/>
        <v>0.03</v>
      </c>
      <c r="AF443" s="12">
        <f t="shared" si="558"/>
        <v>317.82</v>
      </c>
      <c r="AG443" s="150">
        <f>AD443/AF443</f>
        <v>3.9110188156818326E-2</v>
      </c>
    </row>
    <row r="444" spans="1:33" x14ac:dyDescent="0.35">
      <c r="A444" s="11" t="s">
        <v>23</v>
      </c>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v>0</v>
      </c>
      <c r="AA444" s="144">
        <f t="shared" si="554"/>
        <v>0</v>
      </c>
      <c r="AC444" s="119">
        <f t="shared" si="555"/>
        <v>0</v>
      </c>
      <c r="AD444" s="119">
        <f>SUM(V444:X444)</f>
        <v>0</v>
      </c>
      <c r="AE444" s="119">
        <f t="shared" si="544"/>
        <v>0</v>
      </c>
      <c r="AF444" s="119">
        <f t="shared" si="558"/>
        <v>0</v>
      </c>
      <c r="AG444" s="143"/>
    </row>
    <row r="445" spans="1:33" x14ac:dyDescent="0.35">
      <c r="A445" s="6" t="s">
        <v>23</v>
      </c>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v>0</v>
      </c>
      <c r="AA445" s="150">
        <f t="shared" si="554"/>
        <v>0</v>
      </c>
      <c r="AC445" s="12">
        <f t="shared" si="555"/>
        <v>0</v>
      </c>
      <c r="AD445" s="12">
        <f t="shared" si="556"/>
        <v>0</v>
      </c>
      <c r="AE445" s="12">
        <f t="shared" si="544"/>
        <v>0</v>
      </c>
      <c r="AF445" s="12">
        <f t="shared" si="558"/>
        <v>0</v>
      </c>
      <c r="AG445" s="150"/>
    </row>
    <row r="446" spans="1:33" ht="15.5" x14ac:dyDescent="0.35">
      <c r="A446" s="43" t="s">
        <v>25</v>
      </c>
      <c r="B446" s="142">
        <f>SUM(B395,B404,B408,B412,B417,B423,B433,B435,B438,B440,B442,B444)</f>
        <v>25.39</v>
      </c>
      <c r="C446" s="142">
        <f t="shared" ref="C446:Z446" si="560">SUM(C395,C404,C408,C412,C417,C423,C433,C435,C438,C440,C442,C444)</f>
        <v>66.41</v>
      </c>
      <c r="D446" s="142">
        <f t="shared" si="560"/>
        <v>0</v>
      </c>
      <c r="E446" s="142">
        <f t="shared" si="560"/>
        <v>9.58</v>
      </c>
      <c r="F446" s="142">
        <f t="shared" si="560"/>
        <v>23.14</v>
      </c>
      <c r="G446" s="142">
        <f t="shared" si="560"/>
        <v>56.329999999999991</v>
      </c>
      <c r="H446" s="142">
        <f t="shared" si="560"/>
        <v>34.119999999999997</v>
      </c>
      <c r="I446" s="142">
        <f t="shared" si="560"/>
        <v>35.440000000000005</v>
      </c>
      <c r="J446" s="142">
        <f t="shared" si="560"/>
        <v>6.8000000000000007</v>
      </c>
      <c r="K446" s="142">
        <f t="shared" si="560"/>
        <v>15.86</v>
      </c>
      <c r="L446" s="142">
        <f t="shared" si="560"/>
        <v>83.26</v>
      </c>
      <c r="M446" s="142">
        <f t="shared" si="560"/>
        <v>100.85999999999999</v>
      </c>
      <c r="N446" s="142">
        <f t="shared" si="560"/>
        <v>42.1</v>
      </c>
      <c r="O446" s="142">
        <f t="shared" si="560"/>
        <v>82.44</v>
      </c>
      <c r="P446" s="142">
        <f t="shared" si="560"/>
        <v>95.21</v>
      </c>
      <c r="Q446" s="142">
        <f t="shared" si="560"/>
        <v>223.6</v>
      </c>
      <c r="R446" s="142">
        <f t="shared" si="560"/>
        <v>460.03</v>
      </c>
      <c r="S446" s="142">
        <f t="shared" si="560"/>
        <v>267.07000000000005</v>
      </c>
      <c r="T446" s="142">
        <f t="shared" si="560"/>
        <v>315.77</v>
      </c>
      <c r="U446" s="142">
        <f t="shared" si="560"/>
        <v>437.73999999999995</v>
      </c>
      <c r="V446" s="142">
        <f t="shared" si="560"/>
        <v>417.73</v>
      </c>
      <c r="W446" s="142">
        <f t="shared" si="560"/>
        <v>294.28999999999991</v>
      </c>
      <c r="X446" s="142">
        <f t="shared" si="560"/>
        <v>308.73</v>
      </c>
      <c r="Y446" s="142">
        <f t="shared" si="560"/>
        <v>0.65000000000000013</v>
      </c>
      <c r="Z446" s="142">
        <f t="shared" si="560"/>
        <v>3402.83</v>
      </c>
      <c r="AA446" s="184">
        <f>SUM(AA395,AA404,AA408,AA412,AA417,AA423,AA433,AA435,AA438,AA440,AA442,AA444)</f>
        <v>0.99999999999999978</v>
      </c>
      <c r="AC446" s="142">
        <f t="shared" si="555"/>
        <v>2381.15</v>
      </c>
      <c r="AD446" s="142">
        <f t="shared" si="556"/>
        <v>1020.75</v>
      </c>
      <c r="AE446" s="142">
        <f t="shared" si="544"/>
        <v>0.65000000000000013</v>
      </c>
      <c r="AF446" s="142">
        <f t="shared" si="558"/>
        <v>3402.55</v>
      </c>
      <c r="AG446" s="197">
        <f>AD446/AF446</f>
        <v>0.29999559154163785</v>
      </c>
    </row>
    <row r="447" spans="1:33" x14ac:dyDescent="0.35">
      <c r="A447" s="378" t="s">
        <v>253</v>
      </c>
      <c r="B447" s="379"/>
      <c r="C447" s="379">
        <f>C446+B446</f>
        <v>91.8</v>
      </c>
      <c r="D447" s="379">
        <f>D446+C447</f>
        <v>91.8</v>
      </c>
      <c r="E447" s="379">
        <f>E446+D447</f>
        <v>101.38</v>
      </c>
      <c r="F447" s="379">
        <f t="shared" ref="F447" si="561">F446+E447</f>
        <v>124.52</v>
      </c>
      <c r="G447" s="379">
        <f t="shared" ref="G447" si="562">G446+F447</f>
        <v>180.85</v>
      </c>
      <c r="H447" s="379">
        <f t="shared" ref="H447" si="563">H446+G447</f>
        <v>214.97</v>
      </c>
      <c r="I447" s="379">
        <f t="shared" ref="I447" si="564">I446+H447</f>
        <v>250.41</v>
      </c>
      <c r="J447" s="379">
        <f t="shared" ref="J447" si="565">J446+I447</f>
        <v>257.20999999999998</v>
      </c>
      <c r="K447" s="379">
        <f t="shared" ref="K447" si="566">K446+J447</f>
        <v>273.07</v>
      </c>
      <c r="L447" s="379">
        <f t="shared" ref="L447" si="567">L446+K447</f>
        <v>356.33</v>
      </c>
      <c r="M447" s="379">
        <f t="shared" ref="M447" si="568">M446+L447</f>
        <v>457.18999999999994</v>
      </c>
      <c r="N447" s="379">
        <f t="shared" ref="N447" si="569">N446+M447</f>
        <v>499.28999999999996</v>
      </c>
      <c r="O447" s="379">
        <f t="shared" ref="O447" si="570">O446+N447</f>
        <v>581.73</v>
      </c>
      <c r="P447" s="379">
        <f t="shared" ref="P447" si="571">P446+O447</f>
        <v>676.94</v>
      </c>
      <c r="Q447" s="379">
        <f t="shared" ref="Q447" si="572">Q446+P447</f>
        <v>900.54000000000008</v>
      </c>
      <c r="R447" s="379">
        <f t="shared" ref="R447" si="573">R446+Q447</f>
        <v>1360.5700000000002</v>
      </c>
      <c r="S447" s="379">
        <f t="shared" ref="S447" si="574">S446+R447</f>
        <v>1627.6400000000003</v>
      </c>
      <c r="T447" s="379">
        <f t="shared" ref="T447" si="575">T446+S447</f>
        <v>1943.4100000000003</v>
      </c>
      <c r="U447" s="379">
        <f t="shared" ref="U447" si="576">U446+T447</f>
        <v>2381.15</v>
      </c>
      <c r="V447" s="379">
        <f t="shared" ref="V447" si="577">V446+U447</f>
        <v>2798.88</v>
      </c>
      <c r="W447" s="379">
        <f t="shared" ref="W447" si="578">W446+V447</f>
        <v>3093.17</v>
      </c>
      <c r="X447" s="379">
        <f t="shared" ref="X447" si="579">X446+W447</f>
        <v>3401.9</v>
      </c>
    </row>
    <row r="448" spans="1:33" x14ac:dyDescent="0.35">
      <c r="A448" s="380" t="s">
        <v>254</v>
      </c>
      <c r="B448" s="379"/>
      <c r="C448" s="381"/>
      <c r="D448" s="381">
        <f>D447/C447-1</f>
        <v>0</v>
      </c>
      <c r="E448" s="381">
        <f t="shared" ref="E448" si="580">E447/D447-1</f>
        <v>0.10435729847494546</v>
      </c>
      <c r="F448" s="381">
        <f t="shared" ref="F448" si="581">F447/E447-1</f>
        <v>0.22825014795817711</v>
      </c>
      <c r="G448" s="381">
        <f t="shared" ref="G448" si="582">G447/F447-1</f>
        <v>0.45237712817218112</v>
      </c>
      <c r="H448" s="381">
        <f t="shared" ref="H448" si="583">H447/G447-1</f>
        <v>0.18866463920376009</v>
      </c>
      <c r="I448" s="381">
        <f t="shared" ref="I448" si="584">I447/H447-1</f>
        <v>0.16486021305298415</v>
      </c>
      <c r="J448" s="381">
        <f t="shared" ref="J448" si="585">J447/I447-1</f>
        <v>2.7155465037338677E-2</v>
      </c>
      <c r="K448" s="381">
        <f t="shared" ref="K448" si="586">K447/J447-1</f>
        <v>6.1661677228723732E-2</v>
      </c>
      <c r="L448" s="381">
        <f t="shared" ref="L448" si="587">L447/K447-1</f>
        <v>0.30490350459589122</v>
      </c>
      <c r="M448" s="381">
        <f t="shared" ref="M448" si="588">M447/L447-1</f>
        <v>0.28305222686835219</v>
      </c>
      <c r="N448" s="381">
        <f t="shared" ref="N448" si="589">N447/M447-1</f>
        <v>9.2084253811325789E-2</v>
      </c>
      <c r="O448" s="381">
        <f t="shared" ref="O448" si="590">O447/N447-1</f>
        <v>0.1651144625368024</v>
      </c>
      <c r="P448" s="381">
        <f t="shared" ref="P448" si="591">P447/O447-1</f>
        <v>0.16366699327866896</v>
      </c>
      <c r="Q448" s="381">
        <f t="shared" ref="Q448" si="592">Q447/P447-1</f>
        <v>0.33030992407007997</v>
      </c>
      <c r="R448" s="381">
        <f t="shared" ref="R448" si="593">R447/Q447-1</f>
        <v>0.51083794167943686</v>
      </c>
      <c r="S448" s="381">
        <f t="shared" ref="S448" si="594">S447/R447-1</f>
        <v>0.19629273025276173</v>
      </c>
      <c r="T448" s="381">
        <f t="shared" ref="T448" si="595">T447/S447-1</f>
        <v>0.19400481678995352</v>
      </c>
      <c r="U448" s="381">
        <f t="shared" ref="U448" si="596">U447/T447-1</f>
        <v>0.22524325798467637</v>
      </c>
      <c r="V448" s="381">
        <f t="shared" ref="V448" si="597">V447/U447-1</f>
        <v>0.17543203914075134</v>
      </c>
      <c r="W448" s="381">
        <f t="shared" ref="W448" si="598">W447/V447-1</f>
        <v>0.10514562968044361</v>
      </c>
      <c r="X448" s="381">
        <f t="shared" ref="X448" si="599">X447/W447-1</f>
        <v>9.9810227048626521E-2</v>
      </c>
    </row>
    <row r="452" spans="1:25" ht="15.5" x14ac:dyDescent="0.35">
      <c r="A452" s="146" t="s">
        <v>99</v>
      </c>
      <c r="B452" s="147" t="s">
        <v>100</v>
      </c>
      <c r="C452" s="147">
        <v>2000</v>
      </c>
      <c r="D452" s="147">
        <v>2001</v>
      </c>
      <c r="E452" s="147">
        <v>2002</v>
      </c>
      <c r="F452" s="147">
        <v>2003</v>
      </c>
      <c r="G452" s="147">
        <v>2004</v>
      </c>
      <c r="H452" s="147">
        <v>2005</v>
      </c>
      <c r="I452" s="147">
        <v>2006</v>
      </c>
      <c r="J452" s="147">
        <v>2007</v>
      </c>
      <c r="K452" s="147">
        <v>2008</v>
      </c>
      <c r="L452" s="147">
        <v>2009</v>
      </c>
      <c r="M452" s="147">
        <v>2010</v>
      </c>
      <c r="N452" s="147">
        <v>2011</v>
      </c>
      <c r="O452" s="147">
        <v>2012</v>
      </c>
      <c r="P452" s="147">
        <v>2013</v>
      </c>
      <c r="Q452" s="147">
        <v>2014</v>
      </c>
      <c r="R452" s="147">
        <v>2015</v>
      </c>
      <c r="S452" s="147">
        <v>2016</v>
      </c>
      <c r="T452" s="147">
        <v>2017</v>
      </c>
      <c r="U452" s="147">
        <v>2018</v>
      </c>
      <c r="V452" s="147">
        <v>2019</v>
      </c>
      <c r="W452" s="147">
        <v>2020</v>
      </c>
      <c r="X452" s="147">
        <v>2021</v>
      </c>
      <c r="Y452" s="183" t="s">
        <v>90</v>
      </c>
    </row>
    <row r="453" spans="1:25" x14ac:dyDescent="0.35">
      <c r="A453" s="145" t="s">
        <v>5</v>
      </c>
      <c r="B453" s="22">
        <f t="shared" ref="B453:Y453" si="600">B395/$Z$395</f>
        <v>0</v>
      </c>
      <c r="C453" s="22">
        <f t="shared" si="600"/>
        <v>0</v>
      </c>
      <c r="D453" s="22">
        <f t="shared" si="600"/>
        <v>0</v>
      </c>
      <c r="E453" s="22">
        <f t="shared" si="600"/>
        <v>0</v>
      </c>
      <c r="F453" s="22">
        <f t="shared" si="600"/>
        <v>0</v>
      </c>
      <c r="G453" s="22">
        <f t="shared" si="600"/>
        <v>0</v>
      </c>
      <c r="H453" s="22">
        <f t="shared" si="600"/>
        <v>3.5251243955427849E-2</v>
      </c>
      <c r="I453" s="22">
        <f t="shared" si="600"/>
        <v>4.4502067418880093E-3</v>
      </c>
      <c r="J453" s="22">
        <f t="shared" si="600"/>
        <v>0</v>
      </c>
      <c r="K453" s="22">
        <f t="shared" si="600"/>
        <v>0</v>
      </c>
      <c r="L453" s="22">
        <f t="shared" si="600"/>
        <v>9.5661924451608382E-3</v>
      </c>
      <c r="M453" s="22">
        <f t="shared" si="600"/>
        <v>1.9973368841544607E-3</v>
      </c>
      <c r="N453" s="22">
        <f t="shared" si="600"/>
        <v>5.406825986404093E-2</v>
      </c>
      <c r="O453" s="22">
        <f t="shared" si="600"/>
        <v>4.7165183264419375E-2</v>
      </c>
      <c r="P453" s="22">
        <f t="shared" si="600"/>
        <v>0</v>
      </c>
      <c r="Q453" s="22">
        <f t="shared" si="600"/>
        <v>0.34115915621276893</v>
      </c>
      <c r="R453" s="22">
        <f t="shared" si="600"/>
        <v>0.10200434508374799</v>
      </c>
      <c r="S453" s="22">
        <f t="shared" si="600"/>
        <v>2.3757796622047796E-2</v>
      </c>
      <c r="T453" s="22">
        <f t="shared" si="600"/>
        <v>3.5811899922909805E-2</v>
      </c>
      <c r="U453" s="22">
        <f t="shared" si="600"/>
        <v>0.12418529679725278</v>
      </c>
      <c r="V453" s="22">
        <f t="shared" si="600"/>
        <v>6.331908332749317E-2</v>
      </c>
      <c r="W453" s="22">
        <f t="shared" si="600"/>
        <v>4.1488541593664587E-2</v>
      </c>
      <c r="X453" s="22">
        <f t="shared" si="600"/>
        <v>0.11472422734599483</v>
      </c>
      <c r="Y453" s="384">
        <f t="shared" si="600"/>
        <v>7.0081995935244236E-5</v>
      </c>
    </row>
    <row r="454" spans="1:25" x14ac:dyDescent="0.35">
      <c r="A454" s="145" t="s">
        <v>12</v>
      </c>
      <c r="B454" s="22">
        <f t="shared" ref="B454:Y454" si="601">B404/$Z$404</f>
        <v>5.8551617873651769E-2</v>
      </c>
      <c r="C454" s="22">
        <f t="shared" si="601"/>
        <v>0</v>
      </c>
      <c r="D454" s="22">
        <f t="shared" si="601"/>
        <v>0</v>
      </c>
      <c r="E454" s="22">
        <f t="shared" si="601"/>
        <v>0</v>
      </c>
      <c r="F454" s="22">
        <f t="shared" si="601"/>
        <v>0</v>
      </c>
      <c r="G454" s="22">
        <f t="shared" si="601"/>
        <v>0</v>
      </c>
      <c r="H454" s="22">
        <f t="shared" si="601"/>
        <v>0</v>
      </c>
      <c r="I454" s="22">
        <f t="shared" si="601"/>
        <v>0</v>
      </c>
      <c r="J454" s="22">
        <f t="shared" si="601"/>
        <v>0</v>
      </c>
      <c r="K454" s="22">
        <f t="shared" si="601"/>
        <v>0</v>
      </c>
      <c r="L454" s="22">
        <f t="shared" si="601"/>
        <v>0</v>
      </c>
      <c r="M454" s="22">
        <f t="shared" si="601"/>
        <v>0</v>
      </c>
      <c r="N454" s="22">
        <f t="shared" si="601"/>
        <v>0</v>
      </c>
      <c r="O454" s="22">
        <f t="shared" si="601"/>
        <v>0</v>
      </c>
      <c r="P454" s="22">
        <f t="shared" si="601"/>
        <v>0</v>
      </c>
      <c r="Q454" s="22">
        <f t="shared" si="601"/>
        <v>0</v>
      </c>
      <c r="R454" s="22">
        <f t="shared" si="601"/>
        <v>0</v>
      </c>
      <c r="S454" s="22">
        <f t="shared" si="601"/>
        <v>1.438109912686184E-2</v>
      </c>
      <c r="T454" s="22">
        <f t="shared" si="601"/>
        <v>0</v>
      </c>
      <c r="U454" s="22">
        <f t="shared" si="601"/>
        <v>0.40703646635850033</v>
      </c>
      <c r="V454" s="22">
        <f t="shared" si="601"/>
        <v>0.10349255264509503</v>
      </c>
      <c r="W454" s="22">
        <f t="shared" si="601"/>
        <v>0.31047765793528509</v>
      </c>
      <c r="X454" s="22">
        <f t="shared" si="601"/>
        <v>0.10606060606060609</v>
      </c>
      <c r="Y454" s="385">
        <f t="shared" si="601"/>
        <v>0</v>
      </c>
    </row>
    <row r="455" spans="1:25" x14ac:dyDescent="0.35">
      <c r="A455" s="145" t="s">
        <v>13</v>
      </c>
      <c r="B455" s="22">
        <f t="shared" ref="B455:Y455" si="602">B408/$Z$408</f>
        <v>0</v>
      </c>
      <c r="C455" s="22">
        <f t="shared" si="602"/>
        <v>0</v>
      </c>
      <c r="D455" s="22">
        <f t="shared" si="602"/>
        <v>0</v>
      </c>
      <c r="E455" s="22">
        <f t="shared" si="602"/>
        <v>0</v>
      </c>
      <c r="F455" s="22">
        <f t="shared" si="602"/>
        <v>0</v>
      </c>
      <c r="G455" s="22">
        <f t="shared" si="602"/>
        <v>0</v>
      </c>
      <c r="H455" s="22">
        <f t="shared" si="602"/>
        <v>0.12550607287449392</v>
      </c>
      <c r="I455" s="22">
        <f t="shared" si="602"/>
        <v>0</v>
      </c>
      <c r="J455" s="22">
        <f t="shared" si="602"/>
        <v>0</v>
      </c>
      <c r="K455" s="22">
        <f t="shared" si="602"/>
        <v>0</v>
      </c>
      <c r="L455" s="22">
        <f t="shared" si="602"/>
        <v>0</v>
      </c>
      <c r="M455" s="22">
        <f t="shared" si="602"/>
        <v>0</v>
      </c>
      <c r="N455" s="22">
        <f t="shared" si="602"/>
        <v>0</v>
      </c>
      <c r="O455" s="22">
        <f t="shared" si="602"/>
        <v>0</v>
      </c>
      <c r="P455" s="22">
        <f t="shared" si="602"/>
        <v>0</v>
      </c>
      <c r="Q455" s="22">
        <f t="shared" si="602"/>
        <v>0</v>
      </c>
      <c r="R455" s="22">
        <f t="shared" si="602"/>
        <v>0</v>
      </c>
      <c r="S455" s="22">
        <f t="shared" si="602"/>
        <v>0</v>
      </c>
      <c r="T455" s="22">
        <f t="shared" si="602"/>
        <v>0.67881241565452088</v>
      </c>
      <c r="U455" s="22">
        <f t="shared" si="602"/>
        <v>0.19568151147098514</v>
      </c>
      <c r="V455" s="22">
        <f t="shared" si="602"/>
        <v>0</v>
      </c>
      <c r="W455" s="22">
        <f t="shared" si="602"/>
        <v>0</v>
      </c>
      <c r="X455" s="22">
        <f t="shared" si="602"/>
        <v>0</v>
      </c>
      <c r="Y455" s="385">
        <f t="shared" si="602"/>
        <v>0</v>
      </c>
    </row>
    <row r="456" spans="1:25" x14ac:dyDescent="0.35">
      <c r="A456" s="145" t="s">
        <v>14</v>
      </c>
      <c r="B456" s="22">
        <f t="shared" ref="B456:Y456" si="603">B412/$Z$412</f>
        <v>8.5897435897435898E-2</v>
      </c>
      <c r="C456" s="22">
        <f t="shared" si="603"/>
        <v>0</v>
      </c>
      <c r="D456" s="22">
        <f t="shared" si="603"/>
        <v>0</v>
      </c>
      <c r="E456" s="22">
        <f t="shared" si="603"/>
        <v>0</v>
      </c>
      <c r="F456" s="22">
        <f t="shared" si="603"/>
        <v>0</v>
      </c>
      <c r="G456" s="22">
        <f t="shared" si="603"/>
        <v>0</v>
      </c>
      <c r="H456" s="22">
        <f t="shared" si="603"/>
        <v>0</v>
      </c>
      <c r="I456" s="22">
        <f t="shared" si="603"/>
        <v>0</v>
      </c>
      <c r="J456" s="22">
        <f t="shared" si="603"/>
        <v>0</v>
      </c>
      <c r="K456" s="22">
        <f t="shared" si="603"/>
        <v>0</v>
      </c>
      <c r="L456" s="22">
        <f t="shared" si="603"/>
        <v>0</v>
      </c>
      <c r="M456" s="22">
        <f t="shared" si="603"/>
        <v>0</v>
      </c>
      <c r="N456" s="22">
        <f t="shared" si="603"/>
        <v>0</v>
      </c>
      <c r="O456" s="22">
        <f t="shared" si="603"/>
        <v>0</v>
      </c>
      <c r="P456" s="22">
        <f t="shared" si="603"/>
        <v>0</v>
      </c>
      <c r="Q456" s="22">
        <f t="shared" si="603"/>
        <v>0</v>
      </c>
      <c r="R456" s="22">
        <f t="shared" si="603"/>
        <v>0</v>
      </c>
      <c r="S456" s="22">
        <f t="shared" si="603"/>
        <v>0.26858974358974358</v>
      </c>
      <c r="T456" s="22">
        <f t="shared" si="603"/>
        <v>0.52756410256410269</v>
      </c>
      <c r="U456" s="22">
        <f t="shared" si="603"/>
        <v>3.2051282051282059E-3</v>
      </c>
      <c r="V456" s="22">
        <f t="shared" si="603"/>
        <v>0</v>
      </c>
      <c r="W456" s="22">
        <f t="shared" si="603"/>
        <v>1.5384615384615385E-2</v>
      </c>
      <c r="X456" s="22">
        <f t="shared" si="603"/>
        <v>9.9358974358974367E-2</v>
      </c>
      <c r="Y456" s="385">
        <f t="shared" si="603"/>
        <v>0</v>
      </c>
    </row>
    <row r="457" spans="1:25" x14ac:dyDescent="0.35">
      <c r="A457" s="145" t="s">
        <v>15</v>
      </c>
      <c r="B457" s="22">
        <f t="shared" ref="B457:Y457" si="604">B417/$Z$417</f>
        <v>8.2297398548214287E-3</v>
      </c>
      <c r="C457" s="22">
        <f t="shared" si="604"/>
        <v>2.6751689856029909E-2</v>
      </c>
      <c r="D457" s="22">
        <f t="shared" si="604"/>
        <v>0</v>
      </c>
      <c r="E457" s="22">
        <f t="shared" si="604"/>
        <v>3.8590752721091182E-3</v>
      </c>
      <c r="F457" s="22">
        <f t="shared" si="604"/>
        <v>9.321398934927453E-3</v>
      </c>
      <c r="G457" s="22">
        <f t="shared" si="604"/>
        <v>2.2691201469510085E-2</v>
      </c>
      <c r="H457" s="22">
        <f t="shared" si="604"/>
        <v>9.3173706726392379E-3</v>
      </c>
      <c r="I457" s="22">
        <f t="shared" si="604"/>
        <v>1.3764572238827618E-2</v>
      </c>
      <c r="J457" s="22">
        <f t="shared" si="604"/>
        <v>2.7392183559855959E-3</v>
      </c>
      <c r="K457" s="22">
        <f t="shared" si="604"/>
        <v>6.3888239891075798E-3</v>
      </c>
      <c r="L457" s="22">
        <f t="shared" si="604"/>
        <v>3.2439596206988233E-2</v>
      </c>
      <c r="M457" s="22">
        <f t="shared" si="604"/>
        <v>3.946085737534543E-2</v>
      </c>
      <c r="N457" s="22">
        <f t="shared" si="604"/>
        <v>1.0743375522667034E-2</v>
      </c>
      <c r="O457" s="22">
        <f t="shared" si="604"/>
        <v>2.520483713735569E-2</v>
      </c>
      <c r="P457" s="22">
        <f t="shared" si="604"/>
        <v>2.3786888811904324E-2</v>
      </c>
      <c r="Q457" s="22">
        <f t="shared" si="604"/>
        <v>4.1466931994876062E-2</v>
      </c>
      <c r="R457" s="22">
        <f t="shared" si="604"/>
        <v>7.7221788065064509E-2</v>
      </c>
      <c r="S457" s="22">
        <f t="shared" si="604"/>
        <v>8.1902628843969316E-2</v>
      </c>
      <c r="T457" s="22">
        <f t="shared" si="604"/>
        <v>0.10060182238585921</v>
      </c>
      <c r="U457" s="22">
        <f t="shared" si="604"/>
        <v>0.12364751093673212</v>
      </c>
      <c r="V457" s="22">
        <f t="shared" si="604"/>
        <v>0.14209695221675275</v>
      </c>
      <c r="W457" s="22">
        <f t="shared" si="604"/>
        <v>9.2416393416208109E-2</v>
      </c>
      <c r="X457" s="22">
        <f t="shared" si="604"/>
        <v>0.10573382854104399</v>
      </c>
      <c r="Y457" s="384">
        <f t="shared" si="604"/>
        <v>2.1349790127534788E-4</v>
      </c>
    </row>
    <row r="458" spans="1:25" x14ac:dyDescent="0.35">
      <c r="A458" s="145" t="s">
        <v>16</v>
      </c>
      <c r="B458" s="22">
        <f t="shared" ref="B458:Y458" si="605">B423/$Z$423</f>
        <v>0</v>
      </c>
      <c r="C458" s="22">
        <f t="shared" si="605"/>
        <v>0</v>
      </c>
      <c r="D458" s="22">
        <f t="shared" si="605"/>
        <v>0</v>
      </c>
      <c r="E458" s="22">
        <f t="shared" si="605"/>
        <v>0</v>
      </c>
      <c r="F458" s="22">
        <f t="shared" si="605"/>
        <v>0</v>
      </c>
      <c r="G458" s="22">
        <f t="shared" si="605"/>
        <v>0</v>
      </c>
      <c r="H458" s="22">
        <f t="shared" si="605"/>
        <v>0</v>
      </c>
      <c r="I458" s="22">
        <f t="shared" si="605"/>
        <v>0</v>
      </c>
      <c r="J458" s="22">
        <f t="shared" si="605"/>
        <v>0</v>
      </c>
      <c r="K458" s="22">
        <f t="shared" si="605"/>
        <v>0</v>
      </c>
      <c r="L458" s="22">
        <f t="shared" si="605"/>
        <v>0</v>
      </c>
      <c r="M458" s="22">
        <f t="shared" si="605"/>
        <v>1.1094709775724966E-2</v>
      </c>
      <c r="N458" s="22">
        <f t="shared" si="605"/>
        <v>0</v>
      </c>
      <c r="O458" s="22">
        <f t="shared" si="605"/>
        <v>3.0522356078281989E-2</v>
      </c>
      <c r="P458" s="22">
        <f t="shared" si="605"/>
        <v>3.1093757440121897E-2</v>
      </c>
      <c r="Q458" s="22">
        <f t="shared" si="605"/>
        <v>5.5997333460311417E-2</v>
      </c>
      <c r="R458" s="22">
        <f t="shared" si="605"/>
        <v>8.9376696347792967E-2</v>
      </c>
      <c r="S458" s="22">
        <f t="shared" si="605"/>
        <v>6.8425313080329508E-2</v>
      </c>
      <c r="T458" s="22">
        <f t="shared" si="605"/>
        <v>0.14127898671491834</v>
      </c>
      <c r="U458" s="22">
        <f t="shared" si="605"/>
        <v>0.3202704633112709</v>
      </c>
      <c r="V458" s="22">
        <f t="shared" si="605"/>
        <v>0.10594733584115043</v>
      </c>
      <c r="W458" s="22">
        <f t="shared" si="605"/>
        <v>0.14204085519737156</v>
      </c>
      <c r="X458" s="22">
        <f t="shared" si="605"/>
        <v>3.9521927527260605E-3</v>
      </c>
      <c r="Y458" s="385">
        <f t="shared" si="605"/>
        <v>0</v>
      </c>
    </row>
    <row r="459" spans="1:25" x14ac:dyDescent="0.35">
      <c r="A459" s="145" t="s">
        <v>18</v>
      </c>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384"/>
    </row>
    <row r="460" spans="1:25" x14ac:dyDescent="0.35">
      <c r="A460" s="145" t="s">
        <v>17</v>
      </c>
      <c r="B460" s="22">
        <f t="shared" ref="B460:Y460" si="606">B435/$Z$435</f>
        <v>0</v>
      </c>
      <c r="C460" s="22">
        <f t="shared" si="606"/>
        <v>0</v>
      </c>
      <c r="D460" s="22">
        <f t="shared" si="606"/>
        <v>0</v>
      </c>
      <c r="E460" s="22">
        <f t="shared" si="606"/>
        <v>0</v>
      </c>
      <c r="F460" s="22">
        <f t="shared" si="606"/>
        <v>0</v>
      </c>
      <c r="G460" s="22">
        <f t="shared" si="606"/>
        <v>0</v>
      </c>
      <c r="H460" s="22">
        <f t="shared" si="606"/>
        <v>0</v>
      </c>
      <c r="I460" s="22">
        <f t="shared" si="606"/>
        <v>0</v>
      </c>
      <c r="J460" s="22">
        <f t="shared" si="606"/>
        <v>0</v>
      </c>
      <c r="K460" s="22">
        <f t="shared" si="606"/>
        <v>0</v>
      </c>
      <c r="L460" s="22">
        <f t="shared" si="606"/>
        <v>0</v>
      </c>
      <c r="M460" s="22">
        <f t="shared" si="606"/>
        <v>0</v>
      </c>
      <c r="N460" s="22">
        <f t="shared" si="606"/>
        <v>0</v>
      </c>
      <c r="O460" s="22">
        <f t="shared" si="606"/>
        <v>0</v>
      </c>
      <c r="P460" s="22">
        <f t="shared" si="606"/>
        <v>8.3946980854197342E-2</v>
      </c>
      <c r="Q460" s="22">
        <f t="shared" si="606"/>
        <v>0</v>
      </c>
      <c r="R460" s="22">
        <f t="shared" si="606"/>
        <v>0</v>
      </c>
      <c r="S460" s="22">
        <f t="shared" si="606"/>
        <v>0</v>
      </c>
      <c r="T460" s="22">
        <f t="shared" si="606"/>
        <v>0.68483063328424154</v>
      </c>
      <c r="U460" s="22">
        <f t="shared" si="606"/>
        <v>5.8910162002945507E-3</v>
      </c>
      <c r="V460" s="22">
        <f t="shared" si="606"/>
        <v>0</v>
      </c>
      <c r="W460" s="22">
        <f t="shared" si="606"/>
        <v>0.21502209131075109</v>
      </c>
      <c r="X460" s="22">
        <f t="shared" si="606"/>
        <v>0</v>
      </c>
      <c r="Y460" s="384">
        <f t="shared" si="606"/>
        <v>1.0309278350515465E-2</v>
      </c>
    </row>
    <row r="461" spans="1:25" x14ac:dyDescent="0.35">
      <c r="A461" s="145" t="s">
        <v>20</v>
      </c>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384"/>
    </row>
    <row r="462" spans="1:25" x14ac:dyDescent="0.35">
      <c r="A462" s="145" t="s">
        <v>21</v>
      </c>
      <c r="B462" s="22">
        <f t="shared" ref="B462:Y462" si="607">B440/$Z$440</f>
        <v>0</v>
      </c>
      <c r="C462" s="22">
        <f t="shared" si="607"/>
        <v>0</v>
      </c>
      <c r="D462" s="22">
        <f t="shared" si="607"/>
        <v>0</v>
      </c>
      <c r="E462" s="22">
        <f t="shared" si="607"/>
        <v>0</v>
      </c>
      <c r="F462" s="22">
        <f t="shared" si="607"/>
        <v>0</v>
      </c>
      <c r="G462" s="22">
        <f t="shared" si="607"/>
        <v>0</v>
      </c>
      <c r="H462" s="22">
        <f t="shared" si="607"/>
        <v>0</v>
      </c>
      <c r="I462" s="22">
        <f t="shared" si="607"/>
        <v>0</v>
      </c>
      <c r="J462" s="22">
        <f t="shared" si="607"/>
        <v>0</v>
      </c>
      <c r="K462" s="22">
        <f t="shared" si="607"/>
        <v>0</v>
      </c>
      <c r="L462" s="22">
        <f t="shared" si="607"/>
        <v>0</v>
      </c>
      <c r="M462" s="22">
        <f t="shared" si="607"/>
        <v>0</v>
      </c>
      <c r="N462" s="22">
        <f t="shared" si="607"/>
        <v>0</v>
      </c>
      <c r="O462" s="22">
        <f t="shared" si="607"/>
        <v>0</v>
      </c>
      <c r="P462" s="22">
        <f t="shared" si="607"/>
        <v>0</v>
      </c>
      <c r="Q462" s="22">
        <f t="shared" si="607"/>
        <v>0</v>
      </c>
      <c r="R462" s="22">
        <f t="shared" si="607"/>
        <v>0</v>
      </c>
      <c r="S462" s="22">
        <f t="shared" si="607"/>
        <v>0</v>
      </c>
      <c r="T462" s="22">
        <f t="shared" si="607"/>
        <v>0</v>
      </c>
      <c r="U462" s="22">
        <f t="shared" si="607"/>
        <v>0</v>
      </c>
      <c r="V462" s="22">
        <f t="shared" si="607"/>
        <v>0.89745836985100791</v>
      </c>
      <c r="W462" s="22">
        <f t="shared" si="607"/>
        <v>0.10254163014899211</v>
      </c>
      <c r="X462" s="22">
        <f t="shared" si="607"/>
        <v>0</v>
      </c>
      <c r="Y462" s="385">
        <f t="shared" si="607"/>
        <v>0</v>
      </c>
    </row>
    <row r="463" spans="1:25" x14ac:dyDescent="0.35">
      <c r="A463" s="145" t="s">
        <v>22</v>
      </c>
      <c r="B463" s="22">
        <f t="shared" ref="B463:Y463" si="608">B442/$Z$442</f>
        <v>0</v>
      </c>
      <c r="C463" s="22">
        <f t="shared" si="608"/>
        <v>0</v>
      </c>
      <c r="D463" s="22">
        <f t="shared" si="608"/>
        <v>0</v>
      </c>
      <c r="E463" s="22">
        <f t="shared" si="608"/>
        <v>0</v>
      </c>
      <c r="F463" s="22">
        <f t="shared" si="608"/>
        <v>0</v>
      </c>
      <c r="G463" s="22">
        <f t="shared" si="608"/>
        <v>0</v>
      </c>
      <c r="H463" s="22">
        <f t="shared" si="608"/>
        <v>0</v>
      </c>
      <c r="I463" s="22">
        <f t="shared" si="608"/>
        <v>0</v>
      </c>
      <c r="J463" s="22">
        <f t="shared" si="608"/>
        <v>0</v>
      </c>
      <c r="K463" s="22">
        <f t="shared" si="608"/>
        <v>0</v>
      </c>
      <c r="L463" s="22">
        <f t="shared" si="608"/>
        <v>0</v>
      </c>
      <c r="M463" s="22">
        <f t="shared" si="608"/>
        <v>0</v>
      </c>
      <c r="N463" s="22">
        <f t="shared" si="608"/>
        <v>0</v>
      </c>
      <c r="O463" s="22">
        <f t="shared" si="608"/>
        <v>0</v>
      </c>
      <c r="P463" s="22">
        <f t="shared" si="608"/>
        <v>9.1435403687621944E-2</v>
      </c>
      <c r="Q463" s="22">
        <f t="shared" si="608"/>
        <v>3.630986092756907E-2</v>
      </c>
      <c r="R463" s="22">
        <f t="shared" si="608"/>
        <v>0.6936316153797748</v>
      </c>
      <c r="S463" s="22">
        <f t="shared" si="608"/>
        <v>0.10590900509722485</v>
      </c>
      <c r="T463" s="22">
        <f t="shared" si="608"/>
        <v>0</v>
      </c>
      <c r="U463" s="22">
        <f t="shared" si="608"/>
        <v>3.3509533698319813E-2</v>
      </c>
      <c r="V463" s="22">
        <f t="shared" si="608"/>
        <v>4.7196526335661703E-4</v>
      </c>
      <c r="W463" s="22">
        <f t="shared" si="608"/>
        <v>2.1490151658171298E-2</v>
      </c>
      <c r="X463" s="22">
        <f t="shared" si="608"/>
        <v>1.714807123529042E-2</v>
      </c>
      <c r="Y463" s="384">
        <f t="shared" si="608"/>
        <v>9.4393052671323401E-5</v>
      </c>
    </row>
    <row r="464" spans="1:25" x14ac:dyDescent="0.35">
      <c r="A464" s="145" t="s">
        <v>23</v>
      </c>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384"/>
    </row>
    <row r="465" spans="1:25" x14ac:dyDescent="0.35">
      <c r="A465" s="145" t="s">
        <v>25</v>
      </c>
      <c r="B465" s="22">
        <f t="shared" ref="B465:Y465" si="609">B446/$Z$446</f>
        <v>7.4614365101988642E-3</v>
      </c>
      <c r="C465" s="22">
        <f t="shared" si="609"/>
        <v>1.9516108650740705E-2</v>
      </c>
      <c r="D465" s="22">
        <f t="shared" si="609"/>
        <v>0</v>
      </c>
      <c r="E465" s="22">
        <f t="shared" si="609"/>
        <v>2.8153037324814933E-3</v>
      </c>
      <c r="F465" s="22">
        <f t="shared" si="609"/>
        <v>6.8002221680189727E-3</v>
      </c>
      <c r="G465" s="22">
        <f t="shared" si="609"/>
        <v>1.6553868397774792E-2</v>
      </c>
      <c r="H465" s="22">
        <f t="shared" si="609"/>
        <v>1.0026948157856843E-2</v>
      </c>
      <c r="I465" s="22">
        <f t="shared" si="609"/>
        <v>1.0414860571935714E-2</v>
      </c>
      <c r="J465" s="22">
        <f t="shared" si="609"/>
        <v>1.9983366785881166E-3</v>
      </c>
      <c r="K465" s="22">
        <f t="shared" si="609"/>
        <v>4.6608264297658122E-3</v>
      </c>
      <c r="L465" s="22">
        <f t="shared" si="609"/>
        <v>2.4467869391065673E-2</v>
      </c>
      <c r="M465" s="22">
        <f t="shared" si="609"/>
        <v>2.9640034912117263E-2</v>
      </c>
      <c r="N465" s="22">
        <f t="shared" si="609"/>
        <v>1.2372055024788192E-2</v>
      </c>
      <c r="O465" s="22">
        <f t="shared" si="609"/>
        <v>2.4226893497471223E-2</v>
      </c>
      <c r="P465" s="22">
        <f t="shared" si="609"/>
        <v>2.7979652230643318E-2</v>
      </c>
      <c r="Q465" s="22">
        <f t="shared" si="609"/>
        <v>6.5710011960632767E-2</v>
      </c>
      <c r="R465" s="22">
        <f t="shared" si="609"/>
        <v>0.13519041503689574</v>
      </c>
      <c r="S465" s="22">
        <f t="shared" si="609"/>
        <v>7.8484673051548284E-2</v>
      </c>
      <c r="T465" s="22">
        <f t="shared" si="609"/>
        <v>9.2796290146730812E-2</v>
      </c>
      <c r="U465" s="22">
        <f t="shared" si="609"/>
        <v>0.1286399849537003</v>
      </c>
      <c r="V465" s="22">
        <f t="shared" si="609"/>
        <v>0.12275958540391381</v>
      </c>
      <c r="W465" s="22">
        <f t="shared" si="609"/>
        <v>8.6483897226720091E-2</v>
      </c>
      <c r="X465" s="22">
        <f t="shared" si="609"/>
        <v>9.0727423938310181E-2</v>
      </c>
      <c r="Y465" s="384">
        <f t="shared" si="609"/>
        <v>1.9101747662974647E-4</v>
      </c>
    </row>
    <row r="468" spans="1:25" ht="18.5" x14ac:dyDescent="0.45">
      <c r="A468" s="624" t="s">
        <v>343</v>
      </c>
      <c r="B468" t="s">
        <v>341</v>
      </c>
    </row>
    <row r="469" spans="1:25" x14ac:dyDescent="0.35">
      <c r="A469" s="136"/>
    </row>
    <row r="470" spans="1:25" x14ac:dyDescent="0.35">
      <c r="A470" s="136"/>
      <c r="B470" s="698" t="s">
        <v>242</v>
      </c>
      <c r="C470" s="698"/>
      <c r="D470" s="698" t="s">
        <v>213</v>
      </c>
      <c r="E470" s="698"/>
    </row>
    <row r="471" spans="1:25" x14ac:dyDescent="0.35">
      <c r="A471" s="136"/>
      <c r="B471" t="s">
        <v>223</v>
      </c>
      <c r="C471" t="s">
        <v>224</v>
      </c>
      <c r="D471" t="s">
        <v>344</v>
      </c>
      <c r="E471" t="s">
        <v>224</v>
      </c>
      <c r="H471" s="698" t="s">
        <v>242</v>
      </c>
      <c r="I471" t="s">
        <v>223</v>
      </c>
      <c r="J471" s="190">
        <v>0.66767010354718115</v>
      </c>
    </row>
    <row r="472" spans="1:25" x14ac:dyDescent="0.35">
      <c r="A472" s="623" t="s">
        <v>5</v>
      </c>
      <c r="B472" s="382">
        <f>AG166</f>
        <v>0.60555229498575369</v>
      </c>
      <c r="C472" s="382">
        <f>AG244</f>
        <v>0.41819587160134586</v>
      </c>
      <c r="D472" s="190">
        <f>AG319</f>
        <v>0.61163928120019784</v>
      </c>
      <c r="E472" s="382">
        <f>AG395</f>
        <v>0.21974745703262014</v>
      </c>
      <c r="H472" s="698"/>
      <c r="I472" t="s">
        <v>224</v>
      </c>
      <c r="J472" s="190">
        <v>0.51493377932764073</v>
      </c>
    </row>
    <row r="473" spans="1:25" x14ac:dyDescent="0.35">
      <c r="A473" s="623" t="s">
        <v>12</v>
      </c>
      <c r="B473" s="382">
        <f>AG175</f>
        <v>0.68530248537226901</v>
      </c>
      <c r="C473" s="382">
        <f>AG253</f>
        <v>0.40580226038978373</v>
      </c>
      <c r="D473" s="190">
        <f>AG328</f>
        <v>0.70479431784551638</v>
      </c>
      <c r="E473" s="382">
        <f>AG404</f>
        <v>0.52003081664098616</v>
      </c>
      <c r="H473" s="698" t="s">
        <v>213</v>
      </c>
      <c r="I473" t="s">
        <v>344</v>
      </c>
      <c r="J473" s="190">
        <v>0.48440385946669501</v>
      </c>
    </row>
    <row r="474" spans="1:25" x14ac:dyDescent="0.35">
      <c r="A474" s="623" t="s">
        <v>13</v>
      </c>
      <c r="B474" s="382">
        <f>AG179</f>
        <v>0.48517024558073318</v>
      </c>
      <c r="C474" s="382">
        <f>AG257</f>
        <v>0.29802955665024633</v>
      </c>
      <c r="D474" s="190">
        <f>AG332</f>
        <v>0.59388185654008441</v>
      </c>
      <c r="E474" s="382">
        <f>AG408</f>
        <v>0</v>
      </c>
      <c r="H474" s="698"/>
      <c r="I474" t="s">
        <v>224</v>
      </c>
      <c r="J474" s="190">
        <v>0.29999559154163785</v>
      </c>
    </row>
    <row r="475" spans="1:25" x14ac:dyDescent="0.35">
      <c r="A475" s="623" t="s">
        <v>14</v>
      </c>
      <c r="B475" s="382">
        <f>AG183</f>
        <v>0.25688235814818089</v>
      </c>
      <c r="C475" s="382">
        <f>AG261</f>
        <v>0.47190589119256154</v>
      </c>
      <c r="D475" s="190">
        <f>AG336</f>
        <v>0.51993355481727577</v>
      </c>
      <c r="E475" s="382">
        <f>AG412</f>
        <v>0.11474358974358974</v>
      </c>
    </row>
    <row r="476" spans="1:25" x14ac:dyDescent="0.35">
      <c r="A476" s="623" t="s">
        <v>15</v>
      </c>
      <c r="B476" s="382">
        <f>AG188</f>
        <v>0.67763921075245437</v>
      </c>
      <c r="C476" s="382">
        <f>AG266</f>
        <v>0.54904551025923687</v>
      </c>
      <c r="D476" s="190">
        <f>AG341</f>
        <v>0.47878430157828111</v>
      </c>
      <c r="E476" s="382">
        <f>AG417</f>
        <v>0.3402471741740048</v>
      </c>
    </row>
    <row r="477" spans="1:25" x14ac:dyDescent="0.35">
      <c r="A477" s="623" t="s">
        <v>16</v>
      </c>
      <c r="B477" s="382">
        <f>AG194</f>
        <v>0.69171207530055145</v>
      </c>
      <c r="C477" s="382">
        <f>AG272</f>
        <v>0.34965182527959487</v>
      </c>
      <c r="D477" s="190">
        <f>AG347</f>
        <v>0.56262091202210962</v>
      </c>
      <c r="E477" s="382">
        <f>AG423</f>
        <v>0.25194038379124806</v>
      </c>
    </row>
    <row r="478" spans="1:25" x14ac:dyDescent="0.35">
      <c r="A478" s="623" t="s">
        <v>18</v>
      </c>
      <c r="B478" s="382">
        <v>0</v>
      </c>
      <c r="C478" s="382">
        <v>0</v>
      </c>
      <c r="D478" s="190">
        <v>0</v>
      </c>
      <c r="E478" s="382">
        <f>AG433</f>
        <v>0</v>
      </c>
    </row>
    <row r="479" spans="1:25" x14ac:dyDescent="0.35">
      <c r="A479" s="623" t="s">
        <v>17</v>
      </c>
      <c r="B479" s="382">
        <f>AG204</f>
        <v>0.64999755465349451</v>
      </c>
      <c r="C479" s="382">
        <f>AG284</f>
        <v>0.45911622991635165</v>
      </c>
      <c r="D479" s="190">
        <f>AG357</f>
        <v>0.20787325972155546</v>
      </c>
      <c r="E479" s="382">
        <f>AG435</f>
        <v>0.21502209131075106</v>
      </c>
    </row>
    <row r="480" spans="1:25" x14ac:dyDescent="0.35">
      <c r="A480" s="623" t="s">
        <v>20</v>
      </c>
      <c r="B480" s="382">
        <f>AG212</f>
        <v>0.85441527446300713</v>
      </c>
      <c r="C480" s="382">
        <f>AG287</f>
        <v>0</v>
      </c>
      <c r="D480" s="190">
        <f>AG365</f>
        <v>0</v>
      </c>
      <c r="E480" s="382">
        <f>AG438</f>
        <v>0</v>
      </c>
    </row>
    <row r="481" spans="1:10" x14ac:dyDescent="0.35">
      <c r="A481" s="623" t="s">
        <v>21</v>
      </c>
      <c r="B481" s="382">
        <f>AG214</f>
        <v>0.64945205479452051</v>
      </c>
      <c r="C481" s="382">
        <f>AG289</f>
        <v>0.54280635923768139</v>
      </c>
      <c r="D481" s="190">
        <f>AG367</f>
        <v>0.20161131853016306</v>
      </c>
      <c r="E481" s="382">
        <f>AG440</f>
        <v>1</v>
      </c>
    </row>
    <row r="482" spans="1:10" x14ac:dyDescent="0.35">
      <c r="A482" s="623" t="s">
        <v>22</v>
      </c>
      <c r="B482" s="382">
        <f>AG216</f>
        <v>0.74535452322738383</v>
      </c>
      <c r="C482" s="382">
        <f>AG291</f>
        <v>0.22301568719269493</v>
      </c>
      <c r="D482" s="190">
        <f>AG369</f>
        <v>0.23171779952393551</v>
      </c>
      <c r="E482" s="382">
        <f>AG442</f>
        <v>3.9110188156818326E-2</v>
      </c>
    </row>
    <row r="483" spans="1:10" x14ac:dyDescent="0.35">
      <c r="A483" s="623" t="s">
        <v>23</v>
      </c>
      <c r="B483" s="382">
        <f>AG218</f>
        <v>0.95597945707997056</v>
      </c>
      <c r="C483" s="382">
        <f>AG293</f>
        <v>0</v>
      </c>
      <c r="D483" s="190">
        <f>AG371</f>
        <v>1</v>
      </c>
      <c r="E483" s="382">
        <f>AG444</f>
        <v>0</v>
      </c>
    </row>
    <row r="484" spans="1:10" x14ac:dyDescent="0.35">
      <c r="A484" s="623" t="s">
        <v>25</v>
      </c>
      <c r="B484" s="382">
        <f>AG220</f>
        <v>0.66767010354718115</v>
      </c>
      <c r="C484" s="382">
        <f>AG295</f>
        <v>0.51493377932764073</v>
      </c>
      <c r="D484" s="190">
        <f>AG373</f>
        <v>0.48440385946669501</v>
      </c>
      <c r="E484" s="382">
        <f>AG446</f>
        <v>0.29999559154163785</v>
      </c>
    </row>
    <row r="496" spans="1:10" x14ac:dyDescent="0.35">
      <c r="F496" t="s">
        <v>15</v>
      </c>
      <c r="G496" t="s">
        <v>5</v>
      </c>
      <c r="H496" t="s">
        <v>22</v>
      </c>
      <c r="I496" t="s">
        <v>352</v>
      </c>
      <c r="J496" t="s">
        <v>17</v>
      </c>
    </row>
    <row r="498" spans="4:10" x14ac:dyDescent="0.35">
      <c r="D498" s="698" t="s">
        <v>242</v>
      </c>
      <c r="E498" t="s">
        <v>223</v>
      </c>
      <c r="F498" s="450">
        <v>0.67763921075245437</v>
      </c>
      <c r="G498" s="318">
        <v>0.60555229498575369</v>
      </c>
      <c r="H498" s="318">
        <v>0.74535452322738383</v>
      </c>
      <c r="I498" s="318">
        <v>0.69171207530055145</v>
      </c>
      <c r="J498" s="318">
        <v>0.64999755465349451</v>
      </c>
    </row>
    <row r="499" spans="4:10" x14ac:dyDescent="0.35">
      <c r="D499" s="698"/>
      <c r="E499" t="s">
        <v>224</v>
      </c>
      <c r="F499" s="450">
        <v>0.54904551025923687</v>
      </c>
      <c r="G499" s="318">
        <v>0.41819587160134586</v>
      </c>
      <c r="H499" s="318">
        <v>0.22301568719269493</v>
      </c>
      <c r="I499" s="318">
        <v>0.34965182527959487</v>
      </c>
      <c r="J499" s="318">
        <v>0.45911622991635165</v>
      </c>
    </row>
    <row r="500" spans="4:10" x14ac:dyDescent="0.35">
      <c r="D500" s="698" t="s">
        <v>213</v>
      </c>
      <c r="E500" t="s">
        <v>344</v>
      </c>
      <c r="F500" s="318">
        <v>0.47878430157828111</v>
      </c>
      <c r="G500" s="318">
        <v>0.61163928120019784</v>
      </c>
      <c r="H500" s="318">
        <v>0.23171779952393551</v>
      </c>
      <c r="I500" s="318">
        <v>0.56262091202210962</v>
      </c>
      <c r="J500" s="318">
        <v>0.20787325972155546</v>
      </c>
    </row>
    <row r="501" spans="4:10" x14ac:dyDescent="0.35">
      <c r="D501" s="698"/>
      <c r="E501" t="s">
        <v>224</v>
      </c>
      <c r="F501" s="450">
        <v>0.3402471741740048</v>
      </c>
      <c r="G501" s="318">
        <v>0.21974745703262014</v>
      </c>
      <c r="H501" s="318">
        <v>3.9110188156818326E-2</v>
      </c>
      <c r="I501" s="318">
        <v>0.25194038379124806</v>
      </c>
      <c r="J501" s="318">
        <v>0.21502209131075106</v>
      </c>
    </row>
  </sheetData>
  <mergeCells count="6">
    <mergeCell ref="D500:D501"/>
    <mergeCell ref="B470:C470"/>
    <mergeCell ref="D470:E470"/>
    <mergeCell ref="H471:H472"/>
    <mergeCell ref="H473:H474"/>
    <mergeCell ref="D498:D499"/>
  </mergeCells>
  <hyperlinks>
    <hyperlink ref="B1" r:id="rId1" xr:uid="{00000000-0004-0000-0D00-000000000000}"/>
    <hyperlink ref="Q1" location="ÍNDICE!A1" display="ÍNDICE!A1" xr:uid="{00000000-0004-0000-0D00-000001000000}"/>
    <hyperlink ref="C5" location="'PIS-EDAD'!A88" display="REGADÍO" xr:uid="{00000000-0004-0000-0D00-000002000000}"/>
    <hyperlink ref="B5" location="'PIS-EDAD'!A10" display="SECANO" xr:uid="{00000000-0004-0000-0D00-000003000000}"/>
    <hyperlink ref="B6" location="'PIS-EDAD'!A164" display="SECANO" xr:uid="{00000000-0004-0000-0D00-000004000000}"/>
    <hyperlink ref="C6" location="'PIS-EDAD'!A241" display="REGADÍO" xr:uid="{00000000-0004-0000-0D00-000005000000}"/>
    <hyperlink ref="B7" location="'PIS-EDAD'!A316" display="SECANO" xr:uid="{00000000-0004-0000-0D00-000006000000}"/>
    <hyperlink ref="C7" location="'PIS-EDAD'!A393" display="REGADÍO" xr:uid="{00000000-0004-0000-0D00-000007000000}"/>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BB353"/>
  <sheetViews>
    <sheetView topLeftCell="AB97" workbookViewId="0"/>
  </sheetViews>
  <sheetFormatPr baseColWidth="10" defaultRowHeight="14.5" x14ac:dyDescent="0.35"/>
  <cols>
    <col min="1" max="1" width="36.1796875" bestFit="1" customWidth="1"/>
    <col min="2" max="23" width="10.81640625" customWidth="1"/>
    <col min="24" max="24" width="17" bestFit="1" customWidth="1"/>
    <col min="25" max="25" width="23.81640625" customWidth="1"/>
    <col min="26" max="26" width="19.453125" bestFit="1" customWidth="1"/>
    <col min="27" max="27" width="15.81640625" customWidth="1"/>
    <col min="29" max="29" width="17" customWidth="1"/>
    <col min="30" max="30" width="16.54296875" customWidth="1"/>
    <col min="31" max="31" width="12.1796875" customWidth="1"/>
    <col min="32" max="32" width="8.81640625" bestFit="1" customWidth="1"/>
    <col min="33" max="33" width="12.1796875" customWidth="1"/>
    <col min="36" max="36" width="22" bestFit="1" customWidth="1"/>
    <col min="37" max="37" width="15.81640625" bestFit="1" customWidth="1"/>
  </cols>
  <sheetData>
    <row r="1" spans="1:54" x14ac:dyDescent="0.35">
      <c r="A1" s="240" t="s">
        <v>10</v>
      </c>
      <c r="B1" s="2" t="s">
        <v>102</v>
      </c>
      <c r="C1" s="3"/>
      <c r="O1" t="s">
        <v>143</v>
      </c>
      <c r="P1" s="2" t="s">
        <v>144</v>
      </c>
      <c r="BB1" t="s">
        <v>278</v>
      </c>
    </row>
    <row r="4" spans="1:54" ht="17.5" x14ac:dyDescent="0.35">
      <c r="A4" s="291" t="s">
        <v>105</v>
      </c>
      <c r="B4" t="s">
        <v>243</v>
      </c>
    </row>
    <row r="5" spans="1:54" x14ac:dyDescent="0.35">
      <c r="A5" s="293" t="s">
        <v>216</v>
      </c>
      <c r="B5" s="329" t="s">
        <v>223</v>
      </c>
      <c r="C5" s="330" t="s">
        <v>224</v>
      </c>
    </row>
    <row r="6" spans="1:54" x14ac:dyDescent="0.35">
      <c r="A6" s="292" t="s">
        <v>215</v>
      </c>
      <c r="B6" s="329" t="s">
        <v>223</v>
      </c>
      <c r="C6" s="330" t="s">
        <v>224</v>
      </c>
    </row>
    <row r="7" spans="1:54" x14ac:dyDescent="0.35">
      <c r="A7" s="292" t="s">
        <v>214</v>
      </c>
      <c r="B7" s="337" t="s">
        <v>223</v>
      </c>
      <c r="C7" s="338" t="s">
        <v>224</v>
      </c>
    </row>
    <row r="9" spans="1:54" ht="23.5" x14ac:dyDescent="0.45">
      <c r="A9" s="289" t="s">
        <v>68</v>
      </c>
      <c r="B9" s="223"/>
      <c r="C9" s="120"/>
      <c r="D9" s="120"/>
    </row>
    <row r="10" spans="1:54" ht="15.5" x14ac:dyDescent="0.35">
      <c r="A10" s="237" t="s">
        <v>136</v>
      </c>
    </row>
    <row r="11" spans="1:54" ht="18.5" x14ac:dyDescent="0.45">
      <c r="A11" s="108"/>
      <c r="D11" s="109"/>
      <c r="AA11" s="110"/>
    </row>
    <row r="12" spans="1:54" ht="36" x14ac:dyDescent="0.35">
      <c r="A12" s="213" t="s">
        <v>88</v>
      </c>
      <c r="B12" s="195" t="s">
        <v>89</v>
      </c>
      <c r="C12" s="195">
        <v>2000</v>
      </c>
      <c r="D12" s="195">
        <v>2001</v>
      </c>
      <c r="E12" s="195">
        <v>2002</v>
      </c>
      <c r="F12" s="195">
        <v>2003</v>
      </c>
      <c r="G12" s="195">
        <v>2004</v>
      </c>
      <c r="H12" s="195">
        <v>2005</v>
      </c>
      <c r="I12" s="195">
        <v>2006</v>
      </c>
      <c r="J12" s="195">
        <v>2007</v>
      </c>
      <c r="K12" s="195">
        <v>2008</v>
      </c>
      <c r="L12" s="195">
        <v>2009</v>
      </c>
      <c r="M12" s="195">
        <v>2010</v>
      </c>
      <c r="N12" s="195">
        <v>2011</v>
      </c>
      <c r="O12" s="195">
        <v>2012</v>
      </c>
      <c r="P12" s="195">
        <v>2013</v>
      </c>
      <c r="Q12" s="195">
        <v>2014</v>
      </c>
      <c r="R12" s="195">
        <v>2015</v>
      </c>
      <c r="S12" s="195">
        <v>2016</v>
      </c>
      <c r="T12" s="195">
        <v>2017</v>
      </c>
      <c r="U12" s="195">
        <v>2018</v>
      </c>
      <c r="V12" s="195">
        <v>2019</v>
      </c>
      <c r="W12" s="195">
        <v>2020</v>
      </c>
      <c r="X12" s="195">
        <v>2021</v>
      </c>
      <c r="Y12" s="195" t="s">
        <v>90</v>
      </c>
      <c r="Z12" s="195" t="s">
        <v>91</v>
      </c>
      <c r="AA12" s="187" t="s">
        <v>92</v>
      </c>
      <c r="AC12" s="206" t="s">
        <v>93</v>
      </c>
      <c r="AD12" s="206" t="s">
        <v>107</v>
      </c>
      <c r="AE12" s="206" t="s">
        <v>94</v>
      </c>
      <c r="AF12" s="206" t="s">
        <v>96</v>
      </c>
      <c r="AG12" s="206" t="s">
        <v>97</v>
      </c>
    </row>
    <row r="13" spans="1:54" x14ac:dyDescent="0.35">
      <c r="A13" s="116" t="s">
        <v>5</v>
      </c>
      <c r="B13" s="117">
        <f t="shared" ref="B13:Z13" si="0">B244+B128</f>
        <v>0</v>
      </c>
      <c r="C13" s="117">
        <f t="shared" si="0"/>
        <v>0</v>
      </c>
      <c r="D13" s="117">
        <f t="shared" si="0"/>
        <v>0</v>
      </c>
      <c r="E13" s="117">
        <f t="shared" si="0"/>
        <v>0</v>
      </c>
      <c r="F13" s="117">
        <f t="shared" si="0"/>
        <v>0</v>
      </c>
      <c r="G13" s="117">
        <f t="shared" si="0"/>
        <v>0.03</v>
      </c>
      <c r="H13" s="117">
        <f t="shared" si="0"/>
        <v>0</v>
      </c>
      <c r="I13" s="117">
        <f t="shared" si="0"/>
        <v>0</v>
      </c>
      <c r="J13" s="117">
        <f t="shared" si="0"/>
        <v>0</v>
      </c>
      <c r="K13" s="117">
        <f t="shared" si="0"/>
        <v>0</v>
      </c>
      <c r="L13" s="117">
        <f t="shared" si="0"/>
        <v>0</v>
      </c>
      <c r="M13" s="117">
        <f t="shared" si="0"/>
        <v>0</v>
      </c>
      <c r="N13" s="117">
        <f t="shared" si="0"/>
        <v>0</v>
      </c>
      <c r="O13" s="117">
        <f t="shared" si="0"/>
        <v>0</v>
      </c>
      <c r="P13" s="117">
        <f t="shared" si="0"/>
        <v>0</v>
      </c>
      <c r="Q13" s="117">
        <f t="shared" si="0"/>
        <v>0</v>
      </c>
      <c r="R13" s="117">
        <f t="shared" si="0"/>
        <v>0</v>
      </c>
      <c r="S13" s="117">
        <f t="shared" si="0"/>
        <v>0</v>
      </c>
      <c r="T13" s="117">
        <f t="shared" si="0"/>
        <v>0</v>
      </c>
      <c r="U13" s="117">
        <f t="shared" si="0"/>
        <v>0</v>
      </c>
      <c r="V13" s="117">
        <f t="shared" si="0"/>
        <v>0</v>
      </c>
      <c r="W13" s="117">
        <f t="shared" si="0"/>
        <v>0.12</v>
      </c>
      <c r="X13" s="117">
        <f t="shared" si="0"/>
        <v>0</v>
      </c>
      <c r="Y13" s="117">
        <f t="shared" si="0"/>
        <v>0</v>
      </c>
      <c r="Z13" s="117">
        <f t="shared" si="0"/>
        <v>0.15</v>
      </c>
      <c r="AA13" s="185">
        <f t="shared" ref="AA13:AA58" si="1">Z13/$Z$58</f>
        <v>4.7334738649129747E-5</v>
      </c>
      <c r="AC13" s="117">
        <f t="shared" ref="AC13:AC29" si="2">SUM(B13:T13)</f>
        <v>0.03</v>
      </c>
      <c r="AD13" s="117">
        <f t="shared" ref="AD13:AD25" si="3">SUM(U13:X13)</f>
        <v>0.12</v>
      </c>
      <c r="AE13" s="117">
        <f t="shared" ref="AE13:AE58" si="4">Y13</f>
        <v>0</v>
      </c>
      <c r="AF13" s="117">
        <f t="shared" ref="AF13:AF31" si="5">SUM(AC13:AE13)</f>
        <v>0.15</v>
      </c>
      <c r="AG13" s="185">
        <f>AD13/AF13</f>
        <v>0.8</v>
      </c>
    </row>
    <row r="14" spans="1:54" x14ac:dyDescent="0.35">
      <c r="A14" s="6" t="s">
        <v>8</v>
      </c>
      <c r="B14" s="12">
        <f t="shared" ref="B14:Z14" si="6">B245+B129</f>
        <v>0</v>
      </c>
      <c r="C14" s="12">
        <f t="shared" si="6"/>
        <v>0</v>
      </c>
      <c r="D14" s="12">
        <f t="shared" si="6"/>
        <v>0</v>
      </c>
      <c r="E14" s="12">
        <f t="shared" si="6"/>
        <v>0</v>
      </c>
      <c r="F14" s="12">
        <f t="shared" si="6"/>
        <v>0</v>
      </c>
      <c r="G14" s="12">
        <f t="shared" si="6"/>
        <v>0</v>
      </c>
      <c r="H14" s="12">
        <f t="shared" si="6"/>
        <v>0</v>
      </c>
      <c r="I14" s="12">
        <f t="shared" si="6"/>
        <v>0</v>
      </c>
      <c r="J14" s="12">
        <f t="shared" si="6"/>
        <v>0</v>
      </c>
      <c r="K14" s="12">
        <f t="shared" si="6"/>
        <v>0</v>
      </c>
      <c r="L14" s="12">
        <f t="shared" si="6"/>
        <v>0</v>
      </c>
      <c r="M14" s="12">
        <f t="shared" si="6"/>
        <v>0</v>
      </c>
      <c r="N14" s="12">
        <f t="shared" si="6"/>
        <v>0</v>
      </c>
      <c r="O14" s="12">
        <f t="shared" si="6"/>
        <v>0</v>
      </c>
      <c r="P14" s="12">
        <f t="shared" si="6"/>
        <v>0</v>
      </c>
      <c r="Q14" s="12">
        <f t="shared" si="6"/>
        <v>0</v>
      </c>
      <c r="R14" s="12">
        <f t="shared" si="6"/>
        <v>0</v>
      </c>
      <c r="S14" s="12">
        <f t="shared" si="6"/>
        <v>0</v>
      </c>
      <c r="T14" s="12">
        <f t="shared" si="6"/>
        <v>0</v>
      </c>
      <c r="U14" s="12">
        <f t="shared" si="6"/>
        <v>0</v>
      </c>
      <c r="V14" s="12">
        <f t="shared" si="6"/>
        <v>0</v>
      </c>
      <c r="W14" s="12">
        <f t="shared" si="6"/>
        <v>0.12</v>
      </c>
      <c r="X14" s="12">
        <f t="shared" si="6"/>
        <v>0</v>
      </c>
      <c r="Y14" s="12">
        <f t="shared" si="6"/>
        <v>0</v>
      </c>
      <c r="Z14" s="12">
        <f t="shared" si="6"/>
        <v>0.12</v>
      </c>
      <c r="AA14" s="24">
        <f t="shared" si="1"/>
        <v>3.7867790919303793E-5</v>
      </c>
      <c r="AC14" s="89">
        <f t="shared" si="2"/>
        <v>0</v>
      </c>
      <c r="AD14" s="89">
        <f t="shared" si="3"/>
        <v>0.12</v>
      </c>
      <c r="AE14" s="89">
        <f t="shared" si="4"/>
        <v>0</v>
      </c>
      <c r="AF14" s="89">
        <f t="shared" si="5"/>
        <v>0.12</v>
      </c>
      <c r="AG14" s="24">
        <f t="shared" ref="AG14:AG15" si="7">AD14/AF14</f>
        <v>1</v>
      </c>
    </row>
    <row r="15" spans="1:54" x14ac:dyDescent="0.35">
      <c r="A15" s="6" t="s">
        <v>29</v>
      </c>
      <c r="B15" s="12">
        <f t="shared" ref="B15:Z15" si="8">B246+B130</f>
        <v>0</v>
      </c>
      <c r="C15" s="12">
        <f t="shared" si="8"/>
        <v>0</v>
      </c>
      <c r="D15" s="12">
        <f t="shared" si="8"/>
        <v>0</v>
      </c>
      <c r="E15" s="12">
        <f t="shared" si="8"/>
        <v>0</v>
      </c>
      <c r="F15" s="12">
        <f t="shared" si="8"/>
        <v>0</v>
      </c>
      <c r="G15" s="12">
        <f t="shared" si="8"/>
        <v>0.03</v>
      </c>
      <c r="H15" s="12">
        <f t="shared" si="8"/>
        <v>0</v>
      </c>
      <c r="I15" s="12">
        <f t="shared" si="8"/>
        <v>0</v>
      </c>
      <c r="J15" s="12">
        <f t="shared" si="8"/>
        <v>0</v>
      </c>
      <c r="K15" s="12">
        <f t="shared" si="8"/>
        <v>0</v>
      </c>
      <c r="L15" s="12">
        <f t="shared" si="8"/>
        <v>0</v>
      </c>
      <c r="M15" s="12">
        <f t="shared" si="8"/>
        <v>0</v>
      </c>
      <c r="N15" s="12">
        <f t="shared" si="8"/>
        <v>0</v>
      </c>
      <c r="O15" s="12">
        <f t="shared" si="8"/>
        <v>0</v>
      </c>
      <c r="P15" s="12">
        <f t="shared" si="8"/>
        <v>0</v>
      </c>
      <c r="Q15" s="12">
        <f t="shared" si="8"/>
        <v>0</v>
      </c>
      <c r="R15" s="12">
        <f t="shared" si="8"/>
        <v>0</v>
      </c>
      <c r="S15" s="12">
        <f t="shared" si="8"/>
        <v>0</v>
      </c>
      <c r="T15" s="12">
        <f t="shared" si="8"/>
        <v>0</v>
      </c>
      <c r="U15" s="12">
        <f t="shared" si="8"/>
        <v>0</v>
      </c>
      <c r="V15" s="12">
        <f t="shared" si="8"/>
        <v>0</v>
      </c>
      <c r="W15" s="12">
        <f t="shared" si="8"/>
        <v>0</v>
      </c>
      <c r="X15" s="12">
        <f t="shared" si="8"/>
        <v>0</v>
      </c>
      <c r="Y15" s="12">
        <f t="shared" si="8"/>
        <v>0</v>
      </c>
      <c r="Z15" s="12">
        <f t="shared" si="8"/>
        <v>0.03</v>
      </c>
      <c r="AA15" s="24">
        <f t="shared" si="1"/>
        <v>9.4669477298259484E-6</v>
      </c>
      <c r="AC15" s="89">
        <f t="shared" si="2"/>
        <v>0.03</v>
      </c>
      <c r="AD15" s="89">
        <f t="shared" si="3"/>
        <v>0</v>
      </c>
      <c r="AE15" s="89">
        <f t="shared" si="4"/>
        <v>0</v>
      </c>
      <c r="AF15" s="89">
        <f t="shared" si="5"/>
        <v>0.03</v>
      </c>
      <c r="AG15" s="24">
        <f t="shared" si="7"/>
        <v>0</v>
      </c>
    </row>
    <row r="16" spans="1:54" x14ac:dyDescent="0.35">
      <c r="A16" s="116" t="s">
        <v>12</v>
      </c>
      <c r="B16" s="117">
        <f t="shared" ref="B16:Z16" si="9">B247+B131</f>
        <v>14.909999999999997</v>
      </c>
      <c r="C16" s="117">
        <f t="shared" si="9"/>
        <v>0.64</v>
      </c>
      <c r="D16" s="117">
        <f t="shared" si="9"/>
        <v>0</v>
      </c>
      <c r="E16" s="117">
        <f t="shared" si="9"/>
        <v>0</v>
      </c>
      <c r="F16" s="117">
        <f t="shared" si="9"/>
        <v>0.22</v>
      </c>
      <c r="G16" s="117">
        <f t="shared" si="9"/>
        <v>0</v>
      </c>
      <c r="H16" s="117">
        <f t="shared" si="9"/>
        <v>0.16</v>
      </c>
      <c r="I16" s="117">
        <f t="shared" si="9"/>
        <v>0</v>
      </c>
      <c r="J16" s="117">
        <f t="shared" si="9"/>
        <v>0</v>
      </c>
      <c r="K16" s="117">
        <f t="shared" si="9"/>
        <v>0</v>
      </c>
      <c r="L16" s="117">
        <f t="shared" si="9"/>
        <v>0.32</v>
      </c>
      <c r="M16" s="117">
        <f t="shared" si="9"/>
        <v>7.0000000000000007E-2</v>
      </c>
      <c r="N16" s="117">
        <f t="shared" si="9"/>
        <v>0</v>
      </c>
      <c r="O16" s="117">
        <f t="shared" si="9"/>
        <v>0.28999999999999998</v>
      </c>
      <c r="P16" s="117">
        <f t="shared" si="9"/>
        <v>0</v>
      </c>
      <c r="Q16" s="117">
        <f t="shared" si="9"/>
        <v>0</v>
      </c>
      <c r="R16" s="117">
        <f t="shared" si="9"/>
        <v>0.16</v>
      </c>
      <c r="S16" s="117">
        <f t="shared" si="9"/>
        <v>0</v>
      </c>
      <c r="T16" s="117">
        <f t="shared" si="9"/>
        <v>1.91</v>
      </c>
      <c r="U16" s="117">
        <f t="shared" si="9"/>
        <v>1.58</v>
      </c>
      <c r="V16" s="117">
        <f t="shared" si="9"/>
        <v>0</v>
      </c>
      <c r="W16" s="117">
        <f t="shared" si="9"/>
        <v>0</v>
      </c>
      <c r="X16" s="117">
        <f t="shared" si="9"/>
        <v>0</v>
      </c>
      <c r="Y16" s="117">
        <f t="shared" si="9"/>
        <v>0</v>
      </c>
      <c r="Z16" s="117">
        <f t="shared" si="9"/>
        <v>20.259999999999998</v>
      </c>
      <c r="AA16" s="185">
        <f t="shared" si="1"/>
        <v>6.3933453668757901E-3</v>
      </c>
      <c r="AC16" s="117">
        <f t="shared" si="2"/>
        <v>18.679999999999996</v>
      </c>
      <c r="AD16" s="117">
        <f t="shared" si="3"/>
        <v>1.58</v>
      </c>
      <c r="AE16" s="117">
        <f t="shared" si="4"/>
        <v>0</v>
      </c>
      <c r="AF16" s="117">
        <f t="shared" si="5"/>
        <v>20.259999999999998</v>
      </c>
      <c r="AG16" s="185">
        <f>AD16/AF16</f>
        <v>7.7986179664363289E-2</v>
      </c>
    </row>
    <row r="17" spans="1:44" x14ac:dyDescent="0.35">
      <c r="A17" s="6" t="s">
        <v>31</v>
      </c>
      <c r="B17" s="12">
        <f t="shared" ref="B17:Z17" si="10">B248+B132</f>
        <v>0</v>
      </c>
      <c r="C17" s="12">
        <f t="shared" si="10"/>
        <v>0</v>
      </c>
      <c r="D17" s="12">
        <f t="shared" si="10"/>
        <v>0</v>
      </c>
      <c r="E17" s="12">
        <f t="shared" si="10"/>
        <v>0</v>
      </c>
      <c r="F17" s="12">
        <f t="shared" si="10"/>
        <v>0</v>
      </c>
      <c r="G17" s="12">
        <f t="shared" si="10"/>
        <v>0</v>
      </c>
      <c r="H17" s="12">
        <f t="shared" si="10"/>
        <v>0</v>
      </c>
      <c r="I17" s="12">
        <f t="shared" si="10"/>
        <v>0</v>
      </c>
      <c r="J17" s="12">
        <f t="shared" si="10"/>
        <v>0</v>
      </c>
      <c r="K17" s="12">
        <f t="shared" si="10"/>
        <v>0</v>
      </c>
      <c r="L17" s="12">
        <f t="shared" si="10"/>
        <v>0</v>
      </c>
      <c r="M17" s="12">
        <f t="shared" si="10"/>
        <v>0</v>
      </c>
      <c r="N17" s="12">
        <f t="shared" si="10"/>
        <v>0</v>
      </c>
      <c r="O17" s="12">
        <f t="shared" si="10"/>
        <v>0</v>
      </c>
      <c r="P17" s="12">
        <f t="shared" si="10"/>
        <v>0</v>
      </c>
      <c r="Q17" s="12">
        <f t="shared" si="10"/>
        <v>0</v>
      </c>
      <c r="R17" s="12">
        <f t="shared" si="10"/>
        <v>0</v>
      </c>
      <c r="S17" s="12">
        <f t="shared" si="10"/>
        <v>0</v>
      </c>
      <c r="T17" s="12">
        <f t="shared" si="10"/>
        <v>1.91</v>
      </c>
      <c r="U17" s="12">
        <f t="shared" si="10"/>
        <v>0</v>
      </c>
      <c r="V17" s="12">
        <f t="shared" si="10"/>
        <v>0</v>
      </c>
      <c r="W17" s="12">
        <f t="shared" si="10"/>
        <v>0</v>
      </c>
      <c r="X17" s="12">
        <f t="shared" si="10"/>
        <v>0</v>
      </c>
      <c r="Y17" s="12">
        <f t="shared" si="10"/>
        <v>0</v>
      </c>
      <c r="Z17" s="12">
        <f t="shared" si="10"/>
        <v>1.91</v>
      </c>
      <c r="AA17" s="24">
        <f t="shared" si="1"/>
        <v>6.0272900546558543E-4</v>
      </c>
      <c r="AC17" s="89">
        <f t="shared" si="2"/>
        <v>1.91</v>
      </c>
      <c r="AD17" s="89">
        <f t="shared" si="3"/>
        <v>0</v>
      </c>
      <c r="AE17" s="89">
        <f t="shared" si="4"/>
        <v>0</v>
      </c>
      <c r="AF17" s="89">
        <f t="shared" si="5"/>
        <v>1.91</v>
      </c>
      <c r="AG17" s="24">
        <f t="shared" ref="AG17:AG19" si="11">AD17/AF17</f>
        <v>0</v>
      </c>
    </row>
    <row r="18" spans="1:44" x14ac:dyDescent="0.35">
      <c r="A18" s="6" t="s">
        <v>32</v>
      </c>
      <c r="B18" s="12">
        <f t="shared" ref="B18:Z18" si="12">B249+B133</f>
        <v>14.389999999999997</v>
      </c>
      <c r="C18" s="12">
        <f t="shared" si="12"/>
        <v>0.64</v>
      </c>
      <c r="D18" s="12">
        <f t="shared" si="12"/>
        <v>0</v>
      </c>
      <c r="E18" s="12">
        <f t="shared" si="12"/>
        <v>0</v>
      </c>
      <c r="F18" s="12">
        <f t="shared" si="12"/>
        <v>0.22</v>
      </c>
      <c r="G18" s="12">
        <f t="shared" si="12"/>
        <v>0</v>
      </c>
      <c r="H18" s="12">
        <f t="shared" si="12"/>
        <v>0</v>
      </c>
      <c r="I18" s="12">
        <f t="shared" si="12"/>
        <v>0</v>
      </c>
      <c r="J18" s="12">
        <f t="shared" si="12"/>
        <v>0</v>
      </c>
      <c r="K18" s="12">
        <f t="shared" si="12"/>
        <v>0</v>
      </c>
      <c r="L18" s="12">
        <f t="shared" si="12"/>
        <v>0</v>
      </c>
      <c r="M18" s="12">
        <f t="shared" si="12"/>
        <v>7.0000000000000007E-2</v>
      </c>
      <c r="N18" s="12">
        <f t="shared" si="12"/>
        <v>0</v>
      </c>
      <c r="O18" s="12">
        <f t="shared" si="12"/>
        <v>0.28999999999999998</v>
      </c>
      <c r="P18" s="12">
        <f t="shared" si="12"/>
        <v>0</v>
      </c>
      <c r="Q18" s="12">
        <f t="shared" si="12"/>
        <v>0</v>
      </c>
      <c r="R18" s="12">
        <f t="shared" si="12"/>
        <v>0.16</v>
      </c>
      <c r="S18" s="12">
        <f t="shared" si="12"/>
        <v>0</v>
      </c>
      <c r="T18" s="12">
        <f t="shared" si="12"/>
        <v>0</v>
      </c>
      <c r="U18" s="12">
        <f t="shared" si="12"/>
        <v>1.58</v>
      </c>
      <c r="V18" s="12">
        <f t="shared" si="12"/>
        <v>0</v>
      </c>
      <c r="W18" s="12">
        <f t="shared" si="12"/>
        <v>0</v>
      </c>
      <c r="X18" s="12">
        <f t="shared" si="12"/>
        <v>0</v>
      </c>
      <c r="Y18" s="12">
        <f t="shared" si="12"/>
        <v>0</v>
      </c>
      <c r="Z18" s="12">
        <f t="shared" si="12"/>
        <v>17.349999999999998</v>
      </c>
      <c r="AA18" s="24">
        <f t="shared" si="1"/>
        <v>5.4750514370826729E-3</v>
      </c>
      <c r="AC18" s="89">
        <f t="shared" si="2"/>
        <v>15.769999999999998</v>
      </c>
      <c r="AD18" s="89">
        <f t="shared" si="3"/>
        <v>1.58</v>
      </c>
      <c r="AE18" s="89">
        <f t="shared" si="4"/>
        <v>0</v>
      </c>
      <c r="AF18" s="89">
        <f t="shared" si="5"/>
        <v>17.349999999999998</v>
      </c>
      <c r="AG18" s="24">
        <f t="shared" si="11"/>
        <v>9.1066282420749295E-2</v>
      </c>
    </row>
    <row r="19" spans="1:44" x14ac:dyDescent="0.35">
      <c r="A19" s="6" t="s">
        <v>33</v>
      </c>
      <c r="B19" s="12">
        <f t="shared" ref="B19:Z19" si="13">B250+B134</f>
        <v>0.52</v>
      </c>
      <c r="C19" s="12">
        <f t="shared" si="13"/>
        <v>0</v>
      </c>
      <c r="D19" s="12">
        <f t="shared" si="13"/>
        <v>0</v>
      </c>
      <c r="E19" s="12">
        <f t="shared" si="13"/>
        <v>0</v>
      </c>
      <c r="F19" s="12">
        <f t="shared" si="13"/>
        <v>0</v>
      </c>
      <c r="G19" s="12">
        <f t="shared" si="13"/>
        <v>0</v>
      </c>
      <c r="H19" s="12">
        <f t="shared" si="13"/>
        <v>0.16</v>
      </c>
      <c r="I19" s="12">
        <f t="shared" si="13"/>
        <v>0</v>
      </c>
      <c r="J19" s="12">
        <f t="shared" si="13"/>
        <v>0</v>
      </c>
      <c r="K19" s="12">
        <f t="shared" si="13"/>
        <v>0</v>
      </c>
      <c r="L19" s="12">
        <f t="shared" si="13"/>
        <v>0.32</v>
      </c>
      <c r="M19" s="12">
        <f t="shared" si="13"/>
        <v>0</v>
      </c>
      <c r="N19" s="12">
        <f t="shared" si="13"/>
        <v>0</v>
      </c>
      <c r="O19" s="12">
        <f t="shared" si="13"/>
        <v>0</v>
      </c>
      <c r="P19" s="12">
        <f t="shared" si="13"/>
        <v>0</v>
      </c>
      <c r="Q19" s="12">
        <f t="shared" si="13"/>
        <v>0</v>
      </c>
      <c r="R19" s="12">
        <f t="shared" si="13"/>
        <v>0</v>
      </c>
      <c r="S19" s="12">
        <f t="shared" si="13"/>
        <v>0</v>
      </c>
      <c r="T19" s="12">
        <f t="shared" si="13"/>
        <v>0</v>
      </c>
      <c r="U19" s="12">
        <f t="shared" si="13"/>
        <v>0</v>
      </c>
      <c r="V19" s="12">
        <f t="shared" si="13"/>
        <v>0</v>
      </c>
      <c r="W19" s="12">
        <f t="shared" si="13"/>
        <v>0</v>
      </c>
      <c r="X19" s="12">
        <f t="shared" si="13"/>
        <v>0</v>
      </c>
      <c r="Y19" s="12">
        <f t="shared" si="13"/>
        <v>0</v>
      </c>
      <c r="Z19" s="12">
        <f t="shared" si="13"/>
        <v>1</v>
      </c>
      <c r="AA19" s="24">
        <f t="shared" si="1"/>
        <v>3.1556492432753162E-4</v>
      </c>
      <c r="AC19" s="89">
        <f t="shared" si="2"/>
        <v>1</v>
      </c>
      <c r="AD19" s="89">
        <f t="shared" si="3"/>
        <v>0</v>
      </c>
      <c r="AE19" s="89">
        <f t="shared" si="4"/>
        <v>0</v>
      </c>
      <c r="AF19" s="89">
        <f t="shared" si="5"/>
        <v>1</v>
      </c>
      <c r="AG19" s="24">
        <f t="shared" si="11"/>
        <v>0</v>
      </c>
    </row>
    <row r="20" spans="1:44" x14ac:dyDescent="0.35">
      <c r="A20" s="116" t="s">
        <v>69</v>
      </c>
      <c r="B20" s="117">
        <f t="shared" ref="B20:Z20" si="14">B251+B135</f>
        <v>0.01</v>
      </c>
      <c r="C20" s="117">
        <f t="shared" si="14"/>
        <v>0.3</v>
      </c>
      <c r="D20" s="117">
        <f t="shared" si="14"/>
        <v>0</v>
      </c>
      <c r="E20" s="117">
        <f t="shared" si="14"/>
        <v>0</v>
      </c>
      <c r="F20" s="117">
        <f t="shared" si="14"/>
        <v>0</v>
      </c>
      <c r="G20" s="117">
        <f t="shared" si="14"/>
        <v>0</v>
      </c>
      <c r="H20" s="117">
        <f t="shared" si="14"/>
        <v>0</v>
      </c>
      <c r="I20" s="117">
        <f t="shared" si="14"/>
        <v>0</v>
      </c>
      <c r="J20" s="117">
        <f t="shared" si="14"/>
        <v>0</v>
      </c>
      <c r="K20" s="117">
        <f t="shared" si="14"/>
        <v>0</v>
      </c>
      <c r="L20" s="117">
        <f t="shared" si="14"/>
        <v>0</v>
      </c>
      <c r="M20" s="117">
        <f t="shared" si="14"/>
        <v>0</v>
      </c>
      <c r="N20" s="117">
        <f t="shared" si="14"/>
        <v>0</v>
      </c>
      <c r="O20" s="117">
        <f t="shared" si="14"/>
        <v>0</v>
      </c>
      <c r="P20" s="117">
        <f t="shared" si="14"/>
        <v>0.21</v>
      </c>
      <c r="Q20" s="117">
        <f t="shared" si="14"/>
        <v>0</v>
      </c>
      <c r="R20" s="117">
        <f t="shared" si="14"/>
        <v>0</v>
      </c>
      <c r="S20" s="117">
        <f t="shared" si="14"/>
        <v>0</v>
      </c>
      <c r="T20" s="117">
        <f t="shared" si="14"/>
        <v>0.23</v>
      </c>
      <c r="U20" s="117">
        <f t="shared" si="14"/>
        <v>0</v>
      </c>
      <c r="V20" s="117">
        <f t="shared" si="14"/>
        <v>0</v>
      </c>
      <c r="W20" s="117">
        <f t="shared" si="14"/>
        <v>0</v>
      </c>
      <c r="X20" s="117">
        <f t="shared" si="14"/>
        <v>0</v>
      </c>
      <c r="Y20" s="117">
        <f t="shared" si="14"/>
        <v>0.16999999999999998</v>
      </c>
      <c r="Z20" s="117">
        <f t="shared" si="14"/>
        <v>0.91999999999999993</v>
      </c>
      <c r="AA20" s="185">
        <f t="shared" si="1"/>
        <v>2.9031973038132908E-4</v>
      </c>
      <c r="AC20" s="117">
        <f t="shared" si="2"/>
        <v>0.75</v>
      </c>
      <c r="AD20" s="117">
        <f t="shared" si="3"/>
        <v>0</v>
      </c>
      <c r="AE20" s="117">
        <f t="shared" si="4"/>
        <v>0.16999999999999998</v>
      </c>
      <c r="AF20" s="117">
        <f t="shared" si="5"/>
        <v>0.91999999999999993</v>
      </c>
      <c r="AG20" s="185">
        <f>AD20/AF20</f>
        <v>0</v>
      </c>
    </row>
    <row r="21" spans="1:44" x14ac:dyDescent="0.35">
      <c r="A21" s="6" t="s">
        <v>69</v>
      </c>
      <c r="B21" s="12">
        <f t="shared" ref="B21:Z21" si="15">B252+B136</f>
        <v>0.01</v>
      </c>
      <c r="C21" s="12">
        <f t="shared" si="15"/>
        <v>0.3</v>
      </c>
      <c r="D21" s="12">
        <f t="shared" si="15"/>
        <v>0</v>
      </c>
      <c r="E21" s="12">
        <f t="shared" si="15"/>
        <v>0</v>
      </c>
      <c r="F21" s="12">
        <f t="shared" si="15"/>
        <v>0</v>
      </c>
      <c r="G21" s="12">
        <f t="shared" si="15"/>
        <v>0</v>
      </c>
      <c r="H21" s="12">
        <f t="shared" si="15"/>
        <v>0</v>
      </c>
      <c r="I21" s="12">
        <f t="shared" si="15"/>
        <v>0</v>
      </c>
      <c r="J21" s="12">
        <f t="shared" si="15"/>
        <v>0</v>
      </c>
      <c r="K21" s="12">
        <f t="shared" si="15"/>
        <v>0</v>
      </c>
      <c r="L21" s="12">
        <f t="shared" si="15"/>
        <v>0</v>
      </c>
      <c r="M21" s="12">
        <f t="shared" si="15"/>
        <v>0</v>
      </c>
      <c r="N21" s="12">
        <f t="shared" si="15"/>
        <v>0</v>
      </c>
      <c r="O21" s="12">
        <f t="shared" si="15"/>
        <v>0</v>
      </c>
      <c r="P21" s="12">
        <f t="shared" si="15"/>
        <v>0.21</v>
      </c>
      <c r="Q21" s="12">
        <f t="shared" si="15"/>
        <v>0</v>
      </c>
      <c r="R21" s="12">
        <f t="shared" si="15"/>
        <v>0</v>
      </c>
      <c r="S21" s="12">
        <f t="shared" si="15"/>
        <v>0</v>
      </c>
      <c r="T21" s="12">
        <f t="shared" si="15"/>
        <v>0.23</v>
      </c>
      <c r="U21" s="12">
        <f t="shared" si="15"/>
        <v>0</v>
      </c>
      <c r="V21" s="12">
        <f t="shared" si="15"/>
        <v>0</v>
      </c>
      <c r="W21" s="12">
        <f t="shared" si="15"/>
        <v>0</v>
      </c>
      <c r="X21" s="12">
        <f t="shared" si="15"/>
        <v>0</v>
      </c>
      <c r="Y21" s="12">
        <f t="shared" si="15"/>
        <v>0.16999999999999998</v>
      </c>
      <c r="Z21" s="12">
        <f t="shared" si="15"/>
        <v>0.91999999999999993</v>
      </c>
      <c r="AA21" s="24">
        <f t="shared" si="1"/>
        <v>2.9031973038132908E-4</v>
      </c>
      <c r="AC21" s="89">
        <f t="shared" si="2"/>
        <v>0.75</v>
      </c>
      <c r="AD21" s="89">
        <f t="shared" si="3"/>
        <v>0</v>
      </c>
      <c r="AE21" s="89">
        <f t="shared" si="4"/>
        <v>0.16999999999999998</v>
      </c>
      <c r="AF21" s="89">
        <f t="shared" si="5"/>
        <v>0.91999999999999993</v>
      </c>
      <c r="AG21" s="24">
        <f t="shared" ref="AG21" si="16">AD21/AF21</f>
        <v>0</v>
      </c>
    </row>
    <row r="22" spans="1:44" x14ac:dyDescent="0.35">
      <c r="A22" s="116" t="s">
        <v>13</v>
      </c>
      <c r="B22" s="117">
        <f t="shared" ref="B22:Z22" si="17">B253+B137</f>
        <v>426.46000000000015</v>
      </c>
      <c r="C22" s="117">
        <f t="shared" si="17"/>
        <v>6.3200000000000012</v>
      </c>
      <c r="D22" s="117">
        <f t="shared" si="17"/>
        <v>0</v>
      </c>
      <c r="E22" s="117">
        <f t="shared" si="17"/>
        <v>0</v>
      </c>
      <c r="F22" s="117">
        <f t="shared" si="17"/>
        <v>0</v>
      </c>
      <c r="G22" s="117">
        <f t="shared" si="17"/>
        <v>0</v>
      </c>
      <c r="H22" s="117">
        <f t="shared" si="17"/>
        <v>0</v>
      </c>
      <c r="I22" s="117">
        <f t="shared" si="17"/>
        <v>0</v>
      </c>
      <c r="J22" s="117">
        <f t="shared" si="17"/>
        <v>0.24</v>
      </c>
      <c r="K22" s="117">
        <f t="shared" si="17"/>
        <v>0</v>
      </c>
      <c r="L22" s="117">
        <f t="shared" si="17"/>
        <v>0</v>
      </c>
      <c r="M22" s="117">
        <f t="shared" si="17"/>
        <v>0.8</v>
      </c>
      <c r="N22" s="117">
        <f t="shared" si="17"/>
        <v>0</v>
      </c>
      <c r="O22" s="117">
        <f t="shared" si="17"/>
        <v>6.6199999999999992</v>
      </c>
      <c r="P22" s="117">
        <f t="shared" si="17"/>
        <v>3.09</v>
      </c>
      <c r="Q22" s="117">
        <f t="shared" si="17"/>
        <v>0.28000000000000003</v>
      </c>
      <c r="R22" s="117">
        <f t="shared" si="17"/>
        <v>0.09</v>
      </c>
      <c r="S22" s="117">
        <f t="shared" si="17"/>
        <v>0</v>
      </c>
      <c r="T22" s="117">
        <f t="shared" si="17"/>
        <v>1.19</v>
      </c>
      <c r="U22" s="117">
        <f t="shared" si="17"/>
        <v>2.89</v>
      </c>
      <c r="V22" s="117">
        <f t="shared" si="17"/>
        <v>0.08</v>
      </c>
      <c r="W22" s="117">
        <f t="shared" si="17"/>
        <v>1.42</v>
      </c>
      <c r="X22" s="117">
        <f t="shared" si="17"/>
        <v>0</v>
      </c>
      <c r="Y22" s="117">
        <f t="shared" si="17"/>
        <v>0.38</v>
      </c>
      <c r="Z22" s="117">
        <f t="shared" si="17"/>
        <v>449.86000000000007</v>
      </c>
      <c r="AA22" s="185">
        <f t="shared" si="1"/>
        <v>0.14196003685798342</v>
      </c>
      <c r="AC22" s="117">
        <f t="shared" si="2"/>
        <v>445.09000000000009</v>
      </c>
      <c r="AD22" s="117">
        <f t="shared" si="3"/>
        <v>4.3900000000000006</v>
      </c>
      <c r="AE22" s="117">
        <f t="shared" si="4"/>
        <v>0.38</v>
      </c>
      <c r="AF22" s="117">
        <f t="shared" si="5"/>
        <v>449.86000000000007</v>
      </c>
      <c r="AG22" s="185">
        <f>AD22/AF22</f>
        <v>9.7585915618192322E-3</v>
      </c>
    </row>
    <row r="23" spans="1:44" x14ac:dyDescent="0.35">
      <c r="A23" s="6" t="s">
        <v>34</v>
      </c>
      <c r="B23" s="12">
        <f t="shared" ref="B23:Z23" si="18">B254+B138</f>
        <v>0.15</v>
      </c>
      <c r="C23" s="12">
        <f t="shared" si="18"/>
        <v>0.04</v>
      </c>
      <c r="D23" s="12">
        <f t="shared" si="18"/>
        <v>0</v>
      </c>
      <c r="E23" s="12">
        <f t="shared" si="18"/>
        <v>0</v>
      </c>
      <c r="F23" s="12">
        <f t="shared" si="18"/>
        <v>0</v>
      </c>
      <c r="G23" s="12">
        <f t="shared" si="18"/>
        <v>0</v>
      </c>
      <c r="H23" s="12">
        <f t="shared" si="18"/>
        <v>0</v>
      </c>
      <c r="I23" s="12">
        <f t="shared" si="18"/>
        <v>0</v>
      </c>
      <c r="J23" s="12">
        <f t="shared" si="18"/>
        <v>0</v>
      </c>
      <c r="K23" s="12">
        <f t="shared" si="18"/>
        <v>0</v>
      </c>
      <c r="L23" s="12">
        <f t="shared" si="18"/>
        <v>0</v>
      </c>
      <c r="M23" s="12">
        <f t="shared" si="18"/>
        <v>0</v>
      </c>
      <c r="N23" s="12">
        <f t="shared" si="18"/>
        <v>0</v>
      </c>
      <c r="O23" s="12">
        <f t="shared" si="18"/>
        <v>0.02</v>
      </c>
      <c r="P23" s="12">
        <f t="shared" si="18"/>
        <v>0</v>
      </c>
      <c r="Q23" s="12">
        <f t="shared" si="18"/>
        <v>0</v>
      </c>
      <c r="R23" s="12">
        <f t="shared" si="18"/>
        <v>0</v>
      </c>
      <c r="S23" s="12">
        <f t="shared" si="18"/>
        <v>0</v>
      </c>
      <c r="T23" s="12">
        <f t="shared" si="18"/>
        <v>0</v>
      </c>
      <c r="U23" s="12">
        <f t="shared" si="18"/>
        <v>0</v>
      </c>
      <c r="V23" s="12">
        <f t="shared" si="18"/>
        <v>0</v>
      </c>
      <c r="W23" s="12">
        <f t="shared" si="18"/>
        <v>0</v>
      </c>
      <c r="X23" s="12">
        <f t="shared" si="18"/>
        <v>0</v>
      </c>
      <c r="Y23" s="12">
        <f t="shared" si="18"/>
        <v>7.0000000000000007E-2</v>
      </c>
      <c r="Z23" s="12">
        <f t="shared" si="18"/>
        <v>0.28000000000000003</v>
      </c>
      <c r="AA23" s="24">
        <f t="shared" si="1"/>
        <v>8.8358178811708872E-5</v>
      </c>
      <c r="AC23" s="89">
        <f t="shared" si="2"/>
        <v>0.21</v>
      </c>
      <c r="AD23" s="89">
        <f t="shared" si="3"/>
        <v>0</v>
      </c>
      <c r="AE23" s="89">
        <f t="shared" si="4"/>
        <v>7.0000000000000007E-2</v>
      </c>
      <c r="AF23" s="89">
        <f t="shared" si="5"/>
        <v>0.28000000000000003</v>
      </c>
      <c r="AG23" s="24">
        <f>AD23/AF23</f>
        <v>0</v>
      </c>
    </row>
    <row r="24" spans="1:44" x14ac:dyDescent="0.35">
      <c r="A24" s="6" t="s">
        <v>61</v>
      </c>
      <c r="B24" s="12">
        <f t="shared" ref="B24:Z24" si="19">B255+B139</f>
        <v>425.35000000000014</v>
      </c>
      <c r="C24" s="12">
        <f t="shared" si="19"/>
        <v>6.2800000000000011</v>
      </c>
      <c r="D24" s="12">
        <f t="shared" si="19"/>
        <v>0</v>
      </c>
      <c r="E24" s="12">
        <f t="shared" si="19"/>
        <v>0</v>
      </c>
      <c r="F24" s="12">
        <f t="shared" si="19"/>
        <v>0</v>
      </c>
      <c r="G24" s="12">
        <f t="shared" si="19"/>
        <v>0</v>
      </c>
      <c r="H24" s="12">
        <f t="shared" si="19"/>
        <v>0</v>
      </c>
      <c r="I24" s="12">
        <f t="shared" si="19"/>
        <v>0</v>
      </c>
      <c r="J24" s="12">
        <f t="shared" si="19"/>
        <v>0.24</v>
      </c>
      <c r="K24" s="12">
        <f t="shared" si="19"/>
        <v>0</v>
      </c>
      <c r="L24" s="12">
        <f t="shared" si="19"/>
        <v>0</v>
      </c>
      <c r="M24" s="12">
        <f t="shared" si="19"/>
        <v>0.43</v>
      </c>
      <c r="N24" s="12">
        <f t="shared" si="19"/>
        <v>0</v>
      </c>
      <c r="O24" s="12">
        <f t="shared" si="19"/>
        <v>0</v>
      </c>
      <c r="P24" s="12">
        <f t="shared" si="19"/>
        <v>3.09</v>
      </c>
      <c r="Q24" s="12">
        <f t="shared" si="19"/>
        <v>0.28000000000000003</v>
      </c>
      <c r="R24" s="12">
        <f t="shared" si="19"/>
        <v>0.09</v>
      </c>
      <c r="S24" s="12">
        <f t="shared" si="19"/>
        <v>0</v>
      </c>
      <c r="T24" s="12">
        <f t="shared" si="19"/>
        <v>1</v>
      </c>
      <c r="U24" s="12">
        <f t="shared" si="19"/>
        <v>2.89</v>
      </c>
      <c r="V24" s="12">
        <f t="shared" si="19"/>
        <v>0.08</v>
      </c>
      <c r="W24" s="12">
        <f t="shared" si="19"/>
        <v>1.42</v>
      </c>
      <c r="X24" s="12">
        <f t="shared" si="19"/>
        <v>0</v>
      </c>
      <c r="Y24" s="12">
        <f t="shared" si="19"/>
        <v>0.21</v>
      </c>
      <c r="Z24" s="12">
        <f t="shared" si="19"/>
        <v>441.36000000000007</v>
      </c>
      <c r="AA24" s="24">
        <f t="shared" si="1"/>
        <v>0.13927773500119939</v>
      </c>
      <c r="AC24" s="89">
        <f t="shared" si="2"/>
        <v>436.76000000000005</v>
      </c>
      <c r="AD24" s="89">
        <f t="shared" si="3"/>
        <v>4.3900000000000006</v>
      </c>
      <c r="AE24" s="89">
        <f t="shared" si="4"/>
        <v>0.21</v>
      </c>
      <c r="AF24" s="89">
        <f t="shared" si="5"/>
        <v>441.36</v>
      </c>
      <c r="AG24" s="24">
        <f>AD24/AF24</f>
        <v>9.9465289106398409E-3</v>
      </c>
    </row>
    <row r="25" spans="1:44" x14ac:dyDescent="0.35">
      <c r="A25" s="6" t="s">
        <v>36</v>
      </c>
      <c r="B25" s="12">
        <f t="shared" ref="B25:Z25" si="20">B256+B140</f>
        <v>0.96</v>
      </c>
      <c r="C25" s="12">
        <f t="shared" si="20"/>
        <v>0</v>
      </c>
      <c r="D25" s="12">
        <f t="shared" si="20"/>
        <v>0</v>
      </c>
      <c r="E25" s="12">
        <f t="shared" si="20"/>
        <v>0</v>
      </c>
      <c r="F25" s="12">
        <f t="shared" si="20"/>
        <v>0</v>
      </c>
      <c r="G25" s="12">
        <f t="shared" si="20"/>
        <v>0</v>
      </c>
      <c r="H25" s="12">
        <f t="shared" si="20"/>
        <v>0</v>
      </c>
      <c r="I25" s="12">
        <f t="shared" si="20"/>
        <v>0</v>
      </c>
      <c r="J25" s="12">
        <f t="shared" si="20"/>
        <v>0</v>
      </c>
      <c r="K25" s="12">
        <f t="shared" si="20"/>
        <v>0</v>
      </c>
      <c r="L25" s="12">
        <f t="shared" si="20"/>
        <v>0</v>
      </c>
      <c r="M25" s="12">
        <f t="shared" si="20"/>
        <v>0.37</v>
      </c>
      <c r="N25" s="12">
        <f t="shared" si="20"/>
        <v>0</v>
      </c>
      <c r="O25" s="12">
        <f t="shared" si="20"/>
        <v>6.6</v>
      </c>
      <c r="P25" s="12">
        <f t="shared" si="20"/>
        <v>0</v>
      </c>
      <c r="Q25" s="12">
        <f t="shared" si="20"/>
        <v>0</v>
      </c>
      <c r="R25" s="12">
        <f t="shared" si="20"/>
        <v>0</v>
      </c>
      <c r="S25" s="12">
        <f t="shared" si="20"/>
        <v>0</v>
      </c>
      <c r="T25" s="12">
        <f t="shared" si="20"/>
        <v>0.19</v>
      </c>
      <c r="U25" s="12">
        <f t="shared" si="20"/>
        <v>0</v>
      </c>
      <c r="V25" s="12">
        <f t="shared" si="20"/>
        <v>0</v>
      </c>
      <c r="W25" s="12">
        <f t="shared" si="20"/>
        <v>0</v>
      </c>
      <c r="X25" s="12">
        <f t="shared" si="20"/>
        <v>0</v>
      </c>
      <c r="Y25" s="12">
        <f t="shared" si="20"/>
        <v>0.1</v>
      </c>
      <c r="Z25" s="12">
        <f t="shared" si="20"/>
        <v>8.2199999999999989</v>
      </c>
      <c r="AA25" s="24">
        <f t="shared" si="1"/>
        <v>2.5939436779723098E-3</v>
      </c>
      <c r="AC25" s="89">
        <f t="shared" si="2"/>
        <v>8.1199999999999992</v>
      </c>
      <c r="AD25" s="89">
        <f t="shared" si="3"/>
        <v>0</v>
      </c>
      <c r="AE25" s="89">
        <f t="shared" si="4"/>
        <v>0.1</v>
      </c>
      <c r="AF25" s="89">
        <f t="shared" si="5"/>
        <v>8.2199999999999989</v>
      </c>
      <c r="AG25" s="24">
        <f t="shared" ref="AG25" si="21">AD25/AF25</f>
        <v>0</v>
      </c>
    </row>
    <row r="26" spans="1:44" x14ac:dyDescent="0.35">
      <c r="A26" s="116" t="s">
        <v>16</v>
      </c>
      <c r="B26" s="117">
        <f t="shared" ref="B26:Z26" si="22">B257+B141</f>
        <v>0</v>
      </c>
      <c r="C26" s="117">
        <f t="shared" si="22"/>
        <v>0</v>
      </c>
      <c r="D26" s="117">
        <f t="shared" si="22"/>
        <v>0</v>
      </c>
      <c r="E26" s="117">
        <f t="shared" si="22"/>
        <v>0.09</v>
      </c>
      <c r="F26" s="117">
        <f t="shared" si="22"/>
        <v>0</v>
      </c>
      <c r="G26" s="117">
        <f t="shared" si="22"/>
        <v>0</v>
      </c>
      <c r="H26" s="117">
        <f t="shared" si="22"/>
        <v>0</v>
      </c>
      <c r="I26" s="117">
        <f t="shared" si="22"/>
        <v>0</v>
      </c>
      <c r="J26" s="117">
        <f t="shared" si="22"/>
        <v>0.8</v>
      </c>
      <c r="K26" s="117">
        <f t="shared" si="22"/>
        <v>0</v>
      </c>
      <c r="L26" s="117">
        <f t="shared" si="22"/>
        <v>0</v>
      </c>
      <c r="M26" s="117">
        <f t="shared" si="22"/>
        <v>0</v>
      </c>
      <c r="N26" s="117">
        <f t="shared" si="22"/>
        <v>0</v>
      </c>
      <c r="O26" s="117">
        <f t="shared" si="22"/>
        <v>0</v>
      </c>
      <c r="P26" s="117">
        <f t="shared" si="22"/>
        <v>0</v>
      </c>
      <c r="Q26" s="117">
        <f t="shared" si="22"/>
        <v>0.19</v>
      </c>
      <c r="R26" s="117">
        <f t="shared" si="22"/>
        <v>0</v>
      </c>
      <c r="S26" s="117">
        <f t="shared" si="22"/>
        <v>0</v>
      </c>
      <c r="T26" s="117">
        <f t="shared" si="22"/>
        <v>0</v>
      </c>
      <c r="U26" s="117">
        <f t="shared" si="22"/>
        <v>0</v>
      </c>
      <c r="V26" s="117">
        <f t="shared" si="22"/>
        <v>1.21</v>
      </c>
      <c r="W26" s="117">
        <f t="shared" si="22"/>
        <v>2.16</v>
      </c>
      <c r="X26" s="117">
        <f t="shared" si="22"/>
        <v>1.96</v>
      </c>
      <c r="Y26" s="117">
        <f t="shared" si="22"/>
        <v>0.15</v>
      </c>
      <c r="Z26" s="117">
        <f t="shared" si="22"/>
        <v>6.5600000000000005</v>
      </c>
      <c r="AA26" s="185">
        <f t="shared" si="1"/>
        <v>2.0701059035886076E-3</v>
      </c>
      <c r="AC26" s="117">
        <f t="shared" si="2"/>
        <v>1.08</v>
      </c>
      <c r="AD26" s="117">
        <f>SUM(U26:X26)</f>
        <v>5.33</v>
      </c>
      <c r="AE26" s="117">
        <f t="shared" si="4"/>
        <v>0.15</v>
      </c>
      <c r="AF26" s="117">
        <f t="shared" si="5"/>
        <v>6.5600000000000005</v>
      </c>
      <c r="AG26" s="185">
        <f>AD26/AF26</f>
        <v>0.8125</v>
      </c>
    </row>
    <row r="27" spans="1:44" x14ac:dyDescent="0.35">
      <c r="A27" s="6" t="s">
        <v>47</v>
      </c>
      <c r="B27" s="12">
        <f t="shared" ref="B27:Z27" si="23">B258+B142</f>
        <v>0</v>
      </c>
      <c r="C27" s="12">
        <f t="shared" si="23"/>
        <v>0</v>
      </c>
      <c r="D27" s="12">
        <f t="shared" si="23"/>
        <v>0</v>
      </c>
      <c r="E27" s="12">
        <f t="shared" si="23"/>
        <v>0.09</v>
      </c>
      <c r="F27" s="12">
        <f t="shared" si="23"/>
        <v>0</v>
      </c>
      <c r="G27" s="12">
        <f t="shared" si="23"/>
        <v>0</v>
      </c>
      <c r="H27" s="12">
        <f t="shared" si="23"/>
        <v>0</v>
      </c>
      <c r="I27" s="12">
        <f t="shared" si="23"/>
        <v>0</v>
      </c>
      <c r="J27" s="12">
        <f t="shared" si="23"/>
        <v>0</v>
      </c>
      <c r="K27" s="12">
        <f t="shared" si="23"/>
        <v>0</v>
      </c>
      <c r="L27" s="12">
        <f t="shared" si="23"/>
        <v>0</v>
      </c>
      <c r="M27" s="12">
        <f t="shared" si="23"/>
        <v>0</v>
      </c>
      <c r="N27" s="12">
        <f t="shared" si="23"/>
        <v>0</v>
      </c>
      <c r="O27" s="12">
        <f t="shared" si="23"/>
        <v>0</v>
      </c>
      <c r="P27" s="12">
        <f t="shared" si="23"/>
        <v>0</v>
      </c>
      <c r="Q27" s="12">
        <f t="shared" si="23"/>
        <v>0</v>
      </c>
      <c r="R27" s="12">
        <f t="shared" si="23"/>
        <v>0</v>
      </c>
      <c r="S27" s="12">
        <f t="shared" si="23"/>
        <v>0</v>
      </c>
      <c r="T27" s="12">
        <f t="shared" si="23"/>
        <v>0</v>
      </c>
      <c r="U27" s="12">
        <f t="shared" si="23"/>
        <v>0</v>
      </c>
      <c r="V27" s="12">
        <f t="shared" si="23"/>
        <v>0</v>
      </c>
      <c r="W27" s="12">
        <f t="shared" si="23"/>
        <v>2.16</v>
      </c>
      <c r="X27" s="12">
        <f t="shared" si="23"/>
        <v>0</v>
      </c>
      <c r="Y27" s="12">
        <f t="shared" si="23"/>
        <v>0</v>
      </c>
      <c r="Z27" s="12">
        <f t="shared" si="23"/>
        <v>2.25</v>
      </c>
      <c r="AA27" s="24">
        <f t="shared" si="1"/>
        <v>7.1002107973694624E-4</v>
      </c>
      <c r="AC27" s="89">
        <f t="shared" si="2"/>
        <v>0.09</v>
      </c>
      <c r="AD27" s="89">
        <f t="shared" ref="AD27:AD29" si="24">SUM(U27:X27)</f>
        <v>2.16</v>
      </c>
      <c r="AE27" s="89">
        <f t="shared" si="4"/>
        <v>0</v>
      </c>
      <c r="AF27" s="89">
        <f t="shared" si="5"/>
        <v>2.25</v>
      </c>
      <c r="AG27" s="24">
        <f t="shared" ref="AG27:AG28" si="25">AD27/AF27</f>
        <v>0.96000000000000008</v>
      </c>
    </row>
    <row r="28" spans="1:44" x14ac:dyDescent="0.35">
      <c r="A28" s="6" t="s">
        <v>48</v>
      </c>
      <c r="B28" s="12">
        <f t="shared" ref="B28:Z28" si="26">B259+B143</f>
        <v>0</v>
      </c>
      <c r="C28" s="12">
        <f t="shared" si="26"/>
        <v>0</v>
      </c>
      <c r="D28" s="12">
        <f t="shared" si="26"/>
        <v>0</v>
      </c>
      <c r="E28" s="12">
        <f t="shared" si="26"/>
        <v>0</v>
      </c>
      <c r="F28" s="12">
        <f t="shared" si="26"/>
        <v>0</v>
      </c>
      <c r="G28" s="12">
        <f t="shared" si="26"/>
        <v>0</v>
      </c>
      <c r="H28" s="12">
        <f t="shared" si="26"/>
        <v>0</v>
      </c>
      <c r="I28" s="12">
        <f t="shared" si="26"/>
        <v>0</v>
      </c>
      <c r="J28" s="12">
        <f t="shared" si="26"/>
        <v>0</v>
      </c>
      <c r="K28" s="12">
        <f t="shared" si="26"/>
        <v>0</v>
      </c>
      <c r="L28" s="12">
        <f t="shared" si="26"/>
        <v>0</v>
      </c>
      <c r="M28" s="12">
        <f t="shared" si="26"/>
        <v>0</v>
      </c>
      <c r="N28" s="12">
        <f t="shared" si="26"/>
        <v>0</v>
      </c>
      <c r="O28" s="12">
        <f t="shared" si="26"/>
        <v>0</v>
      </c>
      <c r="P28" s="12">
        <f t="shared" si="26"/>
        <v>0</v>
      </c>
      <c r="Q28" s="12">
        <f t="shared" si="26"/>
        <v>0</v>
      </c>
      <c r="R28" s="12">
        <f t="shared" si="26"/>
        <v>0</v>
      </c>
      <c r="S28" s="12">
        <f t="shared" si="26"/>
        <v>0</v>
      </c>
      <c r="T28" s="12">
        <f t="shared" si="26"/>
        <v>0</v>
      </c>
      <c r="U28" s="12">
        <f t="shared" si="26"/>
        <v>0</v>
      </c>
      <c r="V28" s="12">
        <f t="shared" si="26"/>
        <v>1.21</v>
      </c>
      <c r="W28" s="12">
        <f t="shared" si="26"/>
        <v>0</v>
      </c>
      <c r="X28" s="12">
        <f t="shared" si="26"/>
        <v>1.96</v>
      </c>
      <c r="Y28" s="12">
        <f t="shared" si="26"/>
        <v>0.15</v>
      </c>
      <c r="Z28" s="12">
        <f t="shared" si="26"/>
        <v>3.32</v>
      </c>
      <c r="AA28" s="24">
        <f t="shared" si="1"/>
        <v>1.0476755487674051E-3</v>
      </c>
      <c r="AC28" s="89">
        <f t="shared" si="2"/>
        <v>0</v>
      </c>
      <c r="AD28" s="89">
        <f t="shared" si="24"/>
        <v>3.17</v>
      </c>
      <c r="AE28" s="89">
        <f t="shared" si="4"/>
        <v>0.15</v>
      </c>
      <c r="AF28" s="89">
        <f t="shared" si="5"/>
        <v>3.32</v>
      </c>
      <c r="AG28" s="24">
        <f t="shared" si="25"/>
        <v>0.95481927710843373</v>
      </c>
    </row>
    <row r="29" spans="1:44" x14ac:dyDescent="0.35">
      <c r="A29" s="6" t="s">
        <v>53</v>
      </c>
      <c r="B29" s="12">
        <f t="shared" ref="B29:Z29" si="27">B260+B144</f>
        <v>0</v>
      </c>
      <c r="C29" s="12">
        <f t="shared" si="27"/>
        <v>0</v>
      </c>
      <c r="D29" s="12">
        <f t="shared" si="27"/>
        <v>0</v>
      </c>
      <c r="E29" s="12">
        <f t="shared" si="27"/>
        <v>0</v>
      </c>
      <c r="F29" s="12">
        <f t="shared" si="27"/>
        <v>0</v>
      </c>
      <c r="G29" s="12">
        <f t="shared" si="27"/>
        <v>0</v>
      </c>
      <c r="H29" s="12">
        <f t="shared" si="27"/>
        <v>0</v>
      </c>
      <c r="I29" s="12">
        <f t="shared" si="27"/>
        <v>0</v>
      </c>
      <c r="J29" s="12">
        <f t="shared" si="27"/>
        <v>0.8</v>
      </c>
      <c r="K29" s="12">
        <f t="shared" si="27"/>
        <v>0</v>
      </c>
      <c r="L29" s="12">
        <f t="shared" si="27"/>
        <v>0</v>
      </c>
      <c r="M29" s="12">
        <f t="shared" si="27"/>
        <v>0</v>
      </c>
      <c r="N29" s="12">
        <f t="shared" si="27"/>
        <v>0</v>
      </c>
      <c r="O29" s="12">
        <f t="shared" si="27"/>
        <v>0</v>
      </c>
      <c r="P29" s="12">
        <f t="shared" si="27"/>
        <v>0</v>
      </c>
      <c r="Q29" s="12">
        <f t="shared" si="27"/>
        <v>0.19</v>
      </c>
      <c r="R29" s="12">
        <f t="shared" si="27"/>
        <v>0</v>
      </c>
      <c r="S29" s="12">
        <f t="shared" si="27"/>
        <v>0</v>
      </c>
      <c r="T29" s="12">
        <f t="shared" si="27"/>
        <v>0</v>
      </c>
      <c r="U29" s="12">
        <f t="shared" si="27"/>
        <v>0</v>
      </c>
      <c r="V29" s="12">
        <f t="shared" si="27"/>
        <v>0</v>
      </c>
      <c r="W29" s="12">
        <f t="shared" si="27"/>
        <v>0</v>
      </c>
      <c r="X29" s="12">
        <f t="shared" si="27"/>
        <v>0</v>
      </c>
      <c r="Y29" s="12">
        <f t="shared" si="27"/>
        <v>0</v>
      </c>
      <c r="Z29" s="12">
        <f t="shared" si="27"/>
        <v>0.99</v>
      </c>
      <c r="AA29" s="24">
        <f t="shared" si="1"/>
        <v>3.124092750842563E-4</v>
      </c>
      <c r="AC29" s="89">
        <f t="shared" si="2"/>
        <v>0.99</v>
      </c>
      <c r="AD29" s="89">
        <f t="shared" si="24"/>
        <v>0</v>
      </c>
      <c r="AE29" s="89">
        <f t="shared" si="4"/>
        <v>0</v>
      </c>
      <c r="AF29" s="89">
        <f t="shared" si="5"/>
        <v>0.99</v>
      </c>
      <c r="AG29" s="24">
        <f>AD29/AF29</f>
        <v>0</v>
      </c>
    </row>
    <row r="30" spans="1:44" x14ac:dyDescent="0.35">
      <c r="A30" s="116" t="s">
        <v>15</v>
      </c>
      <c r="B30" s="117">
        <f t="shared" ref="B30:Z30" si="28">B261+B145</f>
        <v>0.68</v>
      </c>
      <c r="C30" s="117">
        <f t="shared" si="28"/>
        <v>0</v>
      </c>
      <c r="D30" s="117">
        <f t="shared" si="28"/>
        <v>0</v>
      </c>
      <c r="E30" s="117">
        <f t="shared" si="28"/>
        <v>0</v>
      </c>
      <c r="F30" s="117">
        <f t="shared" si="28"/>
        <v>0</v>
      </c>
      <c r="G30" s="117">
        <f t="shared" si="28"/>
        <v>0</v>
      </c>
      <c r="H30" s="117">
        <f t="shared" si="28"/>
        <v>0</v>
      </c>
      <c r="I30" s="117">
        <f t="shared" si="28"/>
        <v>0</v>
      </c>
      <c r="J30" s="117">
        <f t="shared" si="28"/>
        <v>0</v>
      </c>
      <c r="K30" s="117">
        <f t="shared" si="28"/>
        <v>0</v>
      </c>
      <c r="L30" s="117">
        <f t="shared" si="28"/>
        <v>0</v>
      </c>
      <c r="M30" s="117">
        <f t="shared" si="28"/>
        <v>1.26</v>
      </c>
      <c r="N30" s="117">
        <f t="shared" si="28"/>
        <v>0.06</v>
      </c>
      <c r="O30" s="117">
        <f t="shared" si="28"/>
        <v>1.07</v>
      </c>
      <c r="P30" s="117">
        <f t="shared" si="28"/>
        <v>0</v>
      </c>
      <c r="Q30" s="117">
        <f t="shared" si="28"/>
        <v>0</v>
      </c>
      <c r="R30" s="117">
        <f t="shared" si="28"/>
        <v>0.48</v>
      </c>
      <c r="S30" s="117">
        <f t="shared" si="28"/>
        <v>0.47</v>
      </c>
      <c r="T30" s="117">
        <f t="shared" si="28"/>
        <v>0</v>
      </c>
      <c r="U30" s="117">
        <f t="shared" si="28"/>
        <v>0</v>
      </c>
      <c r="V30" s="117">
        <f t="shared" si="28"/>
        <v>0.28000000000000003</v>
      </c>
      <c r="W30" s="117">
        <f t="shared" si="28"/>
        <v>0</v>
      </c>
      <c r="X30" s="117">
        <f t="shared" si="28"/>
        <v>0.12</v>
      </c>
      <c r="Y30" s="117">
        <f t="shared" si="28"/>
        <v>0</v>
      </c>
      <c r="Z30" s="117">
        <f t="shared" si="28"/>
        <v>4.42</v>
      </c>
      <c r="AA30" s="185">
        <f t="shared" si="1"/>
        <v>1.3947969655276897E-3</v>
      </c>
      <c r="AC30" s="117">
        <f>SUM(AC31:AC34)</f>
        <v>4.0199999999999996</v>
      </c>
      <c r="AD30" s="117">
        <f>SUM(U30:X30)</f>
        <v>0.4</v>
      </c>
      <c r="AE30" s="117">
        <f t="shared" si="4"/>
        <v>0</v>
      </c>
      <c r="AF30" s="117">
        <f t="shared" si="5"/>
        <v>4.42</v>
      </c>
      <c r="AG30" s="185">
        <f>AD30/AF30</f>
        <v>9.0497737556561098E-2</v>
      </c>
      <c r="AO30" s="342"/>
      <c r="AP30" s="342" t="s">
        <v>256</v>
      </c>
      <c r="AQ30" s="342" t="s">
        <v>96</v>
      </c>
      <c r="AR30" s="342" t="s">
        <v>257</v>
      </c>
    </row>
    <row r="31" spans="1:44" x14ac:dyDescent="0.35">
      <c r="A31" s="6" t="s">
        <v>41</v>
      </c>
      <c r="B31" s="12">
        <f t="shared" ref="B31:Z31" si="29">B262+B146</f>
        <v>0</v>
      </c>
      <c r="C31" s="12">
        <f t="shared" si="29"/>
        <v>0</v>
      </c>
      <c r="D31" s="12">
        <f t="shared" si="29"/>
        <v>0</v>
      </c>
      <c r="E31" s="12">
        <f t="shared" si="29"/>
        <v>0</v>
      </c>
      <c r="F31" s="12">
        <f t="shared" si="29"/>
        <v>0</v>
      </c>
      <c r="G31" s="12">
        <f t="shared" si="29"/>
        <v>0</v>
      </c>
      <c r="H31" s="12">
        <f t="shared" si="29"/>
        <v>0</v>
      </c>
      <c r="I31" s="12">
        <f t="shared" si="29"/>
        <v>0</v>
      </c>
      <c r="J31" s="12">
        <f t="shared" si="29"/>
        <v>0</v>
      </c>
      <c r="K31" s="12">
        <f t="shared" si="29"/>
        <v>0</v>
      </c>
      <c r="L31" s="12">
        <f t="shared" si="29"/>
        <v>0</v>
      </c>
      <c r="M31" s="12">
        <f t="shared" si="29"/>
        <v>1.26</v>
      </c>
      <c r="N31" s="12">
        <f t="shared" si="29"/>
        <v>0</v>
      </c>
      <c r="O31" s="12">
        <f t="shared" si="29"/>
        <v>0</v>
      </c>
      <c r="P31" s="12">
        <f t="shared" si="29"/>
        <v>0</v>
      </c>
      <c r="Q31" s="12">
        <f t="shared" si="29"/>
        <v>0</v>
      </c>
      <c r="R31" s="12">
        <f t="shared" si="29"/>
        <v>0</v>
      </c>
      <c r="S31" s="12">
        <f t="shared" si="29"/>
        <v>0</v>
      </c>
      <c r="T31" s="12">
        <f t="shared" si="29"/>
        <v>0</v>
      </c>
      <c r="U31" s="12">
        <f t="shared" si="29"/>
        <v>0</v>
      </c>
      <c r="V31" s="12">
        <f t="shared" si="29"/>
        <v>0</v>
      </c>
      <c r="W31" s="12">
        <f t="shared" si="29"/>
        <v>0</v>
      </c>
      <c r="X31" s="12">
        <f t="shared" si="29"/>
        <v>0</v>
      </c>
      <c r="Y31" s="12">
        <f t="shared" si="29"/>
        <v>0</v>
      </c>
      <c r="Z31" s="12">
        <f t="shared" si="29"/>
        <v>1.26</v>
      </c>
      <c r="AA31" s="24">
        <f t="shared" si="1"/>
        <v>3.9761180465268988E-4</v>
      </c>
      <c r="AC31" s="89">
        <f t="shared" ref="AC31:AC58" si="30">SUM(B31:T31)</f>
        <v>1.26</v>
      </c>
      <c r="AD31" s="89">
        <f t="shared" ref="AD31:AD34" si="31">SUM(U31:X31)</f>
        <v>0</v>
      </c>
      <c r="AE31" s="89">
        <f t="shared" si="4"/>
        <v>0</v>
      </c>
      <c r="AF31" s="89">
        <f t="shared" si="5"/>
        <v>1.26</v>
      </c>
      <c r="AG31" s="24">
        <f t="shared" ref="AG31" si="32">AD31/AF31</f>
        <v>0</v>
      </c>
      <c r="AO31" s="116" t="s">
        <v>14</v>
      </c>
      <c r="AP31" s="89">
        <v>64.58</v>
      </c>
      <c r="AQ31" s="89">
        <v>2671.2499999999959</v>
      </c>
      <c r="AR31" s="190">
        <f t="shared" ref="AR31" si="33">AP31/AQ31</f>
        <v>2.4175947590079586E-2</v>
      </c>
    </row>
    <row r="32" spans="1:44" x14ac:dyDescent="0.35">
      <c r="A32" s="6" t="s">
        <v>43</v>
      </c>
      <c r="B32" s="12">
        <f t="shared" ref="B32:Z32" si="34">B263+B147</f>
        <v>0.68</v>
      </c>
      <c r="C32" s="12">
        <f t="shared" si="34"/>
        <v>0</v>
      </c>
      <c r="D32" s="12">
        <f t="shared" si="34"/>
        <v>0</v>
      </c>
      <c r="E32" s="12">
        <f t="shared" si="34"/>
        <v>0</v>
      </c>
      <c r="F32" s="12">
        <f t="shared" si="34"/>
        <v>0</v>
      </c>
      <c r="G32" s="12">
        <f t="shared" si="34"/>
        <v>0</v>
      </c>
      <c r="H32" s="12">
        <f t="shared" si="34"/>
        <v>0</v>
      </c>
      <c r="I32" s="12">
        <f t="shared" si="34"/>
        <v>0</v>
      </c>
      <c r="J32" s="12">
        <f t="shared" si="34"/>
        <v>0</v>
      </c>
      <c r="K32" s="12">
        <f t="shared" si="34"/>
        <v>0</v>
      </c>
      <c r="L32" s="12">
        <f t="shared" si="34"/>
        <v>0</v>
      </c>
      <c r="M32" s="12">
        <f t="shared" si="34"/>
        <v>0</v>
      </c>
      <c r="N32" s="12">
        <f t="shared" si="34"/>
        <v>0</v>
      </c>
      <c r="O32" s="12">
        <f t="shared" si="34"/>
        <v>1.07</v>
      </c>
      <c r="P32" s="12">
        <f t="shared" si="34"/>
        <v>0</v>
      </c>
      <c r="Q32" s="12">
        <f t="shared" si="34"/>
        <v>0</v>
      </c>
      <c r="R32" s="12">
        <f t="shared" si="34"/>
        <v>0</v>
      </c>
      <c r="S32" s="12">
        <f t="shared" si="34"/>
        <v>0</v>
      </c>
      <c r="T32" s="12">
        <f t="shared" si="34"/>
        <v>0</v>
      </c>
      <c r="U32" s="12">
        <f t="shared" si="34"/>
        <v>0</v>
      </c>
      <c r="V32" s="12">
        <f t="shared" si="34"/>
        <v>0.28000000000000003</v>
      </c>
      <c r="W32" s="12">
        <f t="shared" si="34"/>
        <v>0</v>
      </c>
      <c r="X32" s="12">
        <f t="shared" si="34"/>
        <v>0</v>
      </c>
      <c r="Y32" s="12">
        <f t="shared" si="34"/>
        <v>0</v>
      </c>
      <c r="Z32" s="12">
        <f t="shared" si="34"/>
        <v>2.0300000000000002</v>
      </c>
      <c r="AA32" s="24">
        <f t="shared" si="1"/>
        <v>6.4059679638488935E-4</v>
      </c>
      <c r="AC32" s="89">
        <f t="shared" si="30"/>
        <v>1.75</v>
      </c>
      <c r="AD32" s="89">
        <f t="shared" si="31"/>
        <v>0.28000000000000003</v>
      </c>
      <c r="AE32" s="89">
        <f t="shared" si="4"/>
        <v>0</v>
      </c>
      <c r="AF32" s="89">
        <f t="shared" ref="AF32:AF34" si="35">SUM(AC32:AE32)</f>
        <v>2.0300000000000002</v>
      </c>
      <c r="AG32" s="24">
        <f>AD32/AF32</f>
        <v>0.13793103448275862</v>
      </c>
      <c r="AJ32" s="210" t="s">
        <v>255</v>
      </c>
      <c r="AO32" s="116" t="s">
        <v>23</v>
      </c>
      <c r="AP32" s="89">
        <v>5.3900000000000006</v>
      </c>
      <c r="AQ32" s="89">
        <v>6.7700000000000005</v>
      </c>
      <c r="AR32" s="190">
        <f>AP32/AQ32</f>
        <v>0.79615952732644024</v>
      </c>
    </row>
    <row r="33" spans="1:44" x14ac:dyDescent="0.35">
      <c r="A33" s="6" t="s">
        <v>44</v>
      </c>
      <c r="B33" s="12">
        <f t="shared" ref="B33:Z33" si="36">B264+B148</f>
        <v>0</v>
      </c>
      <c r="C33" s="12">
        <f t="shared" si="36"/>
        <v>0</v>
      </c>
      <c r="D33" s="12">
        <f t="shared" si="36"/>
        <v>0</v>
      </c>
      <c r="E33" s="12">
        <f t="shared" si="36"/>
        <v>0</v>
      </c>
      <c r="F33" s="12">
        <f t="shared" si="36"/>
        <v>0</v>
      </c>
      <c r="G33" s="12">
        <f t="shared" si="36"/>
        <v>0</v>
      </c>
      <c r="H33" s="12">
        <f t="shared" si="36"/>
        <v>0</v>
      </c>
      <c r="I33" s="12">
        <f t="shared" si="36"/>
        <v>0</v>
      </c>
      <c r="J33" s="12">
        <f t="shared" si="36"/>
        <v>0</v>
      </c>
      <c r="K33" s="12">
        <f t="shared" si="36"/>
        <v>0</v>
      </c>
      <c r="L33" s="12">
        <f t="shared" si="36"/>
        <v>0</v>
      </c>
      <c r="M33" s="12">
        <f t="shared" si="36"/>
        <v>0</v>
      </c>
      <c r="N33" s="12">
        <f t="shared" si="36"/>
        <v>0</v>
      </c>
      <c r="O33" s="12">
        <f t="shared" si="36"/>
        <v>0</v>
      </c>
      <c r="P33" s="12">
        <f t="shared" si="36"/>
        <v>0</v>
      </c>
      <c r="Q33" s="12">
        <f t="shared" si="36"/>
        <v>0</v>
      </c>
      <c r="R33" s="12">
        <f t="shared" si="36"/>
        <v>0</v>
      </c>
      <c r="S33" s="12">
        <f t="shared" si="36"/>
        <v>0.47</v>
      </c>
      <c r="T33" s="12">
        <f t="shared" si="36"/>
        <v>0</v>
      </c>
      <c r="U33" s="12">
        <f t="shared" si="36"/>
        <v>0</v>
      </c>
      <c r="V33" s="12">
        <f t="shared" si="36"/>
        <v>0</v>
      </c>
      <c r="W33" s="12">
        <f t="shared" si="36"/>
        <v>0</v>
      </c>
      <c r="X33" s="12">
        <f t="shared" si="36"/>
        <v>0</v>
      </c>
      <c r="Y33" s="12">
        <f t="shared" si="36"/>
        <v>0</v>
      </c>
      <c r="Z33" s="12">
        <f t="shared" si="36"/>
        <v>0.47</v>
      </c>
      <c r="AA33" s="24">
        <f t="shared" si="1"/>
        <v>1.4831551443393986E-4</v>
      </c>
      <c r="AC33" s="89">
        <f t="shared" si="30"/>
        <v>0.47</v>
      </c>
      <c r="AD33" s="89">
        <f t="shared" si="31"/>
        <v>0</v>
      </c>
      <c r="AE33" s="89">
        <f t="shared" si="4"/>
        <v>0</v>
      </c>
      <c r="AF33" s="89">
        <f t="shared" si="35"/>
        <v>0.47</v>
      </c>
      <c r="AG33" s="24">
        <f t="shared" ref="AG33" si="37">AD33/AF33</f>
        <v>0</v>
      </c>
      <c r="AK33" t="s">
        <v>256</v>
      </c>
      <c r="AL33" t="s">
        <v>96</v>
      </c>
      <c r="AM33" t="s">
        <v>257</v>
      </c>
      <c r="AO33" s="116" t="s">
        <v>16</v>
      </c>
      <c r="AP33" s="89">
        <v>5.33</v>
      </c>
      <c r="AQ33" s="89">
        <v>6.5600000000000005</v>
      </c>
      <c r="AR33" s="190">
        <f t="shared" ref="AR33:AR34" si="38">AP33/AQ33</f>
        <v>0.8125</v>
      </c>
    </row>
    <row r="34" spans="1:44" x14ac:dyDescent="0.35">
      <c r="A34" s="6" t="s">
        <v>45</v>
      </c>
      <c r="B34" s="12">
        <f t="shared" ref="B34:Z34" si="39">B265+B149</f>
        <v>0</v>
      </c>
      <c r="C34" s="12">
        <f t="shared" si="39"/>
        <v>0</v>
      </c>
      <c r="D34" s="12">
        <f t="shared" si="39"/>
        <v>0</v>
      </c>
      <c r="E34" s="12">
        <f t="shared" si="39"/>
        <v>0</v>
      </c>
      <c r="F34" s="12">
        <f t="shared" si="39"/>
        <v>0</v>
      </c>
      <c r="G34" s="12">
        <f t="shared" si="39"/>
        <v>0</v>
      </c>
      <c r="H34" s="12">
        <f t="shared" si="39"/>
        <v>0</v>
      </c>
      <c r="I34" s="12">
        <f t="shared" si="39"/>
        <v>0</v>
      </c>
      <c r="J34" s="12">
        <f t="shared" si="39"/>
        <v>0</v>
      </c>
      <c r="K34" s="12">
        <f t="shared" si="39"/>
        <v>0</v>
      </c>
      <c r="L34" s="12">
        <f t="shared" si="39"/>
        <v>0</v>
      </c>
      <c r="M34" s="12">
        <f t="shared" si="39"/>
        <v>0</v>
      </c>
      <c r="N34" s="12">
        <f t="shared" si="39"/>
        <v>0.06</v>
      </c>
      <c r="O34" s="12">
        <f t="shared" si="39"/>
        <v>0</v>
      </c>
      <c r="P34" s="12">
        <f t="shared" si="39"/>
        <v>0</v>
      </c>
      <c r="Q34" s="12">
        <f t="shared" si="39"/>
        <v>0</v>
      </c>
      <c r="R34" s="12">
        <f t="shared" si="39"/>
        <v>0.48</v>
      </c>
      <c r="S34" s="12">
        <f t="shared" si="39"/>
        <v>0</v>
      </c>
      <c r="T34" s="12">
        <f t="shared" si="39"/>
        <v>0</v>
      </c>
      <c r="U34" s="12">
        <f t="shared" si="39"/>
        <v>0</v>
      </c>
      <c r="V34" s="12">
        <f t="shared" si="39"/>
        <v>0</v>
      </c>
      <c r="W34" s="12">
        <f t="shared" si="39"/>
        <v>0</v>
      </c>
      <c r="X34" s="12">
        <f t="shared" si="39"/>
        <v>0.12</v>
      </c>
      <c r="Y34" s="12">
        <f t="shared" si="39"/>
        <v>0</v>
      </c>
      <c r="Z34" s="12">
        <f t="shared" si="39"/>
        <v>0.66</v>
      </c>
      <c r="AA34" s="24">
        <f t="shared" si="1"/>
        <v>2.0827285005617089E-4</v>
      </c>
      <c r="AC34" s="89">
        <f t="shared" si="30"/>
        <v>0.54</v>
      </c>
      <c r="AD34" s="89">
        <f t="shared" si="31"/>
        <v>0.12</v>
      </c>
      <c r="AE34" s="89">
        <f t="shared" si="4"/>
        <v>0</v>
      </c>
      <c r="AF34" s="89">
        <f t="shared" si="35"/>
        <v>0.66</v>
      </c>
      <c r="AG34" s="24">
        <f t="shared" ref="AG34" si="40">AD34/AF34</f>
        <v>0.1818181818181818</v>
      </c>
      <c r="AJ34" s="6" t="s">
        <v>40</v>
      </c>
      <c r="AK34" s="407">
        <v>38.69</v>
      </c>
      <c r="AL34" s="89">
        <v>2256.0699999999965</v>
      </c>
      <c r="AM34" s="382">
        <f>AK34/AL34</f>
        <v>1.7149290580522794E-2</v>
      </c>
      <c r="AO34" s="116" t="s">
        <v>13</v>
      </c>
      <c r="AP34" s="89">
        <v>4.3900000000000006</v>
      </c>
      <c r="AQ34" s="89">
        <v>449.86000000000007</v>
      </c>
      <c r="AR34" s="190">
        <f t="shared" si="38"/>
        <v>9.7585915618192322E-3</v>
      </c>
    </row>
    <row r="35" spans="1:44" x14ac:dyDescent="0.35">
      <c r="A35" s="116" t="s">
        <v>70</v>
      </c>
      <c r="B35" s="117">
        <f t="shared" ref="B35:Z35" si="41">B266+B150</f>
        <v>0</v>
      </c>
      <c r="C35" s="117">
        <f t="shared" si="41"/>
        <v>0</v>
      </c>
      <c r="D35" s="117">
        <f t="shared" si="41"/>
        <v>0</v>
      </c>
      <c r="E35" s="117">
        <f t="shared" si="41"/>
        <v>0</v>
      </c>
      <c r="F35" s="117">
        <f t="shared" si="41"/>
        <v>0</v>
      </c>
      <c r="G35" s="117">
        <f t="shared" si="41"/>
        <v>0</v>
      </c>
      <c r="H35" s="117">
        <f t="shared" si="41"/>
        <v>0</v>
      </c>
      <c r="I35" s="117">
        <f t="shared" si="41"/>
        <v>0</v>
      </c>
      <c r="J35" s="117">
        <f t="shared" si="41"/>
        <v>0</v>
      </c>
      <c r="K35" s="117">
        <f t="shared" si="41"/>
        <v>0</v>
      </c>
      <c r="L35" s="117">
        <f t="shared" si="41"/>
        <v>0</v>
      </c>
      <c r="M35" s="117">
        <f t="shared" si="41"/>
        <v>0</v>
      </c>
      <c r="N35" s="117">
        <f t="shared" si="41"/>
        <v>0</v>
      </c>
      <c r="O35" s="117">
        <f t="shared" si="41"/>
        <v>0</v>
      </c>
      <c r="P35" s="117">
        <f t="shared" si="41"/>
        <v>0</v>
      </c>
      <c r="Q35" s="117">
        <f t="shared" si="41"/>
        <v>0</v>
      </c>
      <c r="R35" s="117">
        <f t="shared" si="41"/>
        <v>0</v>
      </c>
      <c r="S35" s="117">
        <f t="shared" si="41"/>
        <v>0</v>
      </c>
      <c r="T35" s="117">
        <f t="shared" si="41"/>
        <v>0</v>
      </c>
      <c r="U35" s="117">
        <f t="shared" si="41"/>
        <v>0</v>
      </c>
      <c r="V35" s="117">
        <f t="shared" si="41"/>
        <v>0</v>
      </c>
      <c r="W35" s="117">
        <f t="shared" si="41"/>
        <v>0</v>
      </c>
      <c r="X35" s="117">
        <f t="shared" si="41"/>
        <v>0</v>
      </c>
      <c r="Y35" s="117">
        <f t="shared" si="41"/>
        <v>0.45</v>
      </c>
      <c r="Z35" s="117">
        <f t="shared" si="41"/>
        <v>0.45</v>
      </c>
      <c r="AA35" s="185">
        <f t="shared" si="1"/>
        <v>1.4200421594738925E-4</v>
      </c>
      <c r="AC35" s="117">
        <f t="shared" si="30"/>
        <v>0</v>
      </c>
      <c r="AD35" s="117">
        <f>SUM(U35:X35)</f>
        <v>0</v>
      </c>
      <c r="AE35" s="117">
        <f t="shared" si="4"/>
        <v>0.45</v>
      </c>
      <c r="AF35" s="117">
        <f>SUM(AC35:AE35)</f>
        <v>0.45</v>
      </c>
      <c r="AG35" s="185">
        <f>AD35/AF35</f>
        <v>0</v>
      </c>
      <c r="AJ35" s="6" t="s">
        <v>38</v>
      </c>
      <c r="AK35" s="407">
        <v>25.750000000000004</v>
      </c>
      <c r="AL35" s="89">
        <v>372.43000000000006</v>
      </c>
      <c r="AM35" s="382">
        <f t="shared" ref="AM35:AM50" si="42">AK35/AL35</f>
        <v>6.9140509625969973E-2</v>
      </c>
    </row>
    <row r="36" spans="1:44" x14ac:dyDescent="0.35">
      <c r="A36" s="6" t="s">
        <v>70</v>
      </c>
      <c r="B36" s="12">
        <f t="shared" ref="B36:Z36" si="43">B267+B151</f>
        <v>0</v>
      </c>
      <c r="C36" s="12">
        <f t="shared" si="43"/>
        <v>0</v>
      </c>
      <c r="D36" s="12">
        <f t="shared" si="43"/>
        <v>0</v>
      </c>
      <c r="E36" s="12">
        <f t="shared" si="43"/>
        <v>0</v>
      </c>
      <c r="F36" s="12">
        <f t="shared" si="43"/>
        <v>0</v>
      </c>
      <c r="G36" s="12">
        <f t="shared" si="43"/>
        <v>0</v>
      </c>
      <c r="H36" s="12">
        <f t="shared" si="43"/>
        <v>0</v>
      </c>
      <c r="I36" s="12">
        <f t="shared" si="43"/>
        <v>0</v>
      </c>
      <c r="J36" s="12">
        <f t="shared" si="43"/>
        <v>0</v>
      </c>
      <c r="K36" s="12">
        <f t="shared" si="43"/>
        <v>0</v>
      </c>
      <c r="L36" s="12">
        <f t="shared" si="43"/>
        <v>0</v>
      </c>
      <c r="M36" s="12">
        <f t="shared" si="43"/>
        <v>0</v>
      </c>
      <c r="N36" s="12">
        <f t="shared" si="43"/>
        <v>0</v>
      </c>
      <c r="O36" s="12">
        <f t="shared" si="43"/>
        <v>0</v>
      </c>
      <c r="P36" s="12">
        <f t="shared" si="43"/>
        <v>0</v>
      </c>
      <c r="Q36" s="12">
        <f t="shared" si="43"/>
        <v>0</v>
      </c>
      <c r="R36" s="12">
        <f t="shared" si="43"/>
        <v>0</v>
      </c>
      <c r="S36" s="12">
        <f t="shared" si="43"/>
        <v>0</v>
      </c>
      <c r="T36" s="12">
        <f t="shared" si="43"/>
        <v>0</v>
      </c>
      <c r="U36" s="12">
        <f t="shared" si="43"/>
        <v>0</v>
      </c>
      <c r="V36" s="12">
        <f t="shared" si="43"/>
        <v>0</v>
      </c>
      <c r="W36" s="12">
        <f t="shared" si="43"/>
        <v>0</v>
      </c>
      <c r="X36" s="12">
        <f t="shared" si="43"/>
        <v>0</v>
      </c>
      <c r="Y36" s="12">
        <f t="shared" si="43"/>
        <v>0.45</v>
      </c>
      <c r="Z36" s="12">
        <f t="shared" si="43"/>
        <v>0.45</v>
      </c>
      <c r="AA36" s="24">
        <f t="shared" si="1"/>
        <v>1.4200421594738925E-4</v>
      </c>
      <c r="AC36" s="89">
        <f t="shared" si="30"/>
        <v>0</v>
      </c>
      <c r="AD36" s="89">
        <f t="shared" ref="AD36" si="44">SUM(U36:X36)</f>
        <v>0</v>
      </c>
      <c r="AE36" s="89">
        <f t="shared" si="4"/>
        <v>0.45</v>
      </c>
      <c r="AF36" s="89">
        <f t="shared" ref="AF36" si="45">SUM(AC36:AE36)</f>
        <v>0.45</v>
      </c>
      <c r="AG36" s="24">
        <f>AD36/AF36</f>
        <v>0</v>
      </c>
      <c r="AJ36" s="6" t="s">
        <v>23</v>
      </c>
      <c r="AK36" s="407">
        <v>5.3900000000000006</v>
      </c>
      <c r="AL36" s="89">
        <v>6.7700000000000005</v>
      </c>
      <c r="AM36" s="382">
        <f t="shared" si="42"/>
        <v>0.79615952732644024</v>
      </c>
    </row>
    <row r="37" spans="1:44" x14ac:dyDescent="0.35">
      <c r="A37" s="116" t="s">
        <v>14</v>
      </c>
      <c r="B37" s="117">
        <f t="shared" ref="B37:Z37" si="46">B268+B152</f>
        <v>2366.6699999999955</v>
      </c>
      <c r="C37" s="117">
        <f t="shared" si="46"/>
        <v>90</v>
      </c>
      <c r="D37" s="117">
        <f t="shared" si="46"/>
        <v>16.849999999999998</v>
      </c>
      <c r="E37" s="117">
        <f t="shared" si="46"/>
        <v>2.87</v>
      </c>
      <c r="F37" s="117">
        <f t="shared" si="46"/>
        <v>3.49</v>
      </c>
      <c r="G37" s="117">
        <f t="shared" si="46"/>
        <v>8.629999999999999</v>
      </c>
      <c r="H37" s="117">
        <f t="shared" si="46"/>
        <v>5.9799999999999995</v>
      </c>
      <c r="I37" s="117">
        <f t="shared" si="46"/>
        <v>3.64</v>
      </c>
      <c r="J37" s="117">
        <f t="shared" si="46"/>
        <v>3.19</v>
      </c>
      <c r="K37" s="117">
        <f t="shared" si="46"/>
        <v>5.57</v>
      </c>
      <c r="L37" s="117">
        <f t="shared" si="46"/>
        <v>1.77</v>
      </c>
      <c r="M37" s="117">
        <f t="shared" si="46"/>
        <v>6.2600000000000007</v>
      </c>
      <c r="N37" s="117">
        <f t="shared" si="46"/>
        <v>2.29</v>
      </c>
      <c r="O37" s="117">
        <f t="shared" si="46"/>
        <v>4.84</v>
      </c>
      <c r="P37" s="117">
        <f t="shared" si="46"/>
        <v>2.6699999999999995</v>
      </c>
      <c r="Q37" s="117">
        <f t="shared" si="46"/>
        <v>7.3800000000000008</v>
      </c>
      <c r="R37" s="117">
        <f t="shared" si="46"/>
        <v>24.32</v>
      </c>
      <c r="S37" s="117">
        <f t="shared" si="46"/>
        <v>25.639999999999993</v>
      </c>
      <c r="T37" s="117">
        <f t="shared" si="46"/>
        <v>24.61</v>
      </c>
      <c r="U37" s="117">
        <f t="shared" si="46"/>
        <v>22.090000000000003</v>
      </c>
      <c r="V37" s="117">
        <f t="shared" si="46"/>
        <v>17.18</v>
      </c>
      <c r="W37" s="117">
        <f t="shared" si="46"/>
        <v>18.649999999999999</v>
      </c>
      <c r="X37" s="117">
        <f t="shared" si="46"/>
        <v>6.6599999999999993</v>
      </c>
      <c r="Y37" s="117">
        <f t="shared" si="46"/>
        <v>0</v>
      </c>
      <c r="Z37" s="117">
        <f t="shared" si="46"/>
        <v>2671.2499999999955</v>
      </c>
      <c r="AA37" s="185">
        <f t="shared" si="1"/>
        <v>0.84295280410991746</v>
      </c>
      <c r="AC37" s="117">
        <f t="shared" si="30"/>
        <v>2606.669999999996</v>
      </c>
      <c r="AD37" s="117">
        <f>SUM(U37:X37)</f>
        <v>64.58</v>
      </c>
      <c r="AE37" s="117">
        <f t="shared" si="4"/>
        <v>0</v>
      </c>
      <c r="AF37" s="117">
        <f>SUM(AC37:AE37)</f>
        <v>2671.2499999999959</v>
      </c>
      <c r="AG37" s="185">
        <f>AD37/AF37</f>
        <v>2.4175947590079586E-2</v>
      </c>
      <c r="AJ37" s="6" t="s">
        <v>61</v>
      </c>
      <c r="AK37" s="407">
        <v>4.3900000000000006</v>
      </c>
      <c r="AL37" s="89">
        <v>441.36</v>
      </c>
      <c r="AM37" s="382">
        <f t="shared" si="42"/>
        <v>9.9465289106398409E-3</v>
      </c>
    </row>
    <row r="38" spans="1:44" x14ac:dyDescent="0.35">
      <c r="A38" s="6" t="s">
        <v>37</v>
      </c>
      <c r="B38" s="12">
        <f t="shared" ref="B38:Z38" si="47">B269+B153</f>
        <v>35.259999999999991</v>
      </c>
      <c r="C38" s="12">
        <f t="shared" si="47"/>
        <v>1.1299999999999999</v>
      </c>
      <c r="D38" s="12">
        <f t="shared" si="47"/>
        <v>0</v>
      </c>
      <c r="E38" s="12">
        <f t="shared" si="47"/>
        <v>0</v>
      </c>
      <c r="F38" s="12">
        <f t="shared" si="47"/>
        <v>0</v>
      </c>
      <c r="G38" s="12">
        <f t="shared" si="47"/>
        <v>0</v>
      </c>
      <c r="H38" s="12">
        <f t="shared" si="47"/>
        <v>0.02</v>
      </c>
      <c r="I38" s="12">
        <f t="shared" si="47"/>
        <v>0</v>
      </c>
      <c r="J38" s="12">
        <f t="shared" si="47"/>
        <v>0</v>
      </c>
      <c r="K38" s="12">
        <f t="shared" si="47"/>
        <v>1.82</v>
      </c>
      <c r="L38" s="12">
        <f t="shared" si="47"/>
        <v>0</v>
      </c>
      <c r="M38" s="12">
        <f t="shared" si="47"/>
        <v>0</v>
      </c>
      <c r="N38" s="12">
        <f t="shared" si="47"/>
        <v>0</v>
      </c>
      <c r="O38" s="12">
        <f t="shared" si="47"/>
        <v>0</v>
      </c>
      <c r="P38" s="12">
        <f t="shared" si="47"/>
        <v>0.1</v>
      </c>
      <c r="Q38" s="12">
        <f t="shared" si="47"/>
        <v>0.1</v>
      </c>
      <c r="R38" s="12">
        <f t="shared" si="47"/>
        <v>0.2</v>
      </c>
      <c r="S38" s="12">
        <f t="shared" si="47"/>
        <v>0</v>
      </c>
      <c r="T38" s="12">
        <f t="shared" si="47"/>
        <v>0</v>
      </c>
      <c r="U38" s="12">
        <f t="shared" si="47"/>
        <v>0</v>
      </c>
      <c r="V38" s="12">
        <f t="shared" si="47"/>
        <v>0</v>
      </c>
      <c r="W38" s="12">
        <f t="shared" si="47"/>
        <v>0</v>
      </c>
      <c r="X38" s="12">
        <f t="shared" si="47"/>
        <v>0</v>
      </c>
      <c r="Y38" s="12">
        <f t="shared" si="47"/>
        <v>0</v>
      </c>
      <c r="Z38" s="12">
        <f t="shared" si="47"/>
        <v>38.630000000000003</v>
      </c>
      <c r="AA38" s="24">
        <f t="shared" si="1"/>
        <v>1.2190273026772547E-2</v>
      </c>
      <c r="AC38" s="89">
        <f t="shared" si="30"/>
        <v>38.630000000000003</v>
      </c>
      <c r="AD38" s="89">
        <f t="shared" ref="AD38:AD41" si="48">SUM(U38:X38)</f>
        <v>0</v>
      </c>
      <c r="AE38" s="89">
        <f t="shared" si="4"/>
        <v>0</v>
      </c>
      <c r="AF38" s="89">
        <f t="shared" ref="AF38:AF41" si="49">SUM(AC38:AE38)</f>
        <v>38.630000000000003</v>
      </c>
      <c r="AG38" s="24">
        <f>AD38/AF38</f>
        <v>0</v>
      </c>
      <c r="AJ38" s="6" t="s">
        <v>48</v>
      </c>
      <c r="AK38" s="407">
        <v>3.17</v>
      </c>
      <c r="AL38" s="89">
        <v>3.32</v>
      </c>
      <c r="AM38" s="382">
        <f t="shared" si="42"/>
        <v>0.95481927710843373</v>
      </c>
    </row>
    <row r="39" spans="1:44" x14ac:dyDescent="0.35">
      <c r="A39" s="6" t="s">
        <v>38</v>
      </c>
      <c r="B39" s="12">
        <f t="shared" ref="B39:Z39" si="50">B270+B154</f>
        <v>284.08</v>
      </c>
      <c r="C39" s="12">
        <f t="shared" si="50"/>
        <v>35.43</v>
      </c>
      <c r="D39" s="12">
        <f t="shared" si="50"/>
        <v>13.319999999999999</v>
      </c>
      <c r="E39" s="12">
        <f t="shared" si="50"/>
        <v>1.33</v>
      </c>
      <c r="F39" s="12">
        <f t="shared" si="50"/>
        <v>0.94</v>
      </c>
      <c r="G39" s="12">
        <f t="shared" si="50"/>
        <v>0.04</v>
      </c>
      <c r="H39" s="12">
        <f t="shared" si="50"/>
        <v>0</v>
      </c>
      <c r="I39" s="12">
        <f t="shared" si="50"/>
        <v>0</v>
      </c>
      <c r="J39" s="12">
        <f t="shared" si="50"/>
        <v>0</v>
      </c>
      <c r="K39" s="12">
        <f t="shared" si="50"/>
        <v>0</v>
      </c>
      <c r="L39" s="12">
        <f t="shared" si="50"/>
        <v>0.66</v>
      </c>
      <c r="M39" s="12">
        <f t="shared" si="50"/>
        <v>1.35</v>
      </c>
      <c r="N39" s="12">
        <f t="shared" si="50"/>
        <v>0</v>
      </c>
      <c r="O39" s="12">
        <f t="shared" si="50"/>
        <v>0</v>
      </c>
      <c r="P39" s="12">
        <f t="shared" si="50"/>
        <v>0</v>
      </c>
      <c r="Q39" s="12">
        <f t="shared" si="50"/>
        <v>0.05</v>
      </c>
      <c r="R39" s="12">
        <f t="shared" si="50"/>
        <v>3.12</v>
      </c>
      <c r="S39" s="12">
        <f t="shared" si="50"/>
        <v>4.6400000000000006</v>
      </c>
      <c r="T39" s="12">
        <f t="shared" si="50"/>
        <v>1.72</v>
      </c>
      <c r="U39" s="12">
        <f t="shared" si="50"/>
        <v>9.4600000000000009</v>
      </c>
      <c r="V39" s="12">
        <f t="shared" si="50"/>
        <v>7.1000000000000005</v>
      </c>
      <c r="W39" s="12">
        <f t="shared" si="50"/>
        <v>8.82</v>
      </c>
      <c r="X39" s="12">
        <f t="shared" si="50"/>
        <v>0.37</v>
      </c>
      <c r="Y39" s="12">
        <f t="shared" si="50"/>
        <v>0</v>
      </c>
      <c r="Z39" s="12">
        <f t="shared" si="50"/>
        <v>372.43000000000006</v>
      </c>
      <c r="AA39" s="24">
        <f t="shared" si="1"/>
        <v>0.11752584476730263</v>
      </c>
      <c r="AC39" s="89">
        <f t="shared" si="30"/>
        <v>346.68000000000006</v>
      </c>
      <c r="AD39" s="89">
        <f t="shared" si="48"/>
        <v>25.750000000000004</v>
      </c>
      <c r="AE39" s="89">
        <f t="shared" si="4"/>
        <v>0</v>
      </c>
      <c r="AF39" s="89">
        <f t="shared" si="49"/>
        <v>372.43000000000006</v>
      </c>
      <c r="AG39" s="24">
        <f t="shared" ref="AG39" si="51">AD39/AF39</f>
        <v>6.9140509625969973E-2</v>
      </c>
      <c r="AJ39" s="6" t="s">
        <v>47</v>
      </c>
      <c r="AK39" s="407">
        <v>2.16</v>
      </c>
      <c r="AL39" s="89">
        <v>2.25</v>
      </c>
      <c r="AM39" s="382">
        <f t="shared" si="42"/>
        <v>0.96000000000000008</v>
      </c>
    </row>
    <row r="40" spans="1:44" x14ac:dyDescent="0.35">
      <c r="A40" s="6" t="s">
        <v>39</v>
      </c>
      <c r="B40" s="12">
        <f t="shared" ref="B40:Z40" si="52">B271+B155</f>
        <v>1.84</v>
      </c>
      <c r="C40" s="12">
        <f t="shared" si="52"/>
        <v>0.68</v>
      </c>
      <c r="D40" s="12">
        <f t="shared" si="52"/>
        <v>0</v>
      </c>
      <c r="E40" s="12">
        <f t="shared" si="52"/>
        <v>0</v>
      </c>
      <c r="F40" s="12">
        <f t="shared" si="52"/>
        <v>0</v>
      </c>
      <c r="G40" s="12">
        <f t="shared" si="52"/>
        <v>0.49</v>
      </c>
      <c r="H40" s="12">
        <f t="shared" si="52"/>
        <v>0</v>
      </c>
      <c r="I40" s="12">
        <f t="shared" si="52"/>
        <v>0</v>
      </c>
      <c r="J40" s="12">
        <f t="shared" si="52"/>
        <v>0</v>
      </c>
      <c r="K40" s="12">
        <f t="shared" si="52"/>
        <v>0</v>
      </c>
      <c r="L40" s="12">
        <f t="shared" si="52"/>
        <v>0</v>
      </c>
      <c r="M40" s="12">
        <f t="shared" si="52"/>
        <v>0.72</v>
      </c>
      <c r="N40" s="12">
        <f t="shared" si="52"/>
        <v>0</v>
      </c>
      <c r="O40" s="12">
        <f t="shared" si="52"/>
        <v>0</v>
      </c>
      <c r="P40" s="12">
        <f t="shared" si="52"/>
        <v>0</v>
      </c>
      <c r="Q40" s="12">
        <f t="shared" si="52"/>
        <v>0.25</v>
      </c>
      <c r="R40" s="12">
        <f t="shared" si="52"/>
        <v>0</v>
      </c>
      <c r="S40" s="12">
        <f t="shared" si="52"/>
        <v>0</v>
      </c>
      <c r="T40" s="12">
        <f t="shared" si="52"/>
        <v>0</v>
      </c>
      <c r="U40" s="12">
        <f t="shared" si="52"/>
        <v>0.04</v>
      </c>
      <c r="V40" s="12">
        <f t="shared" si="52"/>
        <v>0</v>
      </c>
      <c r="W40" s="12">
        <f t="shared" si="52"/>
        <v>0.06</v>
      </c>
      <c r="X40" s="12">
        <f t="shared" si="52"/>
        <v>0.04</v>
      </c>
      <c r="Y40" s="12">
        <f t="shared" si="52"/>
        <v>0</v>
      </c>
      <c r="Z40" s="12">
        <f t="shared" si="52"/>
        <v>4.1199999999999992</v>
      </c>
      <c r="AA40" s="24">
        <f t="shared" si="1"/>
        <v>1.3001274882294301E-3</v>
      </c>
      <c r="AC40" s="89">
        <f t="shared" si="30"/>
        <v>3.9799999999999995</v>
      </c>
      <c r="AD40" s="89">
        <f t="shared" si="48"/>
        <v>0.14000000000000001</v>
      </c>
      <c r="AE40" s="89">
        <f t="shared" si="4"/>
        <v>0</v>
      </c>
      <c r="AF40" s="89">
        <f t="shared" si="49"/>
        <v>4.1199999999999992</v>
      </c>
      <c r="AG40" s="24">
        <f>AD40/AF40</f>
        <v>3.3980582524271857E-2</v>
      </c>
      <c r="AJ40" s="6" t="s">
        <v>32</v>
      </c>
      <c r="AK40" s="407">
        <v>1.58</v>
      </c>
      <c r="AL40" s="89">
        <v>17.349999999999998</v>
      </c>
      <c r="AM40" s="382">
        <f t="shared" si="42"/>
        <v>9.1066282420749295E-2</v>
      </c>
    </row>
    <row r="41" spans="1:44" x14ac:dyDescent="0.35">
      <c r="A41" s="6" t="s">
        <v>40</v>
      </c>
      <c r="B41" s="12">
        <f t="shared" ref="B41:Z41" si="53">B272+B156</f>
        <v>2045.4899999999957</v>
      </c>
      <c r="C41" s="12">
        <f t="shared" si="53"/>
        <v>52.760000000000005</v>
      </c>
      <c r="D41" s="12">
        <f t="shared" si="53"/>
        <v>3.5300000000000002</v>
      </c>
      <c r="E41" s="12">
        <f t="shared" si="53"/>
        <v>1.54</v>
      </c>
      <c r="F41" s="12">
        <f t="shared" si="53"/>
        <v>2.5500000000000003</v>
      </c>
      <c r="G41" s="12">
        <f t="shared" si="53"/>
        <v>8.1</v>
      </c>
      <c r="H41" s="12">
        <f t="shared" si="53"/>
        <v>5.96</v>
      </c>
      <c r="I41" s="12">
        <f t="shared" si="53"/>
        <v>3.64</v>
      </c>
      <c r="J41" s="12">
        <f t="shared" si="53"/>
        <v>3.19</v>
      </c>
      <c r="K41" s="12">
        <f t="shared" si="53"/>
        <v>3.75</v>
      </c>
      <c r="L41" s="12">
        <f t="shared" si="53"/>
        <v>1.1099999999999999</v>
      </c>
      <c r="M41" s="12">
        <f t="shared" si="53"/>
        <v>4.1900000000000004</v>
      </c>
      <c r="N41" s="12">
        <f t="shared" si="53"/>
        <v>2.29</v>
      </c>
      <c r="O41" s="12">
        <f t="shared" si="53"/>
        <v>4.84</v>
      </c>
      <c r="P41" s="12">
        <f t="shared" si="53"/>
        <v>2.5699999999999994</v>
      </c>
      <c r="Q41" s="12">
        <f t="shared" si="53"/>
        <v>6.98</v>
      </c>
      <c r="R41" s="12">
        <f t="shared" si="53"/>
        <v>21</v>
      </c>
      <c r="S41" s="12">
        <f t="shared" si="53"/>
        <v>20.999999999999993</v>
      </c>
      <c r="T41" s="12">
        <f t="shared" si="53"/>
        <v>22.89</v>
      </c>
      <c r="U41" s="12">
        <f t="shared" si="53"/>
        <v>12.590000000000002</v>
      </c>
      <c r="V41" s="12">
        <f t="shared" si="53"/>
        <v>10.079999999999998</v>
      </c>
      <c r="W41" s="12">
        <f t="shared" si="53"/>
        <v>9.77</v>
      </c>
      <c r="X41" s="12">
        <f t="shared" si="53"/>
        <v>6.2499999999999991</v>
      </c>
      <c r="Y41" s="12">
        <f t="shared" si="53"/>
        <v>0</v>
      </c>
      <c r="Z41" s="12">
        <f t="shared" si="53"/>
        <v>2256.0699999999956</v>
      </c>
      <c r="AA41" s="24">
        <f t="shared" si="1"/>
        <v>0.71193655882761286</v>
      </c>
      <c r="AC41" s="89">
        <f t="shared" si="30"/>
        <v>2217.3799999999965</v>
      </c>
      <c r="AD41" s="89">
        <f t="shared" si="48"/>
        <v>38.69</v>
      </c>
      <c r="AE41" s="89">
        <f t="shared" si="4"/>
        <v>0</v>
      </c>
      <c r="AF41" s="89">
        <f t="shared" si="49"/>
        <v>2256.0699999999965</v>
      </c>
      <c r="AG41" s="24">
        <f>AD41/AF41</f>
        <v>1.7149290580522794E-2</v>
      </c>
      <c r="AJ41" s="6" t="s">
        <v>20</v>
      </c>
      <c r="AK41" s="407">
        <v>0.46</v>
      </c>
      <c r="AL41" s="89">
        <v>0.88000000000000012</v>
      </c>
      <c r="AM41" s="382">
        <f t="shared" si="42"/>
        <v>0.52272727272727271</v>
      </c>
    </row>
    <row r="42" spans="1:44" x14ac:dyDescent="0.35">
      <c r="A42" s="116" t="s">
        <v>17</v>
      </c>
      <c r="B42" s="117">
        <f t="shared" ref="B42:Z42" si="54">B273+B157</f>
        <v>0</v>
      </c>
      <c r="C42" s="117">
        <f t="shared" si="54"/>
        <v>0</v>
      </c>
      <c r="D42" s="117">
        <f t="shared" si="54"/>
        <v>0</v>
      </c>
      <c r="E42" s="117">
        <f t="shared" si="54"/>
        <v>0</v>
      </c>
      <c r="F42" s="117">
        <f t="shared" si="54"/>
        <v>0</v>
      </c>
      <c r="G42" s="117">
        <f t="shared" si="54"/>
        <v>0</v>
      </c>
      <c r="H42" s="117">
        <f t="shared" si="54"/>
        <v>0</v>
      </c>
      <c r="I42" s="117">
        <f t="shared" si="54"/>
        <v>0</v>
      </c>
      <c r="J42" s="117">
        <f t="shared" si="54"/>
        <v>0</v>
      </c>
      <c r="K42" s="117">
        <f t="shared" si="54"/>
        <v>0</v>
      </c>
      <c r="L42" s="117">
        <f t="shared" si="54"/>
        <v>0</v>
      </c>
      <c r="M42" s="117">
        <f t="shared" si="54"/>
        <v>0</v>
      </c>
      <c r="N42" s="117">
        <f t="shared" si="54"/>
        <v>0</v>
      </c>
      <c r="O42" s="117">
        <f t="shared" si="54"/>
        <v>0.14000000000000001</v>
      </c>
      <c r="P42" s="117">
        <f t="shared" si="54"/>
        <v>0</v>
      </c>
      <c r="Q42" s="117">
        <f t="shared" si="54"/>
        <v>0</v>
      </c>
      <c r="R42" s="117">
        <f t="shared" si="54"/>
        <v>0.04</v>
      </c>
      <c r="S42" s="117">
        <f t="shared" si="54"/>
        <v>0</v>
      </c>
      <c r="T42" s="117">
        <f t="shared" si="54"/>
        <v>0</v>
      </c>
      <c r="U42" s="117">
        <f t="shared" si="54"/>
        <v>0</v>
      </c>
      <c r="V42" s="117">
        <f t="shared" si="54"/>
        <v>0</v>
      </c>
      <c r="W42" s="117">
        <f t="shared" si="54"/>
        <v>7.0000000000000007E-2</v>
      </c>
      <c r="X42" s="117">
        <f t="shared" si="54"/>
        <v>0</v>
      </c>
      <c r="Y42" s="117">
        <f t="shared" si="54"/>
        <v>0.02</v>
      </c>
      <c r="Z42" s="117">
        <f t="shared" si="54"/>
        <v>0.27</v>
      </c>
      <c r="AA42" s="185">
        <f t="shared" si="1"/>
        <v>8.5202529568433554E-5</v>
      </c>
      <c r="AC42" s="117">
        <f t="shared" si="30"/>
        <v>0.18000000000000002</v>
      </c>
      <c r="AD42" s="117">
        <f>SUM(U42:X42)</f>
        <v>7.0000000000000007E-2</v>
      </c>
      <c r="AE42" s="117">
        <f t="shared" si="4"/>
        <v>0.02</v>
      </c>
      <c r="AF42" s="117">
        <f>SUM(AC42:AE42)</f>
        <v>0.27</v>
      </c>
      <c r="AG42" s="185">
        <f>AD42/AF42</f>
        <v>0.25925925925925924</v>
      </c>
      <c r="AJ42" s="6" t="s">
        <v>65</v>
      </c>
      <c r="AK42" s="407">
        <v>0.43</v>
      </c>
      <c r="AL42" s="89">
        <v>0.61</v>
      </c>
      <c r="AM42" s="382">
        <f t="shared" si="42"/>
        <v>0.70491803278688525</v>
      </c>
    </row>
    <row r="43" spans="1:44" x14ac:dyDescent="0.35">
      <c r="A43" s="6" t="s">
        <v>55</v>
      </c>
      <c r="B43" s="12">
        <f t="shared" ref="B43:Z43" si="55">B274+B158</f>
        <v>0</v>
      </c>
      <c r="C43" s="12">
        <f t="shared" si="55"/>
        <v>0</v>
      </c>
      <c r="D43" s="12">
        <f t="shared" si="55"/>
        <v>0</v>
      </c>
      <c r="E43" s="12">
        <f t="shared" si="55"/>
        <v>0</v>
      </c>
      <c r="F43" s="12">
        <f t="shared" si="55"/>
        <v>0</v>
      </c>
      <c r="G43" s="12">
        <f t="shared" si="55"/>
        <v>0</v>
      </c>
      <c r="H43" s="12">
        <f t="shared" si="55"/>
        <v>0</v>
      </c>
      <c r="I43" s="12">
        <f t="shared" si="55"/>
        <v>0</v>
      </c>
      <c r="J43" s="12">
        <f t="shared" si="55"/>
        <v>0</v>
      </c>
      <c r="K43" s="12">
        <f t="shared" si="55"/>
        <v>0</v>
      </c>
      <c r="L43" s="12">
        <f t="shared" si="55"/>
        <v>0</v>
      </c>
      <c r="M43" s="12">
        <f t="shared" si="55"/>
        <v>0</v>
      </c>
      <c r="N43" s="12">
        <f t="shared" si="55"/>
        <v>0</v>
      </c>
      <c r="O43" s="12">
        <f t="shared" si="55"/>
        <v>0</v>
      </c>
      <c r="P43" s="12">
        <f t="shared" si="55"/>
        <v>0</v>
      </c>
      <c r="Q43" s="12">
        <f t="shared" si="55"/>
        <v>0</v>
      </c>
      <c r="R43" s="12">
        <f t="shared" si="55"/>
        <v>0.04</v>
      </c>
      <c r="S43" s="12">
        <f t="shared" si="55"/>
        <v>0</v>
      </c>
      <c r="T43" s="12">
        <f t="shared" si="55"/>
        <v>0</v>
      </c>
      <c r="U43" s="12">
        <f t="shared" si="55"/>
        <v>0</v>
      </c>
      <c r="V43" s="12">
        <f t="shared" si="55"/>
        <v>0</v>
      </c>
      <c r="W43" s="12">
        <f t="shared" si="55"/>
        <v>0</v>
      </c>
      <c r="X43" s="12">
        <f t="shared" si="55"/>
        <v>0</v>
      </c>
      <c r="Y43" s="12">
        <f t="shared" si="55"/>
        <v>0</v>
      </c>
      <c r="Z43" s="12">
        <f t="shared" si="55"/>
        <v>0.04</v>
      </c>
      <c r="AA43" s="24">
        <f t="shared" si="1"/>
        <v>1.2622596973101266E-5</v>
      </c>
      <c r="AC43" s="89">
        <f t="shared" si="30"/>
        <v>0.04</v>
      </c>
      <c r="AD43" s="89">
        <f t="shared" ref="AD43:AD44" si="56">SUM(U43:X43)</f>
        <v>0</v>
      </c>
      <c r="AE43" s="89">
        <f t="shared" si="4"/>
        <v>0</v>
      </c>
      <c r="AF43" s="89">
        <f t="shared" ref="AF43:AF44" si="57">SUM(AC43:AE43)</f>
        <v>0.04</v>
      </c>
      <c r="AG43" s="24">
        <f t="shared" ref="AG43" si="58">AD43/AF43</f>
        <v>0</v>
      </c>
      <c r="AJ43" s="6" t="s">
        <v>72</v>
      </c>
      <c r="AK43" s="407">
        <v>0.33999999999999997</v>
      </c>
      <c r="AL43" s="89">
        <v>0.77</v>
      </c>
      <c r="AM43" s="382">
        <f t="shared" si="42"/>
        <v>0.44155844155844148</v>
      </c>
    </row>
    <row r="44" spans="1:44" x14ac:dyDescent="0.35">
      <c r="A44" s="6" t="s">
        <v>56</v>
      </c>
      <c r="B44" s="12">
        <f t="shared" ref="B44:Z44" si="59">B275+B159</f>
        <v>0</v>
      </c>
      <c r="C44" s="12">
        <f t="shared" si="59"/>
        <v>0</v>
      </c>
      <c r="D44" s="12">
        <f t="shared" si="59"/>
        <v>0</v>
      </c>
      <c r="E44" s="12">
        <f t="shared" si="59"/>
        <v>0</v>
      </c>
      <c r="F44" s="12">
        <f t="shared" si="59"/>
        <v>0</v>
      </c>
      <c r="G44" s="12">
        <f t="shared" si="59"/>
        <v>0</v>
      </c>
      <c r="H44" s="12">
        <f t="shared" si="59"/>
        <v>0</v>
      </c>
      <c r="I44" s="12">
        <f t="shared" si="59"/>
        <v>0</v>
      </c>
      <c r="J44" s="12">
        <f t="shared" si="59"/>
        <v>0</v>
      </c>
      <c r="K44" s="12">
        <f t="shared" si="59"/>
        <v>0</v>
      </c>
      <c r="L44" s="12">
        <f t="shared" si="59"/>
        <v>0</v>
      </c>
      <c r="M44" s="12">
        <f t="shared" si="59"/>
        <v>0</v>
      </c>
      <c r="N44" s="12">
        <f t="shared" si="59"/>
        <v>0</v>
      </c>
      <c r="O44" s="12">
        <f t="shared" si="59"/>
        <v>0.14000000000000001</v>
      </c>
      <c r="P44" s="12">
        <f t="shared" si="59"/>
        <v>0</v>
      </c>
      <c r="Q44" s="12">
        <f t="shared" si="59"/>
        <v>0</v>
      </c>
      <c r="R44" s="12">
        <f t="shared" si="59"/>
        <v>0</v>
      </c>
      <c r="S44" s="12">
        <f t="shared" si="59"/>
        <v>0</v>
      </c>
      <c r="T44" s="12">
        <f t="shared" si="59"/>
        <v>0</v>
      </c>
      <c r="U44" s="12">
        <f t="shared" si="59"/>
        <v>0</v>
      </c>
      <c r="V44" s="12">
        <f t="shared" si="59"/>
        <v>0</v>
      </c>
      <c r="W44" s="12">
        <f t="shared" si="59"/>
        <v>7.0000000000000007E-2</v>
      </c>
      <c r="X44" s="12">
        <f t="shared" si="59"/>
        <v>0</v>
      </c>
      <c r="Y44" s="12">
        <f t="shared" si="59"/>
        <v>0.02</v>
      </c>
      <c r="Z44" s="12">
        <f t="shared" si="59"/>
        <v>0.23000000000000004</v>
      </c>
      <c r="AA44" s="24">
        <f t="shared" si="1"/>
        <v>7.2579932595332283E-5</v>
      </c>
      <c r="AC44" s="89">
        <f t="shared" si="30"/>
        <v>0.14000000000000001</v>
      </c>
      <c r="AD44" s="89">
        <f t="shared" si="56"/>
        <v>7.0000000000000007E-2</v>
      </c>
      <c r="AE44" s="89">
        <f t="shared" si="4"/>
        <v>0.02</v>
      </c>
      <c r="AF44" s="89">
        <f t="shared" si="57"/>
        <v>0.23</v>
      </c>
      <c r="AG44" s="24">
        <f>AD44/AF44</f>
        <v>0.30434782608695654</v>
      </c>
      <c r="AJ44" s="6" t="s">
        <v>43</v>
      </c>
      <c r="AK44" s="407">
        <v>0.28000000000000003</v>
      </c>
      <c r="AL44" s="89">
        <v>2.0300000000000002</v>
      </c>
      <c r="AM44" s="382">
        <f t="shared" si="42"/>
        <v>0.13793103448275862</v>
      </c>
    </row>
    <row r="45" spans="1:44" x14ac:dyDescent="0.35">
      <c r="A45" s="116" t="s">
        <v>64</v>
      </c>
      <c r="B45" s="117">
        <f t="shared" ref="B45:Z45" si="60">B276+B160</f>
        <v>0.18</v>
      </c>
      <c r="C45" s="117">
        <f t="shared" si="60"/>
        <v>0</v>
      </c>
      <c r="D45" s="117">
        <f t="shared" si="60"/>
        <v>0</v>
      </c>
      <c r="E45" s="117">
        <f t="shared" si="60"/>
        <v>0</v>
      </c>
      <c r="F45" s="117">
        <f t="shared" si="60"/>
        <v>0</v>
      </c>
      <c r="G45" s="117">
        <f t="shared" si="60"/>
        <v>0</v>
      </c>
      <c r="H45" s="117">
        <f t="shared" si="60"/>
        <v>0</v>
      </c>
      <c r="I45" s="117">
        <f t="shared" si="60"/>
        <v>0</v>
      </c>
      <c r="J45" s="117">
        <f t="shared" si="60"/>
        <v>0</v>
      </c>
      <c r="K45" s="117">
        <f t="shared" si="60"/>
        <v>0.18</v>
      </c>
      <c r="L45" s="117">
        <f t="shared" si="60"/>
        <v>0</v>
      </c>
      <c r="M45" s="117">
        <f t="shared" si="60"/>
        <v>0</v>
      </c>
      <c r="N45" s="117">
        <f t="shared" si="60"/>
        <v>0</v>
      </c>
      <c r="O45" s="117">
        <f t="shared" si="60"/>
        <v>0</v>
      </c>
      <c r="P45" s="117">
        <f t="shared" si="60"/>
        <v>0</v>
      </c>
      <c r="Q45" s="117">
        <f t="shared" si="60"/>
        <v>0</v>
      </c>
      <c r="R45" s="117">
        <f t="shared" si="60"/>
        <v>0</v>
      </c>
      <c r="S45" s="117">
        <f t="shared" si="60"/>
        <v>0.09</v>
      </c>
      <c r="T45" s="117">
        <f t="shared" si="60"/>
        <v>0.06</v>
      </c>
      <c r="U45" s="117">
        <f t="shared" si="60"/>
        <v>0.59</v>
      </c>
      <c r="V45" s="117">
        <f t="shared" si="60"/>
        <v>0.18</v>
      </c>
      <c r="W45" s="117">
        <f t="shared" si="60"/>
        <v>0</v>
      </c>
      <c r="X45" s="117">
        <f t="shared" si="60"/>
        <v>0.2</v>
      </c>
      <c r="Y45" s="117">
        <f t="shared" si="60"/>
        <v>0.45</v>
      </c>
      <c r="Z45" s="117">
        <f t="shared" si="60"/>
        <v>1.93</v>
      </c>
      <c r="AA45" s="185">
        <f t="shared" si="1"/>
        <v>6.0904030395213607E-4</v>
      </c>
      <c r="AC45" s="117">
        <f t="shared" si="30"/>
        <v>0.51</v>
      </c>
      <c r="AD45" s="117">
        <f>SUM(U45:X45)</f>
        <v>0.97</v>
      </c>
      <c r="AE45" s="117">
        <f t="shared" si="4"/>
        <v>0.45</v>
      </c>
      <c r="AF45" s="117">
        <f>SUM(AC45:AE45)</f>
        <v>1.93</v>
      </c>
      <c r="AG45" s="185">
        <f>AD45/AF45</f>
        <v>0.50259067357512954</v>
      </c>
      <c r="AJ45" s="6" t="s">
        <v>66</v>
      </c>
      <c r="AK45" s="407">
        <v>0.2</v>
      </c>
      <c r="AL45" s="89">
        <v>0.37</v>
      </c>
      <c r="AM45" s="382">
        <f t="shared" si="42"/>
        <v>0.54054054054054057</v>
      </c>
    </row>
    <row r="46" spans="1:44" x14ac:dyDescent="0.35">
      <c r="A46" s="6" t="s">
        <v>71</v>
      </c>
      <c r="B46" s="12">
        <f t="shared" ref="B46:Z46" si="61">B277+B161</f>
        <v>0</v>
      </c>
      <c r="C46" s="12">
        <f t="shared" si="61"/>
        <v>0</v>
      </c>
      <c r="D46" s="12">
        <f t="shared" si="61"/>
        <v>0</v>
      </c>
      <c r="E46" s="12">
        <f t="shared" si="61"/>
        <v>0</v>
      </c>
      <c r="F46" s="12">
        <f t="shared" si="61"/>
        <v>0</v>
      </c>
      <c r="G46" s="12">
        <f t="shared" si="61"/>
        <v>0</v>
      </c>
      <c r="H46" s="12">
        <f t="shared" si="61"/>
        <v>0</v>
      </c>
      <c r="I46" s="12">
        <f t="shared" si="61"/>
        <v>0</v>
      </c>
      <c r="J46" s="12">
        <f t="shared" si="61"/>
        <v>0</v>
      </c>
      <c r="K46" s="12">
        <f t="shared" si="61"/>
        <v>0.18</v>
      </c>
      <c r="L46" s="12">
        <f t="shared" si="61"/>
        <v>0</v>
      </c>
      <c r="M46" s="12">
        <f t="shared" si="61"/>
        <v>0</v>
      </c>
      <c r="N46" s="12">
        <f t="shared" si="61"/>
        <v>0</v>
      </c>
      <c r="O46" s="12">
        <f t="shared" si="61"/>
        <v>0</v>
      </c>
      <c r="P46" s="12">
        <f t="shared" si="61"/>
        <v>0</v>
      </c>
      <c r="Q46" s="12">
        <f t="shared" si="61"/>
        <v>0</v>
      </c>
      <c r="R46" s="12">
        <f t="shared" si="61"/>
        <v>0</v>
      </c>
      <c r="S46" s="12">
        <f t="shared" si="61"/>
        <v>0</v>
      </c>
      <c r="T46" s="12">
        <f t="shared" si="61"/>
        <v>0</v>
      </c>
      <c r="U46" s="12">
        <f t="shared" si="61"/>
        <v>0</v>
      </c>
      <c r="V46" s="12">
        <f t="shared" si="61"/>
        <v>0</v>
      </c>
      <c r="W46" s="12">
        <f t="shared" si="61"/>
        <v>0</v>
      </c>
      <c r="X46" s="12">
        <f t="shared" si="61"/>
        <v>0</v>
      </c>
      <c r="Y46" s="12">
        <f t="shared" si="61"/>
        <v>0</v>
      </c>
      <c r="Z46" s="12">
        <f t="shared" si="61"/>
        <v>0.18</v>
      </c>
      <c r="AA46" s="24">
        <f t="shared" si="1"/>
        <v>5.6801686378955694E-5</v>
      </c>
      <c r="AC46" s="89">
        <f t="shared" si="30"/>
        <v>0.18</v>
      </c>
      <c r="AD46" s="89">
        <f t="shared" ref="AD46:AD49" si="62">SUM(U46:X46)</f>
        <v>0</v>
      </c>
      <c r="AE46" s="89">
        <f t="shared" si="4"/>
        <v>0</v>
      </c>
      <c r="AF46" s="89">
        <f t="shared" ref="AF46:AF49" si="63">SUM(AC46:AE46)</f>
        <v>0.18</v>
      </c>
      <c r="AG46" s="24">
        <f>AD46/AF46</f>
        <v>0</v>
      </c>
      <c r="AJ46" s="6" t="s">
        <v>39</v>
      </c>
      <c r="AK46" s="407">
        <v>0.14000000000000001</v>
      </c>
      <c r="AL46" s="89">
        <v>4.1199999999999992</v>
      </c>
      <c r="AM46" s="382">
        <f t="shared" si="42"/>
        <v>3.3980582524271857E-2</v>
      </c>
    </row>
    <row r="47" spans="1:44" x14ac:dyDescent="0.35">
      <c r="A47" s="6" t="s">
        <v>65</v>
      </c>
      <c r="B47" s="12">
        <f t="shared" ref="B47:Z47" si="64">B278+B162</f>
        <v>0.18</v>
      </c>
      <c r="C47" s="12">
        <f t="shared" si="64"/>
        <v>0</v>
      </c>
      <c r="D47" s="12">
        <f t="shared" si="64"/>
        <v>0</v>
      </c>
      <c r="E47" s="12">
        <f t="shared" si="64"/>
        <v>0</v>
      </c>
      <c r="F47" s="12">
        <f t="shared" si="64"/>
        <v>0</v>
      </c>
      <c r="G47" s="12">
        <f t="shared" si="64"/>
        <v>0</v>
      </c>
      <c r="H47" s="12">
        <f t="shared" si="64"/>
        <v>0</v>
      </c>
      <c r="I47" s="12">
        <f t="shared" si="64"/>
        <v>0</v>
      </c>
      <c r="J47" s="12">
        <f t="shared" si="64"/>
        <v>0</v>
      </c>
      <c r="K47" s="12">
        <f t="shared" si="64"/>
        <v>0</v>
      </c>
      <c r="L47" s="12">
        <f t="shared" si="64"/>
        <v>0</v>
      </c>
      <c r="M47" s="12">
        <f t="shared" si="64"/>
        <v>0</v>
      </c>
      <c r="N47" s="12">
        <f t="shared" si="64"/>
        <v>0</v>
      </c>
      <c r="O47" s="12">
        <f t="shared" si="64"/>
        <v>0</v>
      </c>
      <c r="P47" s="12">
        <f t="shared" si="64"/>
        <v>0</v>
      </c>
      <c r="Q47" s="12">
        <f t="shared" si="64"/>
        <v>0</v>
      </c>
      <c r="R47" s="12">
        <f t="shared" si="64"/>
        <v>0</v>
      </c>
      <c r="S47" s="12">
        <f t="shared" si="64"/>
        <v>0</v>
      </c>
      <c r="T47" s="12">
        <f t="shared" si="64"/>
        <v>0</v>
      </c>
      <c r="U47" s="12">
        <f t="shared" si="64"/>
        <v>0.43</v>
      </c>
      <c r="V47" s="12">
        <f t="shared" si="64"/>
        <v>0</v>
      </c>
      <c r="W47" s="12">
        <f t="shared" si="64"/>
        <v>0</v>
      </c>
      <c r="X47" s="12">
        <f t="shared" si="64"/>
        <v>0</v>
      </c>
      <c r="Y47" s="12">
        <f t="shared" si="64"/>
        <v>0</v>
      </c>
      <c r="Z47" s="12">
        <f t="shared" si="64"/>
        <v>0.61</v>
      </c>
      <c r="AA47" s="24">
        <f t="shared" si="1"/>
        <v>1.9249460383979431E-4</v>
      </c>
      <c r="AC47" s="89">
        <f t="shared" si="30"/>
        <v>0.18</v>
      </c>
      <c r="AD47" s="89">
        <f t="shared" si="62"/>
        <v>0.43</v>
      </c>
      <c r="AE47" s="89">
        <f t="shared" si="4"/>
        <v>0</v>
      </c>
      <c r="AF47" s="89">
        <f t="shared" si="63"/>
        <v>0.61</v>
      </c>
      <c r="AG47" s="24">
        <f t="shared" ref="AG47:AG48" si="65">AD47/AF47</f>
        <v>0.70491803278688525</v>
      </c>
      <c r="AJ47" s="6" t="s">
        <v>8</v>
      </c>
      <c r="AK47" s="407">
        <v>0.12</v>
      </c>
      <c r="AL47" s="89">
        <v>0.12</v>
      </c>
      <c r="AM47" s="382">
        <f t="shared" si="42"/>
        <v>1</v>
      </c>
    </row>
    <row r="48" spans="1:44" x14ac:dyDescent="0.35">
      <c r="A48" s="6" t="s">
        <v>66</v>
      </c>
      <c r="B48" s="12">
        <f t="shared" ref="B48:Z48" si="66">B279+B163</f>
        <v>0</v>
      </c>
      <c r="C48" s="12">
        <f t="shared" si="66"/>
        <v>0</v>
      </c>
      <c r="D48" s="12">
        <f t="shared" si="66"/>
        <v>0</v>
      </c>
      <c r="E48" s="12">
        <f t="shared" si="66"/>
        <v>0</v>
      </c>
      <c r="F48" s="12">
        <f t="shared" si="66"/>
        <v>0</v>
      </c>
      <c r="G48" s="12">
        <f t="shared" si="66"/>
        <v>0</v>
      </c>
      <c r="H48" s="12">
        <f t="shared" si="66"/>
        <v>0</v>
      </c>
      <c r="I48" s="12">
        <f t="shared" si="66"/>
        <v>0</v>
      </c>
      <c r="J48" s="12">
        <f t="shared" si="66"/>
        <v>0</v>
      </c>
      <c r="K48" s="12">
        <f t="shared" si="66"/>
        <v>0</v>
      </c>
      <c r="L48" s="12">
        <f t="shared" si="66"/>
        <v>0</v>
      </c>
      <c r="M48" s="12">
        <f t="shared" si="66"/>
        <v>0</v>
      </c>
      <c r="N48" s="12">
        <f t="shared" si="66"/>
        <v>0</v>
      </c>
      <c r="O48" s="12">
        <f t="shared" si="66"/>
        <v>0</v>
      </c>
      <c r="P48" s="12">
        <f t="shared" si="66"/>
        <v>0</v>
      </c>
      <c r="Q48" s="12">
        <f t="shared" si="66"/>
        <v>0</v>
      </c>
      <c r="R48" s="12">
        <f t="shared" si="66"/>
        <v>0</v>
      </c>
      <c r="S48" s="12">
        <f t="shared" si="66"/>
        <v>0.09</v>
      </c>
      <c r="T48" s="12">
        <f t="shared" si="66"/>
        <v>0.06</v>
      </c>
      <c r="U48" s="12">
        <f t="shared" si="66"/>
        <v>0</v>
      </c>
      <c r="V48" s="12">
        <f t="shared" si="66"/>
        <v>0</v>
      </c>
      <c r="W48" s="12">
        <f t="shared" si="66"/>
        <v>0</v>
      </c>
      <c r="X48" s="12">
        <f t="shared" si="66"/>
        <v>0.2</v>
      </c>
      <c r="Y48" s="12">
        <f t="shared" si="66"/>
        <v>0.02</v>
      </c>
      <c r="Z48" s="12">
        <f t="shared" si="66"/>
        <v>0.37</v>
      </c>
      <c r="AA48" s="24">
        <f t="shared" si="1"/>
        <v>1.167590220011867E-4</v>
      </c>
      <c r="AC48" s="89">
        <f t="shared" si="30"/>
        <v>0.15</v>
      </c>
      <c r="AD48" s="89">
        <f t="shared" si="62"/>
        <v>0.2</v>
      </c>
      <c r="AE48" s="89">
        <f t="shared" si="4"/>
        <v>0.02</v>
      </c>
      <c r="AF48" s="89">
        <f t="shared" si="63"/>
        <v>0.37</v>
      </c>
      <c r="AG48" s="24">
        <f t="shared" si="65"/>
        <v>0.54054054054054057</v>
      </c>
      <c r="AJ48" s="6" t="s">
        <v>45</v>
      </c>
      <c r="AK48" s="407">
        <v>0.12</v>
      </c>
      <c r="AL48" s="89">
        <v>0.66</v>
      </c>
      <c r="AM48" s="382">
        <f t="shared" si="42"/>
        <v>0.1818181818181818</v>
      </c>
    </row>
    <row r="49" spans="1:39" x14ac:dyDescent="0.35">
      <c r="A49" s="6" t="s">
        <v>72</v>
      </c>
      <c r="B49" s="12">
        <f t="shared" ref="B49:Z49" si="67">B280+B164</f>
        <v>0</v>
      </c>
      <c r="C49" s="12">
        <f t="shared" si="67"/>
        <v>0</v>
      </c>
      <c r="D49" s="12">
        <f t="shared" si="67"/>
        <v>0</v>
      </c>
      <c r="E49" s="12">
        <f t="shared" si="67"/>
        <v>0</v>
      </c>
      <c r="F49" s="12">
        <f t="shared" si="67"/>
        <v>0</v>
      </c>
      <c r="G49" s="12">
        <f t="shared" si="67"/>
        <v>0</v>
      </c>
      <c r="H49" s="12">
        <f t="shared" si="67"/>
        <v>0</v>
      </c>
      <c r="I49" s="12">
        <f t="shared" si="67"/>
        <v>0</v>
      </c>
      <c r="J49" s="12">
        <f t="shared" si="67"/>
        <v>0</v>
      </c>
      <c r="K49" s="12">
        <f t="shared" si="67"/>
        <v>0</v>
      </c>
      <c r="L49" s="12">
        <f t="shared" si="67"/>
        <v>0</v>
      </c>
      <c r="M49" s="12">
        <f t="shared" si="67"/>
        <v>0</v>
      </c>
      <c r="N49" s="12">
        <f t="shared" si="67"/>
        <v>0</v>
      </c>
      <c r="O49" s="12">
        <f t="shared" si="67"/>
        <v>0</v>
      </c>
      <c r="P49" s="12">
        <f t="shared" si="67"/>
        <v>0</v>
      </c>
      <c r="Q49" s="12">
        <f t="shared" si="67"/>
        <v>0</v>
      </c>
      <c r="R49" s="12">
        <f t="shared" si="67"/>
        <v>0</v>
      </c>
      <c r="S49" s="12">
        <f t="shared" si="67"/>
        <v>0</v>
      </c>
      <c r="T49" s="12">
        <f t="shared" si="67"/>
        <v>0</v>
      </c>
      <c r="U49" s="12">
        <f t="shared" si="67"/>
        <v>0.16</v>
      </c>
      <c r="V49" s="12">
        <f t="shared" si="67"/>
        <v>0.18</v>
      </c>
      <c r="W49" s="12">
        <f t="shared" si="67"/>
        <v>0</v>
      </c>
      <c r="X49" s="12">
        <f t="shared" si="67"/>
        <v>0</v>
      </c>
      <c r="Y49" s="12">
        <f t="shared" si="67"/>
        <v>0.43</v>
      </c>
      <c r="Z49" s="12">
        <f t="shared" si="67"/>
        <v>0.77</v>
      </c>
      <c r="AA49" s="24">
        <f t="shared" si="1"/>
        <v>2.4298499173219936E-4</v>
      </c>
      <c r="AC49" s="89">
        <f t="shared" si="30"/>
        <v>0</v>
      </c>
      <c r="AD49" s="89">
        <f t="shared" si="62"/>
        <v>0.33999999999999997</v>
      </c>
      <c r="AE49" s="89">
        <f t="shared" si="4"/>
        <v>0.43</v>
      </c>
      <c r="AF49" s="89">
        <f t="shared" si="63"/>
        <v>0.77</v>
      </c>
      <c r="AG49" s="24">
        <f>AD49/AF49</f>
        <v>0.44155844155844148</v>
      </c>
      <c r="AJ49" s="6" t="s">
        <v>56</v>
      </c>
      <c r="AK49" s="407">
        <v>7.0000000000000007E-2</v>
      </c>
      <c r="AL49" s="89">
        <v>0.23</v>
      </c>
      <c r="AM49" s="382">
        <f t="shared" si="42"/>
        <v>0.30434782608695654</v>
      </c>
    </row>
    <row r="50" spans="1:39" x14ac:dyDescent="0.35">
      <c r="A50" s="116" t="s">
        <v>20</v>
      </c>
      <c r="B50" s="117">
        <f t="shared" ref="B50:Z50" si="68">B281+B165</f>
        <v>0.42000000000000004</v>
      </c>
      <c r="C50" s="117">
        <f t="shared" si="68"/>
        <v>0</v>
      </c>
      <c r="D50" s="117">
        <f t="shared" si="68"/>
        <v>0</v>
      </c>
      <c r="E50" s="117">
        <f t="shared" si="68"/>
        <v>0</v>
      </c>
      <c r="F50" s="117">
        <f t="shared" si="68"/>
        <v>0</v>
      </c>
      <c r="G50" s="117">
        <f t="shared" si="68"/>
        <v>0</v>
      </c>
      <c r="H50" s="117">
        <f t="shared" si="68"/>
        <v>0</v>
      </c>
      <c r="I50" s="117">
        <f t="shared" si="68"/>
        <v>0</v>
      </c>
      <c r="J50" s="117">
        <f t="shared" si="68"/>
        <v>0</v>
      </c>
      <c r="K50" s="117">
        <f t="shared" si="68"/>
        <v>0</v>
      </c>
      <c r="L50" s="117">
        <f t="shared" si="68"/>
        <v>0</v>
      </c>
      <c r="M50" s="117">
        <f t="shared" si="68"/>
        <v>0</v>
      </c>
      <c r="N50" s="117">
        <f t="shared" si="68"/>
        <v>0</v>
      </c>
      <c r="O50" s="117">
        <f t="shared" si="68"/>
        <v>0</v>
      </c>
      <c r="P50" s="117">
        <f t="shared" si="68"/>
        <v>0</v>
      </c>
      <c r="Q50" s="117">
        <f t="shared" si="68"/>
        <v>0</v>
      </c>
      <c r="R50" s="117">
        <f t="shared" si="68"/>
        <v>0</v>
      </c>
      <c r="S50" s="117">
        <f t="shared" si="68"/>
        <v>0</v>
      </c>
      <c r="T50" s="117">
        <f t="shared" si="68"/>
        <v>0</v>
      </c>
      <c r="U50" s="117">
        <f t="shared" si="68"/>
        <v>0</v>
      </c>
      <c r="V50" s="117">
        <f t="shared" si="68"/>
        <v>0.46</v>
      </c>
      <c r="W50" s="117">
        <f t="shared" si="68"/>
        <v>0</v>
      </c>
      <c r="X50" s="117">
        <f t="shared" si="68"/>
        <v>0</v>
      </c>
      <c r="Y50" s="117">
        <f t="shared" si="68"/>
        <v>0</v>
      </c>
      <c r="Z50" s="117">
        <f t="shared" si="68"/>
        <v>0.88000000000000012</v>
      </c>
      <c r="AA50" s="185">
        <f t="shared" si="1"/>
        <v>2.7769713340822786E-4</v>
      </c>
      <c r="AC50" s="117">
        <f t="shared" si="30"/>
        <v>0.42000000000000004</v>
      </c>
      <c r="AD50" s="117">
        <f>SUM(U50:X50)</f>
        <v>0.46</v>
      </c>
      <c r="AE50" s="117">
        <f t="shared" si="4"/>
        <v>0</v>
      </c>
      <c r="AF50" s="117">
        <f>SUM(AC50:AE50)</f>
        <v>0.88000000000000012</v>
      </c>
      <c r="AG50" s="185">
        <f>AD50/AF50</f>
        <v>0.52272727272727271</v>
      </c>
      <c r="AJ50" s="6" t="s">
        <v>59</v>
      </c>
      <c r="AK50" s="407">
        <v>0.02</v>
      </c>
      <c r="AL50" s="89">
        <v>0.49000000000000005</v>
      </c>
      <c r="AM50" s="382">
        <f t="shared" si="42"/>
        <v>4.0816326530612242E-2</v>
      </c>
    </row>
    <row r="51" spans="1:39" x14ac:dyDescent="0.35">
      <c r="A51" s="6" t="s">
        <v>20</v>
      </c>
      <c r="B51" s="12">
        <f t="shared" ref="B51:Z51" si="69">B282+B166</f>
        <v>0.42000000000000004</v>
      </c>
      <c r="C51" s="12">
        <f t="shared" si="69"/>
        <v>0</v>
      </c>
      <c r="D51" s="12">
        <f t="shared" si="69"/>
        <v>0</v>
      </c>
      <c r="E51" s="12">
        <f t="shared" si="69"/>
        <v>0</v>
      </c>
      <c r="F51" s="12">
        <f t="shared" si="69"/>
        <v>0</v>
      </c>
      <c r="G51" s="12">
        <f t="shared" si="69"/>
        <v>0</v>
      </c>
      <c r="H51" s="12">
        <f t="shared" si="69"/>
        <v>0</v>
      </c>
      <c r="I51" s="12">
        <f t="shared" si="69"/>
        <v>0</v>
      </c>
      <c r="J51" s="12">
        <f t="shared" si="69"/>
        <v>0</v>
      </c>
      <c r="K51" s="12">
        <f t="shared" si="69"/>
        <v>0</v>
      </c>
      <c r="L51" s="12">
        <f t="shared" si="69"/>
        <v>0</v>
      </c>
      <c r="M51" s="12">
        <f t="shared" si="69"/>
        <v>0</v>
      </c>
      <c r="N51" s="12">
        <f t="shared" si="69"/>
        <v>0</v>
      </c>
      <c r="O51" s="12">
        <f t="shared" si="69"/>
        <v>0</v>
      </c>
      <c r="P51" s="12">
        <f t="shared" si="69"/>
        <v>0</v>
      </c>
      <c r="Q51" s="12">
        <f t="shared" si="69"/>
        <v>0</v>
      </c>
      <c r="R51" s="12">
        <f t="shared" si="69"/>
        <v>0</v>
      </c>
      <c r="S51" s="12">
        <f t="shared" si="69"/>
        <v>0</v>
      </c>
      <c r="T51" s="12">
        <f t="shared" si="69"/>
        <v>0</v>
      </c>
      <c r="U51" s="12">
        <f t="shared" si="69"/>
        <v>0</v>
      </c>
      <c r="V51" s="12">
        <f t="shared" si="69"/>
        <v>0.46</v>
      </c>
      <c r="W51" s="12">
        <f t="shared" si="69"/>
        <v>0</v>
      </c>
      <c r="X51" s="12">
        <f t="shared" si="69"/>
        <v>0</v>
      </c>
      <c r="Y51" s="12">
        <f t="shared" si="69"/>
        <v>0</v>
      </c>
      <c r="Z51" s="12">
        <f t="shared" si="69"/>
        <v>0.88000000000000012</v>
      </c>
      <c r="AA51" s="24">
        <f t="shared" si="1"/>
        <v>2.7769713340822786E-4</v>
      </c>
      <c r="AC51" s="89">
        <f t="shared" si="30"/>
        <v>0.42000000000000004</v>
      </c>
      <c r="AD51" s="89">
        <f t="shared" ref="AD51" si="70">SUM(U51:X51)</f>
        <v>0.46</v>
      </c>
      <c r="AE51" s="89">
        <f t="shared" si="4"/>
        <v>0</v>
      </c>
      <c r="AF51" s="89">
        <f t="shared" ref="AF51" si="71">SUM(AC51:AE51)</f>
        <v>0.88000000000000012</v>
      </c>
      <c r="AG51" s="24">
        <f t="shared" ref="AG51" si="72">AD51/AF51</f>
        <v>0.52272727272727271</v>
      </c>
    </row>
    <row r="52" spans="1:39" x14ac:dyDescent="0.35">
      <c r="A52" s="116" t="s">
        <v>23</v>
      </c>
      <c r="B52" s="117">
        <f t="shared" ref="B52:Z52" si="73">B283+B167</f>
        <v>0.5</v>
      </c>
      <c r="C52" s="117">
        <f t="shared" si="73"/>
        <v>0</v>
      </c>
      <c r="D52" s="117">
        <f t="shared" si="73"/>
        <v>0</v>
      </c>
      <c r="E52" s="117">
        <f t="shared" si="73"/>
        <v>0</v>
      </c>
      <c r="F52" s="117">
        <f t="shared" si="73"/>
        <v>0</v>
      </c>
      <c r="G52" s="117">
        <f t="shared" si="73"/>
        <v>0</v>
      </c>
      <c r="H52" s="117">
        <f t="shared" si="73"/>
        <v>0</v>
      </c>
      <c r="I52" s="117">
        <f t="shared" si="73"/>
        <v>0</v>
      </c>
      <c r="J52" s="117">
        <f t="shared" si="73"/>
        <v>0</v>
      </c>
      <c r="K52" s="117">
        <f t="shared" si="73"/>
        <v>0</v>
      </c>
      <c r="L52" s="117">
        <f t="shared" si="73"/>
        <v>0</v>
      </c>
      <c r="M52" s="117">
        <f t="shared" si="73"/>
        <v>0</v>
      </c>
      <c r="N52" s="117">
        <f t="shared" si="73"/>
        <v>0</v>
      </c>
      <c r="O52" s="117">
        <f t="shared" si="73"/>
        <v>0</v>
      </c>
      <c r="P52" s="117">
        <f t="shared" si="73"/>
        <v>0</v>
      </c>
      <c r="Q52" s="117">
        <f t="shared" si="73"/>
        <v>0.66</v>
      </c>
      <c r="R52" s="117">
        <f t="shared" si="73"/>
        <v>0.2</v>
      </c>
      <c r="S52" s="117">
        <f t="shared" si="73"/>
        <v>0</v>
      </c>
      <c r="T52" s="117">
        <f t="shared" si="73"/>
        <v>0</v>
      </c>
      <c r="U52" s="117">
        <f t="shared" si="73"/>
        <v>0</v>
      </c>
      <c r="V52" s="117">
        <f t="shared" si="73"/>
        <v>0</v>
      </c>
      <c r="W52" s="117">
        <f t="shared" si="73"/>
        <v>0.74</v>
      </c>
      <c r="X52" s="117">
        <f t="shared" si="73"/>
        <v>4.6500000000000004</v>
      </c>
      <c r="Y52" s="117">
        <f t="shared" si="73"/>
        <v>0.02</v>
      </c>
      <c r="Z52" s="117">
        <f t="shared" si="73"/>
        <v>6.7700000000000005</v>
      </c>
      <c r="AA52" s="185">
        <f t="shared" si="1"/>
        <v>2.1363745376973891E-3</v>
      </c>
      <c r="AC52" s="117">
        <f t="shared" si="30"/>
        <v>1.36</v>
      </c>
      <c r="AD52" s="117">
        <f>SUM(U52:X52)</f>
        <v>5.3900000000000006</v>
      </c>
      <c r="AE52" s="117">
        <f t="shared" si="4"/>
        <v>0.02</v>
      </c>
      <c r="AF52" s="117">
        <f>SUM(AC52:AE52)</f>
        <v>6.7700000000000005</v>
      </c>
      <c r="AG52" s="185">
        <f>AD52/AF52</f>
        <v>0.79615952732644024</v>
      </c>
    </row>
    <row r="53" spans="1:39" x14ac:dyDescent="0.35">
      <c r="A53" s="6" t="s">
        <v>23</v>
      </c>
      <c r="B53" s="12">
        <f t="shared" ref="B53:Z53" si="74">B284+B168</f>
        <v>0.5</v>
      </c>
      <c r="C53" s="12">
        <f t="shared" si="74"/>
        <v>0</v>
      </c>
      <c r="D53" s="12">
        <f t="shared" si="74"/>
        <v>0</v>
      </c>
      <c r="E53" s="12">
        <f t="shared" si="74"/>
        <v>0</v>
      </c>
      <c r="F53" s="12">
        <f t="shared" si="74"/>
        <v>0</v>
      </c>
      <c r="G53" s="12">
        <f t="shared" si="74"/>
        <v>0</v>
      </c>
      <c r="H53" s="12">
        <f t="shared" si="74"/>
        <v>0</v>
      </c>
      <c r="I53" s="12">
        <f t="shared" si="74"/>
        <v>0</v>
      </c>
      <c r="J53" s="12">
        <f t="shared" si="74"/>
        <v>0</v>
      </c>
      <c r="K53" s="12">
        <f t="shared" si="74"/>
        <v>0</v>
      </c>
      <c r="L53" s="12">
        <f t="shared" si="74"/>
        <v>0</v>
      </c>
      <c r="M53" s="12">
        <f t="shared" si="74"/>
        <v>0</v>
      </c>
      <c r="N53" s="12">
        <f t="shared" si="74"/>
        <v>0</v>
      </c>
      <c r="O53" s="12">
        <f t="shared" si="74"/>
        <v>0</v>
      </c>
      <c r="P53" s="12">
        <f t="shared" si="74"/>
        <v>0</v>
      </c>
      <c r="Q53" s="12">
        <f t="shared" si="74"/>
        <v>0.66</v>
      </c>
      <c r="R53" s="12">
        <f t="shared" si="74"/>
        <v>0.2</v>
      </c>
      <c r="S53" s="12">
        <f t="shared" si="74"/>
        <v>0</v>
      </c>
      <c r="T53" s="12">
        <f t="shared" si="74"/>
        <v>0</v>
      </c>
      <c r="U53" s="12">
        <f t="shared" si="74"/>
        <v>0</v>
      </c>
      <c r="V53" s="12">
        <f t="shared" si="74"/>
        <v>0</v>
      </c>
      <c r="W53" s="12">
        <f t="shared" si="74"/>
        <v>0.74</v>
      </c>
      <c r="X53" s="12">
        <f t="shared" si="74"/>
        <v>4.6500000000000004</v>
      </c>
      <c r="Y53" s="12">
        <f t="shared" si="74"/>
        <v>0.02</v>
      </c>
      <c r="Z53" s="12">
        <f t="shared" si="74"/>
        <v>6.7700000000000005</v>
      </c>
      <c r="AA53" s="24">
        <f t="shared" si="1"/>
        <v>2.1363745376973891E-3</v>
      </c>
      <c r="AC53" s="89">
        <f t="shared" si="30"/>
        <v>1.36</v>
      </c>
      <c r="AD53" s="89">
        <f t="shared" ref="AD53" si="75">SUM(U53:X53)</f>
        <v>5.3900000000000006</v>
      </c>
      <c r="AE53" s="89">
        <f t="shared" si="4"/>
        <v>0.02</v>
      </c>
      <c r="AF53" s="89">
        <f t="shared" ref="AF53" si="76">SUM(AC53:AE53)</f>
        <v>6.7700000000000005</v>
      </c>
      <c r="AG53" s="24">
        <f>AD53/AF53</f>
        <v>0.79615952732644024</v>
      </c>
    </row>
    <row r="54" spans="1:39" x14ac:dyDescent="0.35">
      <c r="A54" s="116" t="s">
        <v>24</v>
      </c>
      <c r="B54" s="117">
        <f t="shared" ref="B54:Z54" si="77">B285+B169</f>
        <v>4.120000000000001</v>
      </c>
      <c r="C54" s="117">
        <f t="shared" si="77"/>
        <v>7.0000000000000007E-2</v>
      </c>
      <c r="D54" s="117">
        <f t="shared" si="77"/>
        <v>0</v>
      </c>
      <c r="E54" s="117">
        <f t="shared" si="77"/>
        <v>0</v>
      </c>
      <c r="F54" s="117">
        <f t="shared" si="77"/>
        <v>0</v>
      </c>
      <c r="G54" s="117">
        <f t="shared" si="77"/>
        <v>0.13</v>
      </c>
      <c r="H54" s="117">
        <f t="shared" si="77"/>
        <v>0.29000000000000004</v>
      </c>
      <c r="I54" s="117">
        <f t="shared" si="77"/>
        <v>0</v>
      </c>
      <c r="J54" s="117">
        <f t="shared" si="77"/>
        <v>0</v>
      </c>
      <c r="K54" s="117">
        <f t="shared" si="77"/>
        <v>0</v>
      </c>
      <c r="L54" s="117">
        <f t="shared" si="77"/>
        <v>0</v>
      </c>
      <c r="M54" s="117">
        <f t="shared" si="77"/>
        <v>0</v>
      </c>
      <c r="N54" s="117">
        <f t="shared" si="77"/>
        <v>0</v>
      </c>
      <c r="O54" s="117">
        <f t="shared" si="77"/>
        <v>0.01</v>
      </c>
      <c r="P54" s="117">
        <f t="shared" si="77"/>
        <v>0.04</v>
      </c>
      <c r="Q54" s="117">
        <f t="shared" si="77"/>
        <v>0.45</v>
      </c>
      <c r="R54" s="117">
        <f t="shared" si="77"/>
        <v>0</v>
      </c>
      <c r="S54" s="117">
        <f t="shared" si="77"/>
        <v>0</v>
      </c>
      <c r="T54" s="117">
        <f t="shared" si="77"/>
        <v>0</v>
      </c>
      <c r="U54" s="117">
        <f t="shared" si="77"/>
        <v>0</v>
      </c>
      <c r="V54" s="117">
        <f t="shared" si="77"/>
        <v>0.02</v>
      </c>
      <c r="W54" s="117">
        <f t="shared" si="77"/>
        <v>0</v>
      </c>
      <c r="X54" s="117">
        <f t="shared" si="77"/>
        <v>0</v>
      </c>
      <c r="Y54" s="117">
        <f t="shared" si="77"/>
        <v>7.0000000000000007E-2</v>
      </c>
      <c r="Z54" s="117">
        <f t="shared" si="77"/>
        <v>5.2</v>
      </c>
      <c r="AA54" s="185">
        <f t="shared" si="1"/>
        <v>1.6409376065031646E-3</v>
      </c>
      <c r="AC54" s="117">
        <f t="shared" si="30"/>
        <v>5.1100000000000012</v>
      </c>
      <c r="AD54" s="117">
        <f>SUM(U54:X54)</f>
        <v>0.02</v>
      </c>
      <c r="AE54" s="117">
        <f t="shared" si="4"/>
        <v>7.0000000000000007E-2</v>
      </c>
      <c r="AF54" s="117">
        <f>SUM(AC54:AE54)</f>
        <v>5.2000000000000011</v>
      </c>
      <c r="AG54" s="185">
        <f>AD54/AF54</f>
        <v>3.8461538461538455E-3</v>
      </c>
    </row>
    <row r="55" spans="1:39" x14ac:dyDescent="0.35">
      <c r="A55" s="6" t="s">
        <v>59</v>
      </c>
      <c r="B55" s="12">
        <f t="shared" ref="B55:Z55" si="78">B286+B170</f>
        <v>0.33</v>
      </c>
      <c r="C55" s="12">
        <f t="shared" si="78"/>
        <v>0</v>
      </c>
      <c r="D55" s="12">
        <f t="shared" si="78"/>
        <v>0</v>
      </c>
      <c r="E55" s="12">
        <f t="shared" si="78"/>
        <v>0</v>
      </c>
      <c r="F55" s="12">
        <f t="shared" si="78"/>
        <v>0</v>
      </c>
      <c r="G55" s="12">
        <f t="shared" si="78"/>
        <v>0.13</v>
      </c>
      <c r="H55" s="12">
        <f t="shared" si="78"/>
        <v>0</v>
      </c>
      <c r="I55" s="12">
        <f t="shared" si="78"/>
        <v>0</v>
      </c>
      <c r="J55" s="12">
        <f t="shared" si="78"/>
        <v>0</v>
      </c>
      <c r="K55" s="12">
        <f t="shared" si="78"/>
        <v>0</v>
      </c>
      <c r="L55" s="12">
        <f t="shared" si="78"/>
        <v>0</v>
      </c>
      <c r="M55" s="12">
        <f t="shared" si="78"/>
        <v>0</v>
      </c>
      <c r="N55" s="12">
        <f t="shared" si="78"/>
        <v>0</v>
      </c>
      <c r="O55" s="12">
        <f t="shared" si="78"/>
        <v>0.01</v>
      </c>
      <c r="P55" s="12">
        <f t="shared" si="78"/>
        <v>0</v>
      </c>
      <c r="Q55" s="12">
        <f t="shared" si="78"/>
        <v>0</v>
      </c>
      <c r="R55" s="12">
        <f t="shared" si="78"/>
        <v>0</v>
      </c>
      <c r="S55" s="12">
        <f t="shared" si="78"/>
        <v>0</v>
      </c>
      <c r="T55" s="12">
        <f t="shared" si="78"/>
        <v>0</v>
      </c>
      <c r="U55" s="12">
        <f t="shared" si="78"/>
        <v>0</v>
      </c>
      <c r="V55" s="12">
        <f t="shared" si="78"/>
        <v>0.02</v>
      </c>
      <c r="W55" s="12">
        <f t="shared" si="78"/>
        <v>0</v>
      </c>
      <c r="X55" s="12">
        <f t="shared" si="78"/>
        <v>0</v>
      </c>
      <c r="Y55" s="12">
        <f t="shared" si="78"/>
        <v>0</v>
      </c>
      <c r="Z55" s="12">
        <f t="shared" si="78"/>
        <v>0.49</v>
      </c>
      <c r="AA55" s="24">
        <f t="shared" si="1"/>
        <v>1.5462681292049049E-4</v>
      </c>
      <c r="AC55" s="89">
        <f t="shared" si="30"/>
        <v>0.47000000000000003</v>
      </c>
      <c r="AD55" s="89">
        <f t="shared" ref="AD55:AD57" si="79">SUM(U55:X55)</f>
        <v>0.02</v>
      </c>
      <c r="AE55" s="89">
        <f t="shared" si="4"/>
        <v>0</v>
      </c>
      <c r="AF55" s="89">
        <f t="shared" ref="AF55:AF57" si="80">SUM(AC55:AE55)</f>
        <v>0.49000000000000005</v>
      </c>
      <c r="AG55" s="24">
        <f>AD55/AF55</f>
        <v>4.0816326530612242E-2</v>
      </c>
    </row>
    <row r="56" spans="1:39" x14ac:dyDescent="0.35">
      <c r="A56" s="6" t="s">
        <v>73</v>
      </c>
      <c r="B56" s="12">
        <f t="shared" ref="B56:Z56" si="81">B287+B171</f>
        <v>3.0000000000000004</v>
      </c>
      <c r="C56" s="12">
        <f t="shared" si="81"/>
        <v>7.0000000000000007E-2</v>
      </c>
      <c r="D56" s="12">
        <f t="shared" si="81"/>
        <v>0</v>
      </c>
      <c r="E56" s="12">
        <f t="shared" si="81"/>
        <v>0</v>
      </c>
      <c r="F56" s="12">
        <f t="shared" si="81"/>
        <v>0</v>
      </c>
      <c r="G56" s="12">
        <f t="shared" si="81"/>
        <v>0</v>
      </c>
      <c r="H56" s="12">
        <f t="shared" si="81"/>
        <v>0.03</v>
      </c>
      <c r="I56" s="12">
        <f t="shared" si="81"/>
        <v>0</v>
      </c>
      <c r="J56" s="12">
        <f t="shared" si="81"/>
        <v>0</v>
      </c>
      <c r="K56" s="12">
        <f t="shared" si="81"/>
        <v>0</v>
      </c>
      <c r="L56" s="12">
        <f t="shared" si="81"/>
        <v>0</v>
      </c>
      <c r="M56" s="12">
        <f t="shared" si="81"/>
        <v>0</v>
      </c>
      <c r="N56" s="12">
        <f t="shared" si="81"/>
        <v>0</v>
      </c>
      <c r="O56" s="12">
        <f t="shared" si="81"/>
        <v>0</v>
      </c>
      <c r="P56" s="12">
        <f t="shared" si="81"/>
        <v>0.04</v>
      </c>
      <c r="Q56" s="12">
        <f t="shared" si="81"/>
        <v>0</v>
      </c>
      <c r="R56" s="12">
        <f t="shared" si="81"/>
        <v>0</v>
      </c>
      <c r="S56" s="12">
        <f t="shared" si="81"/>
        <v>0</v>
      </c>
      <c r="T56" s="12">
        <f t="shared" si="81"/>
        <v>0</v>
      </c>
      <c r="U56" s="12">
        <f t="shared" si="81"/>
        <v>0</v>
      </c>
      <c r="V56" s="12">
        <f t="shared" si="81"/>
        <v>0</v>
      </c>
      <c r="W56" s="12">
        <f t="shared" si="81"/>
        <v>0</v>
      </c>
      <c r="X56" s="12">
        <f t="shared" si="81"/>
        <v>0</v>
      </c>
      <c r="Y56" s="12">
        <f t="shared" si="81"/>
        <v>0.05</v>
      </c>
      <c r="Z56" s="12">
        <f t="shared" si="81"/>
        <v>3.19</v>
      </c>
      <c r="AA56" s="24">
        <f t="shared" si="1"/>
        <v>1.0066521086048259E-3</v>
      </c>
      <c r="AC56" s="89">
        <f t="shared" si="30"/>
        <v>3.14</v>
      </c>
      <c r="AD56" s="89">
        <f t="shared" si="79"/>
        <v>0</v>
      </c>
      <c r="AE56" s="89">
        <f t="shared" si="4"/>
        <v>0.05</v>
      </c>
      <c r="AF56" s="89">
        <f t="shared" si="80"/>
        <v>3.19</v>
      </c>
      <c r="AG56" s="24">
        <f t="shared" ref="AG56" si="82">AD56/AF56</f>
        <v>0</v>
      </c>
    </row>
    <row r="57" spans="1:39" x14ac:dyDescent="0.35">
      <c r="A57" s="178" t="s">
        <v>74</v>
      </c>
      <c r="B57" s="12">
        <f t="shared" ref="B57:Z57" si="83">B288+B172</f>
        <v>0.79</v>
      </c>
      <c r="C57" s="12">
        <f t="shared" si="83"/>
        <v>0</v>
      </c>
      <c r="D57" s="12">
        <f t="shared" si="83"/>
        <v>0</v>
      </c>
      <c r="E57" s="12">
        <f t="shared" si="83"/>
        <v>0</v>
      </c>
      <c r="F57" s="12">
        <f t="shared" si="83"/>
        <v>0</v>
      </c>
      <c r="G57" s="12">
        <f t="shared" si="83"/>
        <v>0</v>
      </c>
      <c r="H57" s="12">
        <f t="shared" si="83"/>
        <v>0.26</v>
      </c>
      <c r="I57" s="12">
        <f t="shared" si="83"/>
        <v>0</v>
      </c>
      <c r="J57" s="12">
        <f t="shared" si="83"/>
        <v>0</v>
      </c>
      <c r="K57" s="12">
        <f t="shared" si="83"/>
        <v>0</v>
      </c>
      <c r="L57" s="12">
        <f t="shared" si="83"/>
        <v>0</v>
      </c>
      <c r="M57" s="12">
        <f t="shared" si="83"/>
        <v>0</v>
      </c>
      <c r="N57" s="12">
        <f t="shared" si="83"/>
        <v>0</v>
      </c>
      <c r="O57" s="12">
        <f t="shared" si="83"/>
        <v>0</v>
      </c>
      <c r="P57" s="12">
        <f t="shared" si="83"/>
        <v>0</v>
      </c>
      <c r="Q57" s="12">
        <f t="shared" si="83"/>
        <v>0.45</v>
      </c>
      <c r="R57" s="12">
        <f t="shared" si="83"/>
        <v>0</v>
      </c>
      <c r="S57" s="12">
        <f t="shared" si="83"/>
        <v>0</v>
      </c>
      <c r="T57" s="12">
        <f t="shared" si="83"/>
        <v>0</v>
      </c>
      <c r="U57" s="12">
        <f t="shared" si="83"/>
        <v>0</v>
      </c>
      <c r="V57" s="12">
        <f t="shared" si="83"/>
        <v>0</v>
      </c>
      <c r="W57" s="12">
        <f t="shared" si="83"/>
        <v>0</v>
      </c>
      <c r="X57" s="12">
        <f t="shared" si="83"/>
        <v>0</v>
      </c>
      <c r="Y57" s="12">
        <f t="shared" si="83"/>
        <v>0.02</v>
      </c>
      <c r="Z57" s="12">
        <f t="shared" si="83"/>
        <v>1.52</v>
      </c>
      <c r="AA57" s="24">
        <f t="shared" si="1"/>
        <v>4.7965868497784809E-4</v>
      </c>
      <c r="AC57" s="89">
        <f t="shared" si="30"/>
        <v>1.5</v>
      </c>
      <c r="AD57" s="89">
        <f t="shared" si="79"/>
        <v>0</v>
      </c>
      <c r="AE57" s="89">
        <f t="shared" si="4"/>
        <v>0.02</v>
      </c>
      <c r="AF57" s="89">
        <f t="shared" si="80"/>
        <v>1.52</v>
      </c>
      <c r="AG57" s="24">
        <f>AD57/AF57</f>
        <v>0</v>
      </c>
    </row>
    <row r="58" spans="1:39" ht="15.5" x14ac:dyDescent="0.35">
      <c r="A58" s="179" t="s">
        <v>25</v>
      </c>
      <c r="B58" s="213">
        <f t="shared" ref="B58:Z58" si="84">B289+B173</f>
        <v>2813.9499999999957</v>
      </c>
      <c r="C58" s="213">
        <f t="shared" si="84"/>
        <v>97.33</v>
      </c>
      <c r="D58" s="213">
        <f t="shared" si="84"/>
        <v>16.849999999999998</v>
      </c>
      <c r="E58" s="213">
        <f t="shared" si="84"/>
        <v>2.96</v>
      </c>
      <c r="F58" s="213">
        <f t="shared" si="84"/>
        <v>3.7100000000000004</v>
      </c>
      <c r="G58" s="213">
        <f t="shared" si="84"/>
        <v>8.7899999999999991</v>
      </c>
      <c r="H58" s="213">
        <f t="shared" si="84"/>
        <v>6.43</v>
      </c>
      <c r="I58" s="213">
        <f t="shared" si="84"/>
        <v>3.64</v>
      </c>
      <c r="J58" s="213">
        <f t="shared" si="84"/>
        <v>4.2299999999999995</v>
      </c>
      <c r="K58" s="213">
        <f t="shared" si="84"/>
        <v>5.75</v>
      </c>
      <c r="L58" s="213">
        <f t="shared" si="84"/>
        <v>2.09</v>
      </c>
      <c r="M58" s="213">
        <f t="shared" si="84"/>
        <v>8.39</v>
      </c>
      <c r="N58" s="213">
        <f t="shared" si="84"/>
        <v>2.35</v>
      </c>
      <c r="O58" s="213">
        <f t="shared" si="84"/>
        <v>12.969999999999997</v>
      </c>
      <c r="P58" s="213">
        <f t="shared" si="84"/>
        <v>6.0099999999999989</v>
      </c>
      <c r="Q58" s="213">
        <f t="shared" si="84"/>
        <v>8.9600000000000009</v>
      </c>
      <c r="R58" s="213">
        <f t="shared" si="84"/>
        <v>25.29</v>
      </c>
      <c r="S58" s="213">
        <f t="shared" si="84"/>
        <v>26.199999999999996</v>
      </c>
      <c r="T58" s="213">
        <f t="shared" si="84"/>
        <v>28</v>
      </c>
      <c r="U58" s="213">
        <f t="shared" si="84"/>
        <v>27.150000000000002</v>
      </c>
      <c r="V58" s="213">
        <f t="shared" si="84"/>
        <v>19.409999999999997</v>
      </c>
      <c r="W58" s="213">
        <f t="shared" si="84"/>
        <v>23.16</v>
      </c>
      <c r="X58" s="213">
        <f t="shared" si="84"/>
        <v>13.59</v>
      </c>
      <c r="Y58" s="213">
        <f t="shared" si="84"/>
        <v>1.7100000000000002</v>
      </c>
      <c r="Z58" s="213">
        <f t="shared" si="84"/>
        <v>3168.9199999999951</v>
      </c>
      <c r="AA58" s="213">
        <f t="shared" si="1"/>
        <v>1</v>
      </c>
      <c r="AC58" s="213">
        <f t="shared" si="30"/>
        <v>3083.8999999999951</v>
      </c>
      <c r="AD58" s="213">
        <f>SUM(U58:X58)</f>
        <v>83.31</v>
      </c>
      <c r="AE58" s="213">
        <f t="shared" si="4"/>
        <v>1.7100000000000002</v>
      </c>
      <c r="AF58" s="213">
        <f>SUM(AC58:AE58)</f>
        <v>3168.9199999999951</v>
      </c>
      <c r="AG58" s="204">
        <f>AD58/AF58</f>
        <v>2.6289713845726662E-2</v>
      </c>
    </row>
    <row r="59" spans="1:39" x14ac:dyDescent="0.35">
      <c r="A59" s="378" t="s">
        <v>253</v>
      </c>
      <c r="B59" s="379"/>
      <c r="C59" s="379">
        <f>C58+B58</f>
        <v>2911.2799999999957</v>
      </c>
      <c r="D59" s="379">
        <f>D58+C59</f>
        <v>2928.1299999999956</v>
      </c>
      <c r="E59" s="379">
        <f>E58+D59</f>
        <v>2931.0899999999956</v>
      </c>
      <c r="F59" s="379">
        <f t="shared" ref="F59" si="85">F58+E59</f>
        <v>2934.7999999999956</v>
      </c>
      <c r="G59" s="379">
        <f t="shared" ref="G59" si="86">G58+F59</f>
        <v>2943.5899999999956</v>
      </c>
      <c r="H59" s="379">
        <f t="shared" ref="H59" si="87">H58+G59</f>
        <v>2950.0199999999954</v>
      </c>
      <c r="I59" s="379">
        <f t="shared" ref="I59" si="88">I58+H59</f>
        <v>2953.6599999999953</v>
      </c>
      <c r="J59" s="379">
        <f t="shared" ref="J59" si="89">J58+I59</f>
        <v>2957.8899999999953</v>
      </c>
      <c r="K59" s="379">
        <f t="shared" ref="K59" si="90">K58+J59</f>
        <v>2963.6399999999953</v>
      </c>
      <c r="L59" s="379">
        <f t="shared" ref="L59" si="91">L58+K59</f>
        <v>2965.7299999999955</v>
      </c>
      <c r="M59" s="379">
        <f t="shared" ref="M59" si="92">M58+L59</f>
        <v>2974.1199999999953</v>
      </c>
      <c r="N59" s="379">
        <f t="shared" ref="N59" si="93">N58+M59</f>
        <v>2976.4699999999953</v>
      </c>
      <c r="O59" s="379">
        <f t="shared" ref="O59" si="94">O58+N59</f>
        <v>2989.4399999999951</v>
      </c>
      <c r="P59" s="379">
        <f t="shared" ref="P59" si="95">P58+O59</f>
        <v>2995.4499999999953</v>
      </c>
      <c r="Q59" s="379">
        <f t="shared" ref="Q59" si="96">Q58+P59</f>
        <v>3004.4099999999953</v>
      </c>
      <c r="R59" s="379">
        <f t="shared" ref="R59" si="97">R58+Q59</f>
        <v>3029.6999999999953</v>
      </c>
      <c r="S59" s="379">
        <f t="shared" ref="S59" si="98">S58+R59</f>
        <v>3055.8999999999951</v>
      </c>
      <c r="T59" s="379">
        <f t="shared" ref="T59" si="99">T58+S59</f>
        <v>3083.8999999999951</v>
      </c>
      <c r="U59" s="379">
        <f t="shared" ref="U59" si="100">U58+T59</f>
        <v>3111.0499999999952</v>
      </c>
      <c r="V59" s="379">
        <f t="shared" ref="V59" si="101">V58+U59</f>
        <v>3130.459999999995</v>
      </c>
      <c r="W59" s="379">
        <f t="shared" ref="W59" si="102">W58+V59</f>
        <v>3153.6199999999949</v>
      </c>
      <c r="X59" s="379">
        <f t="shared" ref="X59" si="103">X58+W59</f>
        <v>3167.209999999995</v>
      </c>
    </row>
    <row r="60" spans="1:39" x14ac:dyDescent="0.35">
      <c r="A60" s="380" t="s">
        <v>254</v>
      </c>
      <c r="B60" s="379"/>
      <c r="C60" s="381"/>
      <c r="D60" s="381">
        <f>D59/C59-1</f>
        <v>5.7878321563022972E-3</v>
      </c>
      <c r="E60" s="381">
        <f t="shared" ref="E60" si="104">E59/D59-1</f>
        <v>1.0108840796003715E-3</v>
      </c>
      <c r="F60" s="381">
        <f t="shared" ref="F60" si="105">F59/E59-1</f>
        <v>1.2657407312637314E-3</v>
      </c>
      <c r="G60" s="381">
        <f t="shared" ref="G60" si="106">G59/F59-1</f>
        <v>2.9950933624096621E-3</v>
      </c>
      <c r="H60" s="381">
        <f t="shared" ref="H60" si="107">H59/G59-1</f>
        <v>2.184407475225747E-3</v>
      </c>
      <c r="I60" s="381">
        <f t="shared" ref="I60" si="108">I59/H59-1</f>
        <v>1.2338899397292824E-3</v>
      </c>
      <c r="J60" s="381">
        <f t="shared" ref="J60" si="109">J59/I59-1</f>
        <v>1.432121503490702E-3</v>
      </c>
      <c r="K60" s="381">
        <f t="shared" ref="K60" si="110">K59/J59-1</f>
        <v>1.9439532910283663E-3</v>
      </c>
      <c r="L60" s="381">
        <f t="shared" ref="L60" si="111">L59/K59-1</f>
        <v>7.0521385863342445E-4</v>
      </c>
      <c r="M60" s="381">
        <f t="shared" ref="M60" si="112">M59/L59-1</f>
        <v>2.8289830834229424E-3</v>
      </c>
      <c r="N60" s="381">
        <f t="shared" ref="N60" si="113">N59/M59-1</f>
        <v>7.9014969133717194E-4</v>
      </c>
      <c r="O60" s="381">
        <f t="shared" ref="O60" si="114">O59/N59-1</f>
        <v>4.3575107425910531E-3</v>
      </c>
      <c r="P60" s="381">
        <f t="shared" ref="P60" si="115">P59/O59-1</f>
        <v>2.0104099764504113E-3</v>
      </c>
      <c r="Q60" s="381">
        <f t="shared" ref="Q60" si="116">Q59/P59-1</f>
        <v>2.9912033250429904E-3</v>
      </c>
      <c r="R60" s="381">
        <f t="shared" ref="R60" si="117">R59/Q59-1</f>
        <v>8.4176260896482447E-3</v>
      </c>
      <c r="S60" s="381">
        <f t="shared" ref="S60" si="118">S59/R59-1</f>
        <v>8.6477208964583774E-3</v>
      </c>
      <c r="T60" s="381">
        <f t="shared" ref="T60" si="119">T59/S59-1</f>
        <v>9.1626034883340868E-3</v>
      </c>
      <c r="U60" s="381">
        <f t="shared" ref="U60" si="120">U59/T59-1</f>
        <v>8.8037874120432402E-3</v>
      </c>
      <c r="V60" s="381">
        <f t="shared" ref="V60" si="121">V59/U59-1</f>
        <v>6.2390511242185198E-3</v>
      </c>
      <c r="W60" s="381">
        <f t="shared" ref="W60" si="122">W59/V59-1</f>
        <v>7.3982737361282247E-3</v>
      </c>
      <c r="X60" s="381">
        <f t="shared" ref="X60" si="123">X59/W59-1</f>
        <v>4.3093334009804973E-3</v>
      </c>
    </row>
    <row r="61" spans="1:39" ht="15.5" x14ac:dyDescent="0.35">
      <c r="A61" s="179" t="s">
        <v>99</v>
      </c>
      <c r="B61" s="122" t="s">
        <v>100</v>
      </c>
      <c r="C61" s="122">
        <v>2000</v>
      </c>
      <c r="D61" s="122">
        <v>2001</v>
      </c>
      <c r="E61" s="122">
        <v>2002</v>
      </c>
      <c r="F61" s="122">
        <v>2003</v>
      </c>
      <c r="G61" s="122">
        <v>2004</v>
      </c>
      <c r="H61" s="122">
        <v>2005</v>
      </c>
      <c r="I61" s="122">
        <v>2006</v>
      </c>
      <c r="J61" s="122">
        <v>2007</v>
      </c>
      <c r="K61" s="122">
        <v>2008</v>
      </c>
      <c r="L61" s="122">
        <v>2009</v>
      </c>
      <c r="M61" s="122">
        <v>2010</v>
      </c>
      <c r="N61" s="122">
        <v>2011</v>
      </c>
      <c r="O61" s="122">
        <v>2012</v>
      </c>
      <c r="P61" s="122">
        <v>2013</v>
      </c>
      <c r="Q61" s="122">
        <v>2014</v>
      </c>
      <c r="R61" s="122">
        <v>2015</v>
      </c>
      <c r="S61" s="122">
        <v>2016</v>
      </c>
      <c r="T61" s="122">
        <v>2017</v>
      </c>
      <c r="U61" s="122">
        <v>2018</v>
      </c>
      <c r="V61" s="122">
        <v>2019</v>
      </c>
      <c r="W61" s="122">
        <v>2020</v>
      </c>
      <c r="X61" s="123">
        <v>2021</v>
      </c>
      <c r="Y61" s="123" t="s">
        <v>90</v>
      </c>
    </row>
    <row r="62" spans="1:39" x14ac:dyDescent="0.35">
      <c r="A62" s="116" t="s">
        <v>5</v>
      </c>
      <c r="B62" s="22">
        <f t="shared" ref="B62:Y62" si="124">B13/$Z$13</f>
        <v>0</v>
      </c>
      <c r="C62" s="22">
        <f t="shared" si="124"/>
        <v>0</v>
      </c>
      <c r="D62" s="22">
        <f t="shared" si="124"/>
        <v>0</v>
      </c>
      <c r="E62" s="22">
        <f t="shared" si="124"/>
        <v>0</v>
      </c>
      <c r="F62" s="22">
        <f t="shared" si="124"/>
        <v>0</v>
      </c>
      <c r="G62" s="22">
        <f t="shared" si="124"/>
        <v>0.2</v>
      </c>
      <c r="H62" s="22">
        <f t="shared" si="124"/>
        <v>0</v>
      </c>
      <c r="I62" s="22">
        <f t="shared" si="124"/>
        <v>0</v>
      </c>
      <c r="J62" s="22">
        <f t="shared" si="124"/>
        <v>0</v>
      </c>
      <c r="K62" s="22">
        <f t="shared" si="124"/>
        <v>0</v>
      </c>
      <c r="L62" s="22">
        <f t="shared" si="124"/>
        <v>0</v>
      </c>
      <c r="M62" s="22">
        <f t="shared" si="124"/>
        <v>0</v>
      </c>
      <c r="N62" s="22">
        <f t="shared" si="124"/>
        <v>0</v>
      </c>
      <c r="O62" s="22">
        <f t="shared" si="124"/>
        <v>0</v>
      </c>
      <c r="P62" s="22">
        <f t="shared" si="124"/>
        <v>0</v>
      </c>
      <c r="Q62" s="22">
        <f t="shared" si="124"/>
        <v>0</v>
      </c>
      <c r="R62" s="22">
        <f t="shared" si="124"/>
        <v>0</v>
      </c>
      <c r="S62" s="22">
        <f t="shared" si="124"/>
        <v>0</v>
      </c>
      <c r="T62" s="22">
        <f t="shared" si="124"/>
        <v>0</v>
      </c>
      <c r="U62" s="22">
        <f t="shared" si="124"/>
        <v>0</v>
      </c>
      <c r="V62" s="22">
        <f t="shared" si="124"/>
        <v>0</v>
      </c>
      <c r="W62" s="22">
        <f t="shared" si="124"/>
        <v>0.8</v>
      </c>
      <c r="X62" s="22">
        <f t="shared" si="124"/>
        <v>0</v>
      </c>
      <c r="Y62" s="385">
        <f t="shared" si="124"/>
        <v>0</v>
      </c>
    </row>
    <row r="63" spans="1:39" x14ac:dyDescent="0.35">
      <c r="A63" s="116" t="s">
        <v>12</v>
      </c>
      <c r="B63" s="22">
        <f t="shared" ref="B63:Y63" si="125">B16/$Z$16</f>
        <v>0.73593287265547869</v>
      </c>
      <c r="C63" s="22">
        <f t="shared" si="125"/>
        <v>3.1589338598223105E-2</v>
      </c>
      <c r="D63" s="22">
        <f t="shared" si="125"/>
        <v>0</v>
      </c>
      <c r="E63" s="22">
        <f t="shared" si="125"/>
        <v>0</v>
      </c>
      <c r="F63" s="22">
        <f t="shared" si="125"/>
        <v>1.0858835143139192E-2</v>
      </c>
      <c r="G63" s="22">
        <f t="shared" si="125"/>
        <v>0</v>
      </c>
      <c r="H63" s="22">
        <f t="shared" si="125"/>
        <v>7.8973346495557761E-3</v>
      </c>
      <c r="I63" s="22">
        <f t="shared" si="125"/>
        <v>0</v>
      </c>
      <c r="J63" s="22">
        <f t="shared" si="125"/>
        <v>0</v>
      </c>
      <c r="K63" s="22">
        <f t="shared" si="125"/>
        <v>0</v>
      </c>
      <c r="L63" s="22">
        <f t="shared" si="125"/>
        <v>1.5794669299111552E-2</v>
      </c>
      <c r="M63" s="22">
        <f t="shared" si="125"/>
        <v>3.4550839091806521E-3</v>
      </c>
      <c r="N63" s="22">
        <f t="shared" si="125"/>
        <v>0</v>
      </c>
      <c r="O63" s="22">
        <f t="shared" si="125"/>
        <v>1.4313919052319843E-2</v>
      </c>
      <c r="P63" s="22">
        <f t="shared" si="125"/>
        <v>0</v>
      </c>
      <c r="Q63" s="22">
        <f t="shared" si="125"/>
        <v>0</v>
      </c>
      <c r="R63" s="22">
        <f t="shared" si="125"/>
        <v>7.8973346495557761E-3</v>
      </c>
      <c r="S63" s="22">
        <f t="shared" si="125"/>
        <v>0</v>
      </c>
      <c r="T63" s="22">
        <f t="shared" si="125"/>
        <v>9.4274432379072071E-2</v>
      </c>
      <c r="U63" s="22">
        <f t="shared" si="125"/>
        <v>7.7986179664363289E-2</v>
      </c>
      <c r="V63" s="22">
        <f t="shared" si="125"/>
        <v>0</v>
      </c>
      <c r="W63" s="22">
        <f t="shared" si="125"/>
        <v>0</v>
      </c>
      <c r="X63" s="22">
        <f t="shared" si="125"/>
        <v>0</v>
      </c>
      <c r="Y63" s="385">
        <f t="shared" si="125"/>
        <v>0</v>
      </c>
    </row>
    <row r="64" spans="1:39" x14ac:dyDescent="0.35">
      <c r="A64" s="116" t="s">
        <v>69</v>
      </c>
      <c r="B64" s="22">
        <f t="shared" ref="B64:Y64" si="126">B20/$Z$20</f>
        <v>1.0869565217391306E-2</v>
      </c>
      <c r="C64" s="22">
        <f t="shared" si="126"/>
        <v>0.32608695652173914</v>
      </c>
      <c r="D64" s="22">
        <f t="shared" si="126"/>
        <v>0</v>
      </c>
      <c r="E64" s="22">
        <f t="shared" si="126"/>
        <v>0</v>
      </c>
      <c r="F64" s="22">
        <f t="shared" si="126"/>
        <v>0</v>
      </c>
      <c r="G64" s="22">
        <f t="shared" si="126"/>
        <v>0</v>
      </c>
      <c r="H64" s="22">
        <f t="shared" si="126"/>
        <v>0</v>
      </c>
      <c r="I64" s="22">
        <f t="shared" si="126"/>
        <v>0</v>
      </c>
      <c r="J64" s="22">
        <f t="shared" si="126"/>
        <v>0</v>
      </c>
      <c r="K64" s="22">
        <f t="shared" si="126"/>
        <v>0</v>
      </c>
      <c r="L64" s="22">
        <f t="shared" si="126"/>
        <v>0</v>
      </c>
      <c r="M64" s="22">
        <f t="shared" si="126"/>
        <v>0</v>
      </c>
      <c r="N64" s="22">
        <f t="shared" si="126"/>
        <v>0</v>
      </c>
      <c r="O64" s="22">
        <f t="shared" si="126"/>
        <v>0</v>
      </c>
      <c r="P64" s="22">
        <f t="shared" si="126"/>
        <v>0.22826086956521741</v>
      </c>
      <c r="Q64" s="22">
        <f t="shared" si="126"/>
        <v>0</v>
      </c>
      <c r="R64" s="22">
        <f t="shared" si="126"/>
        <v>0</v>
      </c>
      <c r="S64" s="22">
        <f t="shared" si="126"/>
        <v>0</v>
      </c>
      <c r="T64" s="22">
        <f t="shared" si="126"/>
        <v>0.25000000000000006</v>
      </c>
      <c r="U64" s="22">
        <f t="shared" si="126"/>
        <v>0</v>
      </c>
      <c r="V64" s="22">
        <f t="shared" si="126"/>
        <v>0</v>
      </c>
      <c r="W64" s="22">
        <f t="shared" si="126"/>
        <v>0</v>
      </c>
      <c r="X64" s="22">
        <f t="shared" si="126"/>
        <v>0</v>
      </c>
      <c r="Y64" s="384">
        <f t="shared" si="126"/>
        <v>0.18478260869565216</v>
      </c>
    </row>
    <row r="65" spans="1:25" x14ac:dyDescent="0.35">
      <c r="A65" s="116" t="s">
        <v>13</v>
      </c>
      <c r="B65" s="22">
        <f t="shared" ref="B65:Y65" si="127">B22/$Z$22</f>
        <v>0.94798381718756963</v>
      </c>
      <c r="C65" s="22">
        <f t="shared" si="127"/>
        <v>1.4048815186947051E-2</v>
      </c>
      <c r="D65" s="22">
        <f t="shared" si="127"/>
        <v>0</v>
      </c>
      <c r="E65" s="22">
        <f t="shared" si="127"/>
        <v>0</v>
      </c>
      <c r="F65" s="22">
        <f t="shared" si="127"/>
        <v>0</v>
      </c>
      <c r="G65" s="22">
        <f t="shared" si="127"/>
        <v>0</v>
      </c>
      <c r="H65" s="22">
        <f t="shared" si="127"/>
        <v>0</v>
      </c>
      <c r="I65" s="22">
        <f t="shared" si="127"/>
        <v>0</v>
      </c>
      <c r="J65" s="22">
        <f t="shared" si="127"/>
        <v>5.3349931089672329E-4</v>
      </c>
      <c r="K65" s="22">
        <f t="shared" si="127"/>
        <v>0</v>
      </c>
      <c r="L65" s="22">
        <f t="shared" si="127"/>
        <v>0</v>
      </c>
      <c r="M65" s="22">
        <f t="shared" si="127"/>
        <v>1.7783310363224112E-3</v>
      </c>
      <c r="N65" s="22">
        <f t="shared" si="127"/>
        <v>0</v>
      </c>
      <c r="O65" s="22">
        <f t="shared" si="127"/>
        <v>1.471568932556795E-2</v>
      </c>
      <c r="P65" s="22">
        <f t="shared" si="127"/>
        <v>6.8688036277953128E-3</v>
      </c>
      <c r="Q65" s="22">
        <f t="shared" si="127"/>
        <v>6.2241586271284395E-4</v>
      </c>
      <c r="R65" s="22">
        <f t="shared" si="127"/>
        <v>2.0006224158627123E-4</v>
      </c>
      <c r="S65" s="22">
        <f t="shared" si="127"/>
        <v>0</v>
      </c>
      <c r="T65" s="22">
        <f t="shared" si="127"/>
        <v>2.6452674165295866E-3</v>
      </c>
      <c r="U65" s="22">
        <f t="shared" si="127"/>
        <v>6.4242208687147109E-3</v>
      </c>
      <c r="V65" s="22">
        <f t="shared" si="127"/>
        <v>1.7783310363224112E-4</v>
      </c>
      <c r="W65" s="22">
        <f t="shared" si="127"/>
        <v>3.1565375894722796E-3</v>
      </c>
      <c r="X65" s="22">
        <f t="shared" si="127"/>
        <v>0</v>
      </c>
      <c r="Y65" s="384">
        <f t="shared" si="127"/>
        <v>8.4470724225314527E-4</v>
      </c>
    </row>
    <row r="66" spans="1:25" x14ac:dyDescent="0.35">
      <c r="A66" s="116" t="s">
        <v>16</v>
      </c>
      <c r="B66" s="22">
        <f t="shared" ref="B66:Y66" si="128">B26/$Z$26</f>
        <v>0</v>
      </c>
      <c r="C66" s="22">
        <f t="shared" si="128"/>
        <v>0</v>
      </c>
      <c r="D66" s="22">
        <f t="shared" si="128"/>
        <v>0</v>
      </c>
      <c r="E66" s="22">
        <f t="shared" si="128"/>
        <v>1.371951219512195E-2</v>
      </c>
      <c r="F66" s="22">
        <f t="shared" si="128"/>
        <v>0</v>
      </c>
      <c r="G66" s="22">
        <f t="shared" si="128"/>
        <v>0</v>
      </c>
      <c r="H66" s="22">
        <f t="shared" si="128"/>
        <v>0</v>
      </c>
      <c r="I66" s="22">
        <f t="shared" si="128"/>
        <v>0</v>
      </c>
      <c r="J66" s="22">
        <f t="shared" si="128"/>
        <v>0.12195121951219512</v>
      </c>
      <c r="K66" s="22">
        <f t="shared" si="128"/>
        <v>0</v>
      </c>
      <c r="L66" s="22">
        <f t="shared" si="128"/>
        <v>0</v>
      </c>
      <c r="M66" s="22">
        <f t="shared" si="128"/>
        <v>0</v>
      </c>
      <c r="N66" s="22">
        <f t="shared" si="128"/>
        <v>0</v>
      </c>
      <c r="O66" s="22">
        <f t="shared" si="128"/>
        <v>0</v>
      </c>
      <c r="P66" s="22">
        <f t="shared" si="128"/>
        <v>0</v>
      </c>
      <c r="Q66" s="22">
        <f t="shared" si="128"/>
        <v>2.8963414634146339E-2</v>
      </c>
      <c r="R66" s="22">
        <f t="shared" si="128"/>
        <v>0</v>
      </c>
      <c r="S66" s="22">
        <f t="shared" si="128"/>
        <v>0</v>
      </c>
      <c r="T66" s="22">
        <f t="shared" si="128"/>
        <v>0</v>
      </c>
      <c r="U66" s="22">
        <f t="shared" si="128"/>
        <v>0</v>
      </c>
      <c r="V66" s="22">
        <f t="shared" si="128"/>
        <v>0.18445121951219509</v>
      </c>
      <c r="W66" s="22">
        <f t="shared" si="128"/>
        <v>0.32926829268292684</v>
      </c>
      <c r="X66" s="22">
        <f t="shared" si="128"/>
        <v>0.29878048780487804</v>
      </c>
      <c r="Y66" s="384">
        <f t="shared" si="128"/>
        <v>2.2865853658536581E-2</v>
      </c>
    </row>
    <row r="67" spans="1:25" x14ac:dyDescent="0.35">
      <c r="A67" s="116" t="s">
        <v>15</v>
      </c>
      <c r="B67" s="22">
        <f t="shared" ref="B67:Y67" si="129">B30/$Z$30</f>
        <v>0.15384615384615385</v>
      </c>
      <c r="C67" s="22">
        <f t="shared" si="129"/>
        <v>0</v>
      </c>
      <c r="D67" s="22">
        <f t="shared" si="129"/>
        <v>0</v>
      </c>
      <c r="E67" s="22">
        <f t="shared" si="129"/>
        <v>0</v>
      </c>
      <c r="F67" s="22">
        <f t="shared" si="129"/>
        <v>0</v>
      </c>
      <c r="G67" s="22">
        <f t="shared" si="129"/>
        <v>0</v>
      </c>
      <c r="H67" s="22">
        <f t="shared" si="129"/>
        <v>0</v>
      </c>
      <c r="I67" s="22">
        <f t="shared" si="129"/>
        <v>0</v>
      </c>
      <c r="J67" s="22">
        <f t="shared" si="129"/>
        <v>0</v>
      </c>
      <c r="K67" s="22">
        <f t="shared" si="129"/>
        <v>0</v>
      </c>
      <c r="L67" s="22">
        <f t="shared" si="129"/>
        <v>0</v>
      </c>
      <c r="M67" s="22">
        <f t="shared" si="129"/>
        <v>0.28506787330316741</v>
      </c>
      <c r="N67" s="22">
        <f t="shared" si="129"/>
        <v>1.3574660633484163E-2</v>
      </c>
      <c r="O67" s="22">
        <f t="shared" si="129"/>
        <v>0.24208144796380093</v>
      </c>
      <c r="P67" s="22">
        <f t="shared" si="129"/>
        <v>0</v>
      </c>
      <c r="Q67" s="22">
        <f t="shared" si="129"/>
        <v>0</v>
      </c>
      <c r="R67" s="22">
        <f t="shared" si="129"/>
        <v>0.10859728506787331</v>
      </c>
      <c r="S67" s="22">
        <f t="shared" si="129"/>
        <v>0.10633484162895927</v>
      </c>
      <c r="T67" s="22">
        <f t="shared" si="129"/>
        <v>0</v>
      </c>
      <c r="U67" s="22">
        <f t="shared" si="129"/>
        <v>0</v>
      </c>
      <c r="V67" s="22">
        <f t="shared" si="129"/>
        <v>6.3348416289592771E-2</v>
      </c>
      <c r="W67" s="22">
        <f t="shared" si="129"/>
        <v>0</v>
      </c>
      <c r="X67" s="22">
        <f t="shared" si="129"/>
        <v>2.7149321266968326E-2</v>
      </c>
      <c r="Y67" s="385">
        <f t="shared" si="129"/>
        <v>0</v>
      </c>
    </row>
    <row r="68" spans="1:25" x14ac:dyDescent="0.35">
      <c r="A68" s="116" t="s">
        <v>70</v>
      </c>
      <c r="B68" s="22">
        <f t="shared" ref="B68:Y68" si="130">B35/$Z$35</f>
        <v>0</v>
      </c>
      <c r="C68" s="22">
        <f t="shared" si="130"/>
        <v>0</v>
      </c>
      <c r="D68" s="22">
        <f t="shared" si="130"/>
        <v>0</v>
      </c>
      <c r="E68" s="22">
        <f t="shared" si="130"/>
        <v>0</v>
      </c>
      <c r="F68" s="22">
        <f t="shared" si="130"/>
        <v>0</v>
      </c>
      <c r="G68" s="22">
        <f t="shared" si="130"/>
        <v>0</v>
      </c>
      <c r="H68" s="22">
        <f t="shared" si="130"/>
        <v>0</v>
      </c>
      <c r="I68" s="22">
        <f t="shared" si="130"/>
        <v>0</v>
      </c>
      <c r="J68" s="22">
        <f t="shared" si="130"/>
        <v>0</v>
      </c>
      <c r="K68" s="22">
        <f t="shared" si="130"/>
        <v>0</v>
      </c>
      <c r="L68" s="22">
        <f t="shared" si="130"/>
        <v>0</v>
      </c>
      <c r="M68" s="22">
        <f t="shared" si="130"/>
        <v>0</v>
      </c>
      <c r="N68" s="22">
        <f t="shared" si="130"/>
        <v>0</v>
      </c>
      <c r="O68" s="22">
        <f t="shared" si="130"/>
        <v>0</v>
      </c>
      <c r="P68" s="22">
        <f t="shared" si="130"/>
        <v>0</v>
      </c>
      <c r="Q68" s="22">
        <f t="shared" si="130"/>
        <v>0</v>
      </c>
      <c r="R68" s="22">
        <f t="shared" si="130"/>
        <v>0</v>
      </c>
      <c r="S68" s="22">
        <f t="shared" si="130"/>
        <v>0</v>
      </c>
      <c r="T68" s="22">
        <f t="shared" si="130"/>
        <v>0</v>
      </c>
      <c r="U68" s="22">
        <f t="shared" si="130"/>
        <v>0</v>
      </c>
      <c r="V68" s="22">
        <f t="shared" si="130"/>
        <v>0</v>
      </c>
      <c r="W68" s="22">
        <f t="shared" si="130"/>
        <v>0</v>
      </c>
      <c r="X68" s="22">
        <f t="shared" si="130"/>
        <v>0</v>
      </c>
      <c r="Y68" s="385">
        <f t="shared" si="130"/>
        <v>1</v>
      </c>
    </row>
    <row r="69" spans="1:25" x14ac:dyDescent="0.35">
      <c r="A69" s="116" t="s">
        <v>14</v>
      </c>
      <c r="B69" s="22">
        <f t="shared" ref="B69:Y69" si="131">B37/$Z$37</f>
        <v>0.88597847449695821</v>
      </c>
      <c r="C69" s="22">
        <f t="shared" si="131"/>
        <v>3.3692091717360845E-2</v>
      </c>
      <c r="D69" s="22">
        <f t="shared" si="131"/>
        <v>6.3079082826392237E-3</v>
      </c>
      <c r="E69" s="22">
        <f t="shared" si="131"/>
        <v>1.0744033692091737E-3</v>
      </c>
      <c r="F69" s="22">
        <f t="shared" si="131"/>
        <v>1.3065044454843261E-3</v>
      </c>
      <c r="G69" s="22">
        <f t="shared" si="131"/>
        <v>3.2306972391202672E-3</v>
      </c>
      <c r="H69" s="22">
        <f t="shared" si="131"/>
        <v>2.2386523163313091E-3</v>
      </c>
      <c r="I69" s="22">
        <f t="shared" si="131"/>
        <v>1.3626579316799274E-3</v>
      </c>
      <c r="J69" s="22">
        <f t="shared" si="131"/>
        <v>1.1941974730931232E-3</v>
      </c>
      <c r="K69" s="22">
        <f t="shared" si="131"/>
        <v>2.0851661207299992E-3</v>
      </c>
      <c r="L69" s="22">
        <f t="shared" si="131"/>
        <v>6.6261113710809659E-4</v>
      </c>
      <c r="M69" s="22">
        <f t="shared" si="131"/>
        <v>2.3434721572297658E-3</v>
      </c>
      <c r="N69" s="22">
        <f t="shared" si="131"/>
        <v>8.5727655591951476E-4</v>
      </c>
      <c r="O69" s="22">
        <f t="shared" si="131"/>
        <v>1.8118858212447387E-3</v>
      </c>
      <c r="P69" s="22">
        <f t="shared" si="131"/>
        <v>9.9953205428170481E-4</v>
      </c>
      <c r="Q69" s="22">
        <f t="shared" si="131"/>
        <v>2.7627515208235895E-3</v>
      </c>
      <c r="R69" s="22">
        <f t="shared" si="131"/>
        <v>9.1043518951801749E-3</v>
      </c>
      <c r="S69" s="22">
        <f t="shared" si="131"/>
        <v>9.5985025737014649E-3</v>
      </c>
      <c r="T69" s="22">
        <f t="shared" si="131"/>
        <v>9.2129153018250046E-3</v>
      </c>
      <c r="U69" s="22">
        <f t="shared" si="131"/>
        <v>8.2695367337389022E-3</v>
      </c>
      <c r="V69" s="22">
        <f t="shared" si="131"/>
        <v>6.431445952269548E-3</v>
      </c>
      <c r="W69" s="22">
        <f t="shared" si="131"/>
        <v>6.9817501169864406E-3</v>
      </c>
      <c r="X69" s="22">
        <f t="shared" si="131"/>
        <v>2.4932147870847022E-3</v>
      </c>
      <c r="Y69" s="385">
        <f t="shared" si="131"/>
        <v>0</v>
      </c>
    </row>
    <row r="70" spans="1:25" x14ac:dyDescent="0.35">
      <c r="A70" s="116" t="s">
        <v>17</v>
      </c>
      <c r="B70" s="22">
        <f t="shared" ref="B70:Y70" si="132">B42/$Z$42</f>
        <v>0</v>
      </c>
      <c r="C70" s="22">
        <f t="shared" si="132"/>
        <v>0</v>
      </c>
      <c r="D70" s="22">
        <f t="shared" si="132"/>
        <v>0</v>
      </c>
      <c r="E70" s="22">
        <f t="shared" si="132"/>
        <v>0</v>
      </c>
      <c r="F70" s="22">
        <f t="shared" si="132"/>
        <v>0</v>
      </c>
      <c r="G70" s="22">
        <f t="shared" si="132"/>
        <v>0</v>
      </c>
      <c r="H70" s="22">
        <f t="shared" si="132"/>
        <v>0</v>
      </c>
      <c r="I70" s="22">
        <f t="shared" si="132"/>
        <v>0</v>
      </c>
      <c r="J70" s="22">
        <f t="shared" si="132"/>
        <v>0</v>
      </c>
      <c r="K70" s="22">
        <f t="shared" si="132"/>
        <v>0</v>
      </c>
      <c r="L70" s="22">
        <f t="shared" si="132"/>
        <v>0</v>
      </c>
      <c r="M70" s="22">
        <f t="shared" si="132"/>
        <v>0</v>
      </c>
      <c r="N70" s="22">
        <f t="shared" si="132"/>
        <v>0</v>
      </c>
      <c r="O70" s="22">
        <f t="shared" si="132"/>
        <v>0.51851851851851849</v>
      </c>
      <c r="P70" s="22">
        <f t="shared" si="132"/>
        <v>0</v>
      </c>
      <c r="Q70" s="22">
        <f t="shared" si="132"/>
        <v>0</v>
      </c>
      <c r="R70" s="22">
        <f t="shared" si="132"/>
        <v>0.14814814814814814</v>
      </c>
      <c r="S70" s="22">
        <f t="shared" si="132"/>
        <v>0</v>
      </c>
      <c r="T70" s="22">
        <f t="shared" si="132"/>
        <v>0</v>
      </c>
      <c r="U70" s="22">
        <f t="shared" si="132"/>
        <v>0</v>
      </c>
      <c r="V70" s="22">
        <f t="shared" si="132"/>
        <v>0</v>
      </c>
      <c r="W70" s="22">
        <f t="shared" si="132"/>
        <v>0.25925925925925924</v>
      </c>
      <c r="X70" s="22">
        <f t="shared" si="132"/>
        <v>0</v>
      </c>
      <c r="Y70" s="384">
        <f t="shared" si="132"/>
        <v>7.407407407407407E-2</v>
      </c>
    </row>
    <row r="71" spans="1:25" x14ac:dyDescent="0.35">
      <c r="A71" s="116" t="s">
        <v>64</v>
      </c>
      <c r="B71" s="22">
        <f t="shared" ref="B71:Y71" si="133">B45/$Z$45</f>
        <v>9.3264248704663211E-2</v>
      </c>
      <c r="C71" s="22">
        <f t="shared" si="133"/>
        <v>0</v>
      </c>
      <c r="D71" s="22">
        <f t="shared" si="133"/>
        <v>0</v>
      </c>
      <c r="E71" s="22">
        <f t="shared" si="133"/>
        <v>0</v>
      </c>
      <c r="F71" s="22">
        <f t="shared" si="133"/>
        <v>0</v>
      </c>
      <c r="G71" s="22">
        <f t="shared" si="133"/>
        <v>0</v>
      </c>
      <c r="H71" s="22">
        <f t="shared" si="133"/>
        <v>0</v>
      </c>
      <c r="I71" s="22">
        <f t="shared" si="133"/>
        <v>0</v>
      </c>
      <c r="J71" s="22">
        <f t="shared" si="133"/>
        <v>0</v>
      </c>
      <c r="K71" s="22">
        <f t="shared" si="133"/>
        <v>9.3264248704663211E-2</v>
      </c>
      <c r="L71" s="22">
        <f t="shared" si="133"/>
        <v>0</v>
      </c>
      <c r="M71" s="22">
        <f t="shared" si="133"/>
        <v>0</v>
      </c>
      <c r="N71" s="22">
        <f t="shared" si="133"/>
        <v>0</v>
      </c>
      <c r="O71" s="22">
        <f t="shared" si="133"/>
        <v>0</v>
      </c>
      <c r="P71" s="22">
        <f t="shared" si="133"/>
        <v>0</v>
      </c>
      <c r="Q71" s="22">
        <f t="shared" si="133"/>
        <v>0</v>
      </c>
      <c r="R71" s="22">
        <f t="shared" si="133"/>
        <v>0</v>
      </c>
      <c r="S71" s="22">
        <f t="shared" si="133"/>
        <v>4.6632124352331605E-2</v>
      </c>
      <c r="T71" s="22">
        <f t="shared" si="133"/>
        <v>3.1088082901554404E-2</v>
      </c>
      <c r="U71" s="22">
        <f t="shared" si="133"/>
        <v>0.30569948186528495</v>
      </c>
      <c r="V71" s="22">
        <f t="shared" si="133"/>
        <v>9.3264248704663211E-2</v>
      </c>
      <c r="W71" s="22">
        <f t="shared" si="133"/>
        <v>0</v>
      </c>
      <c r="X71" s="22">
        <f t="shared" si="133"/>
        <v>0.10362694300518135</v>
      </c>
      <c r="Y71" s="384">
        <f t="shared" si="133"/>
        <v>0.23316062176165805</v>
      </c>
    </row>
    <row r="72" spans="1:25" x14ac:dyDescent="0.35">
      <c r="A72" s="116" t="s">
        <v>20</v>
      </c>
      <c r="B72" s="22">
        <f t="shared" ref="B72:Y72" si="134">B50/$Z$50</f>
        <v>0.47727272727272724</v>
      </c>
      <c r="C72" s="22">
        <f t="shared" si="134"/>
        <v>0</v>
      </c>
      <c r="D72" s="22">
        <f t="shared" si="134"/>
        <v>0</v>
      </c>
      <c r="E72" s="22">
        <f t="shared" si="134"/>
        <v>0</v>
      </c>
      <c r="F72" s="22">
        <f t="shared" si="134"/>
        <v>0</v>
      </c>
      <c r="G72" s="22">
        <f t="shared" si="134"/>
        <v>0</v>
      </c>
      <c r="H72" s="22">
        <f t="shared" si="134"/>
        <v>0</v>
      </c>
      <c r="I72" s="22">
        <f t="shared" si="134"/>
        <v>0</v>
      </c>
      <c r="J72" s="22">
        <f t="shared" si="134"/>
        <v>0</v>
      </c>
      <c r="K72" s="22">
        <f t="shared" si="134"/>
        <v>0</v>
      </c>
      <c r="L72" s="22">
        <f t="shared" si="134"/>
        <v>0</v>
      </c>
      <c r="M72" s="22">
        <f t="shared" si="134"/>
        <v>0</v>
      </c>
      <c r="N72" s="22">
        <f t="shared" si="134"/>
        <v>0</v>
      </c>
      <c r="O72" s="22">
        <f t="shared" si="134"/>
        <v>0</v>
      </c>
      <c r="P72" s="22">
        <f t="shared" si="134"/>
        <v>0</v>
      </c>
      <c r="Q72" s="22">
        <f t="shared" si="134"/>
        <v>0</v>
      </c>
      <c r="R72" s="22">
        <f t="shared" si="134"/>
        <v>0</v>
      </c>
      <c r="S72" s="22">
        <f t="shared" si="134"/>
        <v>0</v>
      </c>
      <c r="T72" s="22">
        <f t="shared" si="134"/>
        <v>0</v>
      </c>
      <c r="U72" s="22">
        <f t="shared" si="134"/>
        <v>0</v>
      </c>
      <c r="V72" s="22">
        <f t="shared" si="134"/>
        <v>0.52272727272727271</v>
      </c>
      <c r="W72" s="22">
        <f t="shared" si="134"/>
        <v>0</v>
      </c>
      <c r="X72" s="22">
        <f t="shared" si="134"/>
        <v>0</v>
      </c>
      <c r="Y72" s="385">
        <f t="shared" si="134"/>
        <v>0</v>
      </c>
    </row>
    <row r="73" spans="1:25" x14ac:dyDescent="0.35">
      <c r="A73" s="116" t="s">
        <v>23</v>
      </c>
      <c r="B73" s="22">
        <f t="shared" ref="B73:Y73" si="135">B52/$Z$52</f>
        <v>7.3855243722304273E-2</v>
      </c>
      <c r="C73" s="22">
        <f t="shared" si="135"/>
        <v>0</v>
      </c>
      <c r="D73" s="22">
        <f t="shared" si="135"/>
        <v>0</v>
      </c>
      <c r="E73" s="22">
        <f t="shared" si="135"/>
        <v>0</v>
      </c>
      <c r="F73" s="22">
        <f t="shared" si="135"/>
        <v>0</v>
      </c>
      <c r="G73" s="22">
        <f t="shared" si="135"/>
        <v>0</v>
      </c>
      <c r="H73" s="22">
        <f t="shared" si="135"/>
        <v>0</v>
      </c>
      <c r="I73" s="22">
        <f t="shared" si="135"/>
        <v>0</v>
      </c>
      <c r="J73" s="22">
        <f t="shared" si="135"/>
        <v>0</v>
      </c>
      <c r="K73" s="22">
        <f t="shared" si="135"/>
        <v>0</v>
      </c>
      <c r="L73" s="22">
        <f t="shared" si="135"/>
        <v>0</v>
      </c>
      <c r="M73" s="22">
        <f t="shared" si="135"/>
        <v>0</v>
      </c>
      <c r="N73" s="22">
        <f t="shared" si="135"/>
        <v>0</v>
      </c>
      <c r="O73" s="22">
        <f t="shared" si="135"/>
        <v>0</v>
      </c>
      <c r="P73" s="22">
        <f t="shared" si="135"/>
        <v>0</v>
      </c>
      <c r="Q73" s="22">
        <f t="shared" si="135"/>
        <v>9.7488921713441659E-2</v>
      </c>
      <c r="R73" s="22">
        <f t="shared" si="135"/>
        <v>2.9542097488921712E-2</v>
      </c>
      <c r="S73" s="22">
        <f t="shared" si="135"/>
        <v>0</v>
      </c>
      <c r="T73" s="22">
        <f t="shared" si="135"/>
        <v>0</v>
      </c>
      <c r="U73" s="22">
        <f t="shared" si="135"/>
        <v>0</v>
      </c>
      <c r="V73" s="22">
        <f t="shared" si="135"/>
        <v>0</v>
      </c>
      <c r="W73" s="22">
        <f t="shared" si="135"/>
        <v>0.10930576070901032</v>
      </c>
      <c r="X73" s="22">
        <f t="shared" si="135"/>
        <v>0.68685376661742981</v>
      </c>
      <c r="Y73" s="384">
        <f t="shared" si="135"/>
        <v>2.9542097488921711E-3</v>
      </c>
    </row>
    <row r="74" spans="1:25" x14ac:dyDescent="0.35">
      <c r="A74" s="116" t="s">
        <v>24</v>
      </c>
      <c r="B74" s="22">
        <f t="shared" ref="B74:Y74" si="136">B54/$Z$54</f>
        <v>0.79230769230769249</v>
      </c>
      <c r="C74" s="22">
        <f t="shared" si="136"/>
        <v>1.3461538461538462E-2</v>
      </c>
      <c r="D74" s="22">
        <f t="shared" si="136"/>
        <v>0</v>
      </c>
      <c r="E74" s="22">
        <f t="shared" si="136"/>
        <v>0</v>
      </c>
      <c r="F74" s="22">
        <f t="shared" si="136"/>
        <v>0</v>
      </c>
      <c r="G74" s="22">
        <f t="shared" si="136"/>
        <v>2.5000000000000001E-2</v>
      </c>
      <c r="H74" s="22">
        <f t="shared" si="136"/>
        <v>5.5769230769230772E-2</v>
      </c>
      <c r="I74" s="22">
        <f t="shared" si="136"/>
        <v>0</v>
      </c>
      <c r="J74" s="22">
        <f t="shared" si="136"/>
        <v>0</v>
      </c>
      <c r="K74" s="22">
        <f t="shared" si="136"/>
        <v>0</v>
      </c>
      <c r="L74" s="22">
        <f t="shared" si="136"/>
        <v>0</v>
      </c>
      <c r="M74" s="22">
        <f t="shared" si="136"/>
        <v>0</v>
      </c>
      <c r="N74" s="22">
        <f t="shared" si="136"/>
        <v>0</v>
      </c>
      <c r="O74" s="22">
        <f t="shared" si="136"/>
        <v>1.923076923076923E-3</v>
      </c>
      <c r="P74" s="22">
        <f t="shared" si="136"/>
        <v>7.6923076923076919E-3</v>
      </c>
      <c r="Q74" s="22">
        <f t="shared" si="136"/>
        <v>8.6538461538461536E-2</v>
      </c>
      <c r="R74" s="22">
        <f t="shared" si="136"/>
        <v>0</v>
      </c>
      <c r="S74" s="22">
        <f t="shared" si="136"/>
        <v>0</v>
      </c>
      <c r="T74" s="22">
        <f t="shared" si="136"/>
        <v>0</v>
      </c>
      <c r="U74" s="22">
        <f t="shared" si="136"/>
        <v>0</v>
      </c>
      <c r="V74" s="22">
        <f t="shared" si="136"/>
        <v>3.8461538461538459E-3</v>
      </c>
      <c r="W74" s="22">
        <f t="shared" si="136"/>
        <v>0</v>
      </c>
      <c r="X74" s="22">
        <f t="shared" si="136"/>
        <v>0</v>
      </c>
      <c r="Y74" s="384">
        <f t="shared" si="136"/>
        <v>1.3461538461538462E-2</v>
      </c>
    </row>
    <row r="75" spans="1:25" x14ac:dyDescent="0.35">
      <c r="A75" s="116" t="s">
        <v>25</v>
      </c>
      <c r="B75" s="22">
        <f t="shared" ref="B75:Y75" si="137">B58/$Z$58</f>
        <v>0.88798391881145633</v>
      </c>
      <c r="C75" s="22">
        <f t="shared" si="137"/>
        <v>3.0713934084798653E-2</v>
      </c>
      <c r="D75" s="22">
        <f t="shared" si="137"/>
        <v>5.3172689749189078E-3</v>
      </c>
      <c r="E75" s="22">
        <f t="shared" si="137"/>
        <v>9.3407217600949364E-4</v>
      </c>
      <c r="F75" s="22">
        <f t="shared" si="137"/>
        <v>1.1707458692551424E-3</v>
      </c>
      <c r="G75" s="22">
        <f t="shared" si="137"/>
        <v>2.773815684839003E-3</v>
      </c>
      <c r="H75" s="22">
        <f t="shared" si="137"/>
        <v>2.0290824634260282E-3</v>
      </c>
      <c r="I75" s="22">
        <f t="shared" si="137"/>
        <v>1.1486563245522153E-3</v>
      </c>
      <c r="J75" s="22">
        <f t="shared" si="137"/>
        <v>1.3348396299054587E-3</v>
      </c>
      <c r="K75" s="22">
        <f t="shared" si="137"/>
        <v>1.8144983148833068E-3</v>
      </c>
      <c r="L75" s="22">
        <f t="shared" si="137"/>
        <v>6.5953069184454104E-4</v>
      </c>
      <c r="M75" s="22">
        <f t="shared" si="137"/>
        <v>2.6475897151079907E-3</v>
      </c>
      <c r="N75" s="22">
        <f t="shared" si="137"/>
        <v>7.4157757216969942E-4</v>
      </c>
      <c r="O75" s="22">
        <f t="shared" si="137"/>
        <v>4.0928770685280842E-3</v>
      </c>
      <c r="P75" s="22">
        <f t="shared" si="137"/>
        <v>1.8965451952084648E-3</v>
      </c>
      <c r="Q75" s="22">
        <f t="shared" si="137"/>
        <v>2.8274617219746839E-3</v>
      </c>
      <c r="R75" s="22">
        <f t="shared" si="137"/>
        <v>7.9806369362432749E-3</v>
      </c>
      <c r="S75" s="22">
        <f t="shared" si="137"/>
        <v>8.2678010173813272E-3</v>
      </c>
      <c r="T75" s="22">
        <f t="shared" si="137"/>
        <v>8.8358178811708855E-3</v>
      </c>
      <c r="U75" s="22">
        <f t="shared" si="137"/>
        <v>8.5675876954924846E-3</v>
      </c>
      <c r="V75" s="22">
        <f t="shared" si="137"/>
        <v>6.1251151811973882E-3</v>
      </c>
      <c r="W75" s="22">
        <f t="shared" si="137"/>
        <v>7.3084836474256324E-3</v>
      </c>
      <c r="X75" s="22">
        <f t="shared" si="137"/>
        <v>4.2885273216111547E-3</v>
      </c>
      <c r="Y75" s="384">
        <f t="shared" si="137"/>
        <v>5.3961602060007918E-4</v>
      </c>
    </row>
    <row r="76" spans="1:25" ht="18.5" x14ac:dyDescent="0.45">
      <c r="A76" s="284"/>
      <c r="B76" s="223"/>
    </row>
    <row r="77" spans="1:25" ht="18.5" x14ac:dyDescent="0.45">
      <c r="A77" s="284"/>
      <c r="B77" s="223"/>
    </row>
    <row r="78" spans="1:25" ht="18.5" x14ac:dyDescent="0.45">
      <c r="A78" s="284" t="s">
        <v>75</v>
      </c>
      <c r="B78" s="223"/>
    </row>
    <row r="79" spans="1:25" ht="15.5" x14ac:dyDescent="0.35">
      <c r="A79" s="237" t="s">
        <v>136</v>
      </c>
    </row>
    <row r="81" spans="1:44" ht="52" x14ac:dyDescent="0.35">
      <c r="A81" s="214" t="s">
        <v>88</v>
      </c>
      <c r="B81" s="198" t="s">
        <v>89</v>
      </c>
      <c r="C81" s="198">
        <v>2000</v>
      </c>
      <c r="D81" s="198">
        <v>2001</v>
      </c>
      <c r="E81" s="198">
        <v>2002</v>
      </c>
      <c r="F81" s="198">
        <v>2003</v>
      </c>
      <c r="G81" s="198">
        <v>2004</v>
      </c>
      <c r="H81" s="198">
        <v>2005</v>
      </c>
      <c r="I81" s="198">
        <v>2006</v>
      </c>
      <c r="J81" s="198">
        <v>2007</v>
      </c>
      <c r="K81" s="198">
        <v>2008</v>
      </c>
      <c r="L81" s="198">
        <v>2009</v>
      </c>
      <c r="M81" s="198">
        <v>2010</v>
      </c>
      <c r="N81" s="198">
        <v>2011</v>
      </c>
      <c r="O81" s="198">
        <v>2012</v>
      </c>
      <c r="P81" s="198">
        <v>2013</v>
      </c>
      <c r="Q81" s="198">
        <v>2014</v>
      </c>
      <c r="R81" s="198">
        <v>2015</v>
      </c>
      <c r="S81" s="198">
        <v>2016</v>
      </c>
      <c r="T81" s="198">
        <v>2017</v>
      </c>
      <c r="U81" s="198">
        <v>2018</v>
      </c>
      <c r="V81" s="198">
        <v>2019</v>
      </c>
      <c r="W81" s="198">
        <v>2020</v>
      </c>
      <c r="X81" s="198">
        <v>2021</v>
      </c>
      <c r="Y81" s="198" t="s">
        <v>90</v>
      </c>
      <c r="Z81" s="198" t="s">
        <v>91</v>
      </c>
      <c r="AA81" s="199" t="s">
        <v>92</v>
      </c>
      <c r="AC81" s="127" t="s">
        <v>110</v>
      </c>
      <c r="AD81" s="127" t="s">
        <v>108</v>
      </c>
      <c r="AE81" s="127" t="s">
        <v>94</v>
      </c>
      <c r="AF81" s="127" t="s">
        <v>96</v>
      </c>
      <c r="AG81" s="127" t="s">
        <v>97</v>
      </c>
    </row>
    <row r="82" spans="1:44" x14ac:dyDescent="0.35">
      <c r="A82" s="11" t="s">
        <v>5</v>
      </c>
      <c r="B82" s="119">
        <f t="shared" ref="B82:Z82" si="138">SUM(B197+B313)</f>
        <v>0</v>
      </c>
      <c r="C82" s="119">
        <f t="shared" si="138"/>
        <v>0</v>
      </c>
      <c r="D82" s="119">
        <f t="shared" si="138"/>
        <v>0</v>
      </c>
      <c r="E82" s="119">
        <f t="shared" si="138"/>
        <v>0</v>
      </c>
      <c r="F82" s="119">
        <f t="shared" si="138"/>
        <v>0</v>
      </c>
      <c r="G82" s="119">
        <f t="shared" si="138"/>
        <v>0</v>
      </c>
      <c r="H82" s="119">
        <f t="shared" si="138"/>
        <v>0</v>
      </c>
      <c r="I82" s="119">
        <f t="shared" si="138"/>
        <v>0</v>
      </c>
      <c r="J82" s="119">
        <f t="shared" si="138"/>
        <v>0</v>
      </c>
      <c r="K82" s="119">
        <f t="shared" si="138"/>
        <v>0</v>
      </c>
      <c r="L82" s="119">
        <f t="shared" si="138"/>
        <v>0</v>
      </c>
      <c r="M82" s="119">
        <f t="shared" si="138"/>
        <v>0</v>
      </c>
      <c r="N82" s="119">
        <f t="shared" si="138"/>
        <v>0</v>
      </c>
      <c r="O82" s="119">
        <f t="shared" si="138"/>
        <v>0</v>
      </c>
      <c r="P82" s="119">
        <f t="shared" si="138"/>
        <v>0</v>
      </c>
      <c r="Q82" s="119">
        <f t="shared" si="138"/>
        <v>0</v>
      </c>
      <c r="R82" s="119">
        <f t="shared" si="138"/>
        <v>0</v>
      </c>
      <c r="S82" s="119">
        <f t="shared" si="138"/>
        <v>0</v>
      </c>
      <c r="T82" s="119">
        <f t="shared" si="138"/>
        <v>0</v>
      </c>
      <c r="U82" s="119">
        <f t="shared" si="138"/>
        <v>0.43</v>
      </c>
      <c r="V82" s="119">
        <f t="shared" si="138"/>
        <v>0</v>
      </c>
      <c r="W82" s="119">
        <f t="shared" si="138"/>
        <v>0</v>
      </c>
      <c r="X82" s="119">
        <f t="shared" si="138"/>
        <v>0</v>
      </c>
      <c r="Y82" s="119">
        <f t="shared" si="138"/>
        <v>0</v>
      </c>
      <c r="Z82" s="119">
        <f t="shared" si="138"/>
        <v>0.43</v>
      </c>
      <c r="AA82" s="143">
        <f t="shared" ref="AA82:AA109" si="139">Z82/$Z$109</f>
        <v>6.3782794368720793E-5</v>
      </c>
      <c r="AC82" s="119">
        <f t="shared" ref="AC82:AC109" si="140">SUM(B82:U82)</f>
        <v>0.43</v>
      </c>
      <c r="AD82" s="119">
        <f t="shared" ref="AD82:AD109" si="141">SUM(V82:X82)</f>
        <v>0</v>
      </c>
      <c r="AE82" s="119">
        <f>Y82</f>
        <v>0</v>
      </c>
      <c r="AF82" s="119">
        <f t="shared" ref="AF82:AF109" si="142">SUM(AC82:AE82)</f>
        <v>0.43</v>
      </c>
      <c r="AG82" s="143">
        <f>AD82/AF82</f>
        <v>0</v>
      </c>
    </row>
    <row r="83" spans="1:44" x14ac:dyDescent="0.35">
      <c r="A83" s="6" t="s">
        <v>8</v>
      </c>
      <c r="B83" s="12">
        <f t="shared" ref="B83:Z83" si="143">SUM(B198+B314)</f>
        <v>0</v>
      </c>
      <c r="C83" s="12">
        <f t="shared" si="143"/>
        <v>0</v>
      </c>
      <c r="D83" s="12">
        <f t="shared" si="143"/>
        <v>0</v>
      </c>
      <c r="E83" s="12">
        <f t="shared" si="143"/>
        <v>0</v>
      </c>
      <c r="F83" s="12">
        <f t="shared" si="143"/>
        <v>0</v>
      </c>
      <c r="G83" s="12">
        <f t="shared" si="143"/>
        <v>0</v>
      </c>
      <c r="H83" s="12">
        <f t="shared" si="143"/>
        <v>0</v>
      </c>
      <c r="I83" s="12">
        <f t="shared" si="143"/>
        <v>0</v>
      </c>
      <c r="J83" s="12">
        <f t="shared" si="143"/>
        <v>0</v>
      </c>
      <c r="K83" s="12">
        <f t="shared" si="143"/>
        <v>0</v>
      </c>
      <c r="L83" s="12">
        <f t="shared" si="143"/>
        <v>0</v>
      </c>
      <c r="M83" s="12">
        <f t="shared" si="143"/>
        <v>0</v>
      </c>
      <c r="N83" s="12">
        <f t="shared" si="143"/>
        <v>0</v>
      </c>
      <c r="O83" s="12">
        <f t="shared" si="143"/>
        <v>0</v>
      </c>
      <c r="P83" s="12">
        <f t="shared" si="143"/>
        <v>0</v>
      </c>
      <c r="Q83" s="12">
        <f t="shared" si="143"/>
        <v>0</v>
      </c>
      <c r="R83" s="12">
        <f t="shared" si="143"/>
        <v>0</v>
      </c>
      <c r="S83" s="12">
        <f t="shared" si="143"/>
        <v>0</v>
      </c>
      <c r="T83" s="12">
        <f t="shared" si="143"/>
        <v>0</v>
      </c>
      <c r="U83" s="12">
        <f t="shared" si="143"/>
        <v>0.43</v>
      </c>
      <c r="V83" s="12">
        <f t="shared" si="143"/>
        <v>0</v>
      </c>
      <c r="W83" s="12">
        <f t="shared" si="143"/>
        <v>0</v>
      </c>
      <c r="X83" s="12">
        <f t="shared" si="143"/>
        <v>0</v>
      </c>
      <c r="Y83" s="12">
        <f t="shared" si="143"/>
        <v>0</v>
      </c>
      <c r="Z83" s="12">
        <f t="shared" si="143"/>
        <v>0.43</v>
      </c>
      <c r="AA83" s="24">
        <f t="shared" si="139"/>
        <v>6.3782794368720793E-5</v>
      </c>
      <c r="AC83" s="12">
        <f t="shared" si="140"/>
        <v>0.43</v>
      </c>
      <c r="AD83" s="12">
        <f t="shared" si="141"/>
        <v>0</v>
      </c>
      <c r="AE83" s="12">
        <f t="shared" ref="AE83:AE109" si="144">Y83</f>
        <v>0</v>
      </c>
      <c r="AF83" s="12">
        <f t="shared" si="142"/>
        <v>0.43</v>
      </c>
      <c r="AG83" s="22">
        <f>AD83/AF83</f>
        <v>0</v>
      </c>
    </row>
    <row r="84" spans="1:44" x14ac:dyDescent="0.35">
      <c r="A84" s="11" t="s">
        <v>12</v>
      </c>
      <c r="B84" s="119">
        <f t="shared" ref="B84:Z84" si="145">SUM(B199+B315)</f>
        <v>0.15</v>
      </c>
      <c r="C84" s="119">
        <f t="shared" si="145"/>
        <v>0</v>
      </c>
      <c r="D84" s="119">
        <f t="shared" si="145"/>
        <v>6.51</v>
      </c>
      <c r="E84" s="119">
        <f t="shared" si="145"/>
        <v>0</v>
      </c>
      <c r="F84" s="119">
        <f t="shared" si="145"/>
        <v>0</v>
      </c>
      <c r="G84" s="119">
        <f t="shared" si="145"/>
        <v>0.47</v>
      </c>
      <c r="H84" s="119">
        <f t="shared" si="145"/>
        <v>0.09</v>
      </c>
      <c r="I84" s="119">
        <f t="shared" si="145"/>
        <v>0</v>
      </c>
      <c r="J84" s="119">
        <f t="shared" si="145"/>
        <v>0</v>
      </c>
      <c r="K84" s="119">
        <f t="shared" si="145"/>
        <v>0.28000000000000003</v>
      </c>
      <c r="L84" s="119">
        <f t="shared" si="145"/>
        <v>0</v>
      </c>
      <c r="M84" s="119">
        <f t="shared" si="145"/>
        <v>0</v>
      </c>
      <c r="N84" s="119">
        <f t="shared" si="145"/>
        <v>0</v>
      </c>
      <c r="O84" s="119">
        <f t="shared" si="145"/>
        <v>0</v>
      </c>
      <c r="P84" s="119">
        <f t="shared" si="145"/>
        <v>0</v>
      </c>
      <c r="Q84" s="119">
        <f t="shared" si="145"/>
        <v>0</v>
      </c>
      <c r="R84" s="119">
        <f t="shared" si="145"/>
        <v>0</v>
      </c>
      <c r="S84" s="119">
        <f t="shared" si="145"/>
        <v>0</v>
      </c>
      <c r="T84" s="119">
        <f t="shared" si="145"/>
        <v>0.33</v>
      </c>
      <c r="U84" s="119">
        <f t="shared" si="145"/>
        <v>0</v>
      </c>
      <c r="V84" s="119">
        <f t="shared" si="145"/>
        <v>0</v>
      </c>
      <c r="W84" s="119">
        <f t="shared" si="145"/>
        <v>1.32</v>
      </c>
      <c r="X84" s="119">
        <f t="shared" si="145"/>
        <v>0.26</v>
      </c>
      <c r="Y84" s="119">
        <f t="shared" si="145"/>
        <v>0.01</v>
      </c>
      <c r="Z84" s="119">
        <f t="shared" si="145"/>
        <v>9.42</v>
      </c>
      <c r="AA84" s="143">
        <f t="shared" si="139"/>
        <v>1.3972881929147673E-3</v>
      </c>
      <c r="AC84" s="119">
        <f t="shared" si="140"/>
        <v>7.83</v>
      </c>
      <c r="AD84" s="119">
        <f t="shared" si="141"/>
        <v>1.58</v>
      </c>
      <c r="AE84" s="119">
        <f t="shared" si="144"/>
        <v>0.01</v>
      </c>
      <c r="AF84" s="119">
        <f t="shared" si="142"/>
        <v>9.42</v>
      </c>
      <c r="AG84" s="143">
        <f>AD84/AF84</f>
        <v>0.16772823779193208</v>
      </c>
    </row>
    <row r="85" spans="1:44" x14ac:dyDescent="0.35">
      <c r="A85" s="6" t="s">
        <v>31</v>
      </c>
      <c r="B85" s="12">
        <f t="shared" ref="B85:Z85" si="146">SUM(B200+B316)</f>
        <v>0.01</v>
      </c>
      <c r="C85" s="12">
        <f t="shared" si="146"/>
        <v>0</v>
      </c>
      <c r="D85" s="12">
        <f t="shared" si="146"/>
        <v>0</v>
      </c>
      <c r="E85" s="12">
        <f t="shared" si="146"/>
        <v>0</v>
      </c>
      <c r="F85" s="12">
        <f t="shared" si="146"/>
        <v>0</v>
      </c>
      <c r="G85" s="12">
        <f t="shared" si="146"/>
        <v>0.47</v>
      </c>
      <c r="H85" s="12">
        <f t="shared" si="146"/>
        <v>0</v>
      </c>
      <c r="I85" s="12">
        <f t="shared" si="146"/>
        <v>0</v>
      </c>
      <c r="J85" s="12">
        <f t="shared" si="146"/>
        <v>0</v>
      </c>
      <c r="K85" s="12">
        <f t="shared" si="146"/>
        <v>0</v>
      </c>
      <c r="L85" s="12">
        <f t="shared" si="146"/>
        <v>0</v>
      </c>
      <c r="M85" s="12">
        <f t="shared" si="146"/>
        <v>0</v>
      </c>
      <c r="N85" s="12">
        <f t="shared" si="146"/>
        <v>0</v>
      </c>
      <c r="O85" s="12">
        <f t="shared" si="146"/>
        <v>0</v>
      </c>
      <c r="P85" s="12">
        <f t="shared" si="146"/>
        <v>0</v>
      </c>
      <c r="Q85" s="12">
        <f t="shared" si="146"/>
        <v>0</v>
      </c>
      <c r="R85" s="12">
        <f t="shared" si="146"/>
        <v>0</v>
      </c>
      <c r="S85" s="12">
        <f t="shared" si="146"/>
        <v>0</v>
      </c>
      <c r="T85" s="12">
        <f t="shared" si="146"/>
        <v>0</v>
      </c>
      <c r="U85" s="12">
        <f t="shared" si="146"/>
        <v>0</v>
      </c>
      <c r="V85" s="12">
        <f t="shared" si="146"/>
        <v>0</v>
      </c>
      <c r="W85" s="12">
        <f t="shared" si="146"/>
        <v>1.32</v>
      </c>
      <c r="X85" s="12">
        <f t="shared" si="146"/>
        <v>0</v>
      </c>
      <c r="Y85" s="12">
        <f t="shared" si="146"/>
        <v>0.01</v>
      </c>
      <c r="Z85" s="12">
        <f t="shared" si="146"/>
        <v>1.81</v>
      </c>
      <c r="AA85" s="24">
        <f t="shared" si="139"/>
        <v>2.6848106466833638E-4</v>
      </c>
      <c r="AC85" s="12">
        <f t="shared" si="140"/>
        <v>0.48</v>
      </c>
      <c r="AD85" s="12">
        <f t="shared" si="141"/>
        <v>1.32</v>
      </c>
      <c r="AE85" s="12">
        <f t="shared" si="144"/>
        <v>0.01</v>
      </c>
      <c r="AF85" s="12">
        <f t="shared" si="142"/>
        <v>1.81</v>
      </c>
      <c r="AG85" s="22">
        <f>AD85/AF85</f>
        <v>0.72928176795580113</v>
      </c>
    </row>
    <row r="86" spans="1:44" x14ac:dyDescent="0.35">
      <c r="A86" s="6" t="s">
        <v>32</v>
      </c>
      <c r="B86" s="12">
        <f t="shared" ref="B86:Z86" si="147">SUM(B201+B317)</f>
        <v>0.14000000000000001</v>
      </c>
      <c r="C86" s="12">
        <f t="shared" si="147"/>
        <v>0</v>
      </c>
      <c r="D86" s="12">
        <f t="shared" si="147"/>
        <v>6.51</v>
      </c>
      <c r="E86" s="12">
        <f t="shared" si="147"/>
        <v>0</v>
      </c>
      <c r="F86" s="12">
        <f t="shared" si="147"/>
        <v>0</v>
      </c>
      <c r="G86" s="12">
        <f t="shared" si="147"/>
        <v>0</v>
      </c>
      <c r="H86" s="12">
        <f t="shared" si="147"/>
        <v>0</v>
      </c>
      <c r="I86" s="12">
        <f t="shared" si="147"/>
        <v>0</v>
      </c>
      <c r="J86" s="12">
        <f t="shared" si="147"/>
        <v>0</v>
      </c>
      <c r="K86" s="12">
        <f t="shared" si="147"/>
        <v>0</v>
      </c>
      <c r="L86" s="12">
        <f t="shared" si="147"/>
        <v>0</v>
      </c>
      <c r="M86" s="12">
        <f t="shared" si="147"/>
        <v>0</v>
      </c>
      <c r="N86" s="12">
        <f t="shared" si="147"/>
        <v>0</v>
      </c>
      <c r="O86" s="12">
        <f t="shared" si="147"/>
        <v>0</v>
      </c>
      <c r="P86" s="12">
        <f t="shared" si="147"/>
        <v>0</v>
      </c>
      <c r="Q86" s="12">
        <f t="shared" si="147"/>
        <v>0</v>
      </c>
      <c r="R86" s="12">
        <f t="shared" si="147"/>
        <v>0</v>
      </c>
      <c r="S86" s="12">
        <f t="shared" si="147"/>
        <v>0</v>
      </c>
      <c r="T86" s="12">
        <f t="shared" si="147"/>
        <v>0</v>
      </c>
      <c r="U86" s="12">
        <f t="shared" si="147"/>
        <v>0</v>
      </c>
      <c r="V86" s="12">
        <f t="shared" si="147"/>
        <v>0</v>
      </c>
      <c r="W86" s="12">
        <f t="shared" si="147"/>
        <v>0</v>
      </c>
      <c r="X86" s="12">
        <f t="shared" si="147"/>
        <v>0</v>
      </c>
      <c r="Y86" s="12">
        <f t="shared" si="147"/>
        <v>0</v>
      </c>
      <c r="Z86" s="12">
        <f t="shared" si="147"/>
        <v>6.6499999999999995</v>
      </c>
      <c r="AA86" s="24">
        <f t="shared" si="139"/>
        <v>9.8640833151626348E-4</v>
      </c>
      <c r="AC86" s="12">
        <f t="shared" si="140"/>
        <v>6.6499999999999995</v>
      </c>
      <c r="AD86" s="12">
        <f t="shared" si="141"/>
        <v>0</v>
      </c>
      <c r="AE86" s="12">
        <f t="shared" si="144"/>
        <v>0</v>
      </c>
      <c r="AF86" s="12">
        <f t="shared" si="142"/>
        <v>6.6499999999999995</v>
      </c>
      <c r="AG86" s="22">
        <f t="shared" ref="AG86:AG101" si="148">AD86/AF86</f>
        <v>0</v>
      </c>
    </row>
    <row r="87" spans="1:44" x14ac:dyDescent="0.35">
      <c r="A87" s="6" t="s">
        <v>33</v>
      </c>
      <c r="B87" s="12">
        <f t="shared" ref="B87:Z87" si="149">SUM(B202+B318)</f>
        <v>0</v>
      </c>
      <c r="C87" s="12">
        <f t="shared" si="149"/>
        <v>0</v>
      </c>
      <c r="D87" s="12">
        <f t="shared" si="149"/>
        <v>0</v>
      </c>
      <c r="E87" s="12">
        <f t="shared" si="149"/>
        <v>0</v>
      </c>
      <c r="F87" s="12">
        <f t="shared" si="149"/>
        <v>0</v>
      </c>
      <c r="G87" s="12">
        <f t="shared" si="149"/>
        <v>0</v>
      </c>
      <c r="H87" s="12">
        <f t="shared" si="149"/>
        <v>0.09</v>
      </c>
      <c r="I87" s="12">
        <f t="shared" si="149"/>
        <v>0</v>
      </c>
      <c r="J87" s="12">
        <f t="shared" si="149"/>
        <v>0</v>
      </c>
      <c r="K87" s="12">
        <f t="shared" si="149"/>
        <v>0.28000000000000003</v>
      </c>
      <c r="L87" s="12">
        <f t="shared" si="149"/>
        <v>0</v>
      </c>
      <c r="M87" s="12">
        <f t="shared" si="149"/>
        <v>0</v>
      </c>
      <c r="N87" s="12">
        <f t="shared" si="149"/>
        <v>0</v>
      </c>
      <c r="O87" s="12">
        <f t="shared" si="149"/>
        <v>0</v>
      </c>
      <c r="P87" s="12">
        <f t="shared" si="149"/>
        <v>0</v>
      </c>
      <c r="Q87" s="12">
        <f t="shared" si="149"/>
        <v>0</v>
      </c>
      <c r="R87" s="12">
        <f t="shared" si="149"/>
        <v>0</v>
      </c>
      <c r="S87" s="12">
        <f t="shared" si="149"/>
        <v>0</v>
      </c>
      <c r="T87" s="12">
        <f t="shared" si="149"/>
        <v>0.33</v>
      </c>
      <c r="U87" s="12">
        <f t="shared" si="149"/>
        <v>0</v>
      </c>
      <c r="V87" s="12">
        <f t="shared" si="149"/>
        <v>0</v>
      </c>
      <c r="W87" s="12">
        <f t="shared" si="149"/>
        <v>0</v>
      </c>
      <c r="X87" s="12">
        <f t="shared" si="149"/>
        <v>0.26</v>
      </c>
      <c r="Y87" s="12">
        <f t="shared" si="149"/>
        <v>0</v>
      </c>
      <c r="Z87" s="12">
        <f t="shared" si="149"/>
        <v>0.96</v>
      </c>
      <c r="AA87" s="24">
        <f t="shared" si="139"/>
        <v>1.4239879673016734E-4</v>
      </c>
      <c r="AC87" s="12">
        <f t="shared" si="140"/>
        <v>0.7</v>
      </c>
      <c r="AD87" s="12">
        <f t="shared" si="141"/>
        <v>0.26</v>
      </c>
      <c r="AE87" s="12">
        <f t="shared" si="144"/>
        <v>0</v>
      </c>
      <c r="AF87" s="12">
        <f t="shared" si="142"/>
        <v>0.96</v>
      </c>
      <c r="AG87" s="22">
        <f t="shared" si="148"/>
        <v>0.27083333333333337</v>
      </c>
    </row>
    <row r="88" spans="1:44" x14ac:dyDescent="0.35">
      <c r="A88" s="11" t="s">
        <v>13</v>
      </c>
      <c r="B88" s="119">
        <f t="shared" ref="B88:Z88" si="150">SUM(B203+B319)</f>
        <v>10.870000000000001</v>
      </c>
      <c r="C88" s="119">
        <f t="shared" si="150"/>
        <v>0</v>
      </c>
      <c r="D88" s="119">
        <f t="shared" si="150"/>
        <v>0</v>
      </c>
      <c r="E88" s="119">
        <f t="shared" si="150"/>
        <v>0</v>
      </c>
      <c r="F88" s="119">
        <f t="shared" si="150"/>
        <v>0</v>
      </c>
      <c r="G88" s="119">
        <f t="shared" si="150"/>
        <v>0</v>
      </c>
      <c r="H88" s="119">
        <f t="shared" si="150"/>
        <v>0</v>
      </c>
      <c r="I88" s="119">
        <f t="shared" si="150"/>
        <v>0</v>
      </c>
      <c r="J88" s="119">
        <f t="shared" si="150"/>
        <v>0</v>
      </c>
      <c r="K88" s="119">
        <f t="shared" si="150"/>
        <v>0</v>
      </c>
      <c r="L88" s="119">
        <f t="shared" si="150"/>
        <v>0</v>
      </c>
      <c r="M88" s="119">
        <f t="shared" si="150"/>
        <v>0</v>
      </c>
      <c r="N88" s="119">
        <f t="shared" si="150"/>
        <v>0</v>
      </c>
      <c r="O88" s="119">
        <f t="shared" si="150"/>
        <v>0</v>
      </c>
      <c r="P88" s="119">
        <f t="shared" si="150"/>
        <v>0</v>
      </c>
      <c r="Q88" s="119">
        <f t="shared" si="150"/>
        <v>0</v>
      </c>
      <c r="R88" s="119">
        <f t="shared" si="150"/>
        <v>0</v>
      </c>
      <c r="S88" s="119">
        <f t="shared" si="150"/>
        <v>0</v>
      </c>
      <c r="T88" s="119">
        <f t="shared" si="150"/>
        <v>0</v>
      </c>
      <c r="U88" s="119">
        <f t="shared" si="150"/>
        <v>0</v>
      </c>
      <c r="V88" s="119">
        <f t="shared" si="150"/>
        <v>0</v>
      </c>
      <c r="W88" s="119">
        <f t="shared" si="150"/>
        <v>0.04</v>
      </c>
      <c r="X88" s="119">
        <f t="shared" si="150"/>
        <v>0</v>
      </c>
      <c r="Y88" s="119">
        <f t="shared" si="150"/>
        <v>0</v>
      </c>
      <c r="Z88" s="119">
        <f t="shared" si="150"/>
        <v>10.91</v>
      </c>
      <c r="AA88" s="143">
        <f t="shared" si="139"/>
        <v>1.6183029920063812E-3</v>
      </c>
      <c r="AC88" s="119">
        <f t="shared" si="140"/>
        <v>10.870000000000001</v>
      </c>
      <c r="AD88" s="119">
        <f t="shared" si="141"/>
        <v>0.04</v>
      </c>
      <c r="AE88" s="119">
        <f t="shared" si="144"/>
        <v>0</v>
      </c>
      <c r="AF88" s="119">
        <f t="shared" si="142"/>
        <v>10.91</v>
      </c>
      <c r="AG88" s="143">
        <f t="shared" si="148"/>
        <v>3.6663611365719525E-3</v>
      </c>
    </row>
    <row r="89" spans="1:44" x14ac:dyDescent="0.35">
      <c r="A89" s="6" t="s">
        <v>61</v>
      </c>
      <c r="B89" s="12">
        <f t="shared" ref="B89:Z89" si="151">SUM(B204+B320)</f>
        <v>10.870000000000001</v>
      </c>
      <c r="C89" s="12">
        <f t="shared" si="151"/>
        <v>0</v>
      </c>
      <c r="D89" s="12">
        <f t="shared" si="151"/>
        <v>0</v>
      </c>
      <c r="E89" s="12">
        <f t="shared" si="151"/>
        <v>0</v>
      </c>
      <c r="F89" s="12">
        <f t="shared" si="151"/>
        <v>0</v>
      </c>
      <c r="G89" s="12">
        <f t="shared" si="151"/>
        <v>0</v>
      </c>
      <c r="H89" s="12">
        <f t="shared" si="151"/>
        <v>0</v>
      </c>
      <c r="I89" s="12">
        <f t="shared" si="151"/>
        <v>0</v>
      </c>
      <c r="J89" s="12">
        <f t="shared" si="151"/>
        <v>0</v>
      </c>
      <c r="K89" s="12">
        <f t="shared" si="151"/>
        <v>0</v>
      </c>
      <c r="L89" s="12">
        <f t="shared" si="151"/>
        <v>0</v>
      </c>
      <c r="M89" s="12">
        <f t="shared" si="151"/>
        <v>0</v>
      </c>
      <c r="N89" s="12">
        <f t="shared" si="151"/>
        <v>0</v>
      </c>
      <c r="O89" s="12">
        <f t="shared" si="151"/>
        <v>0</v>
      </c>
      <c r="P89" s="12">
        <f t="shared" si="151"/>
        <v>0</v>
      </c>
      <c r="Q89" s="12">
        <f t="shared" si="151"/>
        <v>0</v>
      </c>
      <c r="R89" s="12">
        <f t="shared" si="151"/>
        <v>0</v>
      </c>
      <c r="S89" s="12">
        <f t="shared" si="151"/>
        <v>0</v>
      </c>
      <c r="T89" s="12">
        <f t="shared" si="151"/>
        <v>0</v>
      </c>
      <c r="U89" s="12">
        <f t="shared" si="151"/>
        <v>0</v>
      </c>
      <c r="V89" s="12">
        <f t="shared" si="151"/>
        <v>0</v>
      </c>
      <c r="W89" s="12">
        <f t="shared" si="151"/>
        <v>0</v>
      </c>
      <c r="X89" s="12">
        <f t="shared" si="151"/>
        <v>0</v>
      </c>
      <c r="Y89" s="12">
        <f t="shared" si="151"/>
        <v>0</v>
      </c>
      <c r="Z89" s="12">
        <f t="shared" si="151"/>
        <v>10.870000000000001</v>
      </c>
      <c r="AA89" s="24">
        <f t="shared" si="139"/>
        <v>1.612369708809291E-3</v>
      </c>
      <c r="AC89" s="12">
        <f t="shared" si="140"/>
        <v>10.870000000000001</v>
      </c>
      <c r="AD89" s="12">
        <f t="shared" si="141"/>
        <v>0</v>
      </c>
      <c r="AE89" s="12">
        <f t="shared" si="144"/>
        <v>0</v>
      </c>
      <c r="AF89" s="12">
        <f t="shared" si="142"/>
        <v>10.870000000000001</v>
      </c>
      <c r="AG89" s="22">
        <f t="shared" si="148"/>
        <v>0</v>
      </c>
    </row>
    <row r="90" spans="1:44" x14ac:dyDescent="0.35">
      <c r="A90" s="6" t="s">
        <v>36</v>
      </c>
      <c r="B90" s="12">
        <f t="shared" ref="B90:Z90" si="152">SUM(B205+B321)</f>
        <v>0</v>
      </c>
      <c r="C90" s="12">
        <f t="shared" si="152"/>
        <v>0</v>
      </c>
      <c r="D90" s="12">
        <f t="shared" si="152"/>
        <v>0</v>
      </c>
      <c r="E90" s="12">
        <f t="shared" si="152"/>
        <v>0</v>
      </c>
      <c r="F90" s="12">
        <f t="shared" si="152"/>
        <v>0</v>
      </c>
      <c r="G90" s="12">
        <f t="shared" si="152"/>
        <v>0</v>
      </c>
      <c r="H90" s="12">
        <f t="shared" si="152"/>
        <v>0</v>
      </c>
      <c r="I90" s="12">
        <f t="shared" si="152"/>
        <v>0</v>
      </c>
      <c r="J90" s="12">
        <f t="shared" si="152"/>
        <v>0</v>
      </c>
      <c r="K90" s="12">
        <f t="shared" si="152"/>
        <v>0</v>
      </c>
      <c r="L90" s="12">
        <f t="shared" si="152"/>
        <v>0</v>
      </c>
      <c r="M90" s="12">
        <f t="shared" si="152"/>
        <v>0</v>
      </c>
      <c r="N90" s="12">
        <f t="shared" si="152"/>
        <v>0</v>
      </c>
      <c r="O90" s="12">
        <f t="shared" si="152"/>
        <v>0</v>
      </c>
      <c r="P90" s="12">
        <f t="shared" si="152"/>
        <v>0</v>
      </c>
      <c r="Q90" s="12">
        <f t="shared" si="152"/>
        <v>0</v>
      </c>
      <c r="R90" s="12">
        <f t="shared" si="152"/>
        <v>0</v>
      </c>
      <c r="S90" s="12">
        <f t="shared" si="152"/>
        <v>0</v>
      </c>
      <c r="T90" s="12">
        <f t="shared" si="152"/>
        <v>0</v>
      </c>
      <c r="U90" s="12">
        <f t="shared" si="152"/>
        <v>0</v>
      </c>
      <c r="V90" s="12">
        <f t="shared" si="152"/>
        <v>0</v>
      </c>
      <c r="W90" s="12">
        <f t="shared" si="152"/>
        <v>0.04</v>
      </c>
      <c r="X90" s="12">
        <f t="shared" si="152"/>
        <v>0</v>
      </c>
      <c r="Y90" s="12">
        <f t="shared" si="152"/>
        <v>0</v>
      </c>
      <c r="Z90" s="12">
        <f t="shared" si="152"/>
        <v>0.04</v>
      </c>
      <c r="AA90" s="24">
        <f t="shared" si="139"/>
        <v>5.9332831970903068E-6</v>
      </c>
      <c r="AC90" s="12">
        <f t="shared" si="140"/>
        <v>0</v>
      </c>
      <c r="AD90" s="12">
        <f t="shared" si="141"/>
        <v>0.04</v>
      </c>
      <c r="AE90" s="12">
        <f t="shared" si="144"/>
        <v>0</v>
      </c>
      <c r="AF90" s="12">
        <f t="shared" si="142"/>
        <v>0.04</v>
      </c>
      <c r="AG90" s="22">
        <f t="shared" si="148"/>
        <v>1</v>
      </c>
    </row>
    <row r="91" spans="1:44" x14ac:dyDescent="0.35">
      <c r="A91" s="11" t="s">
        <v>14</v>
      </c>
      <c r="B91" s="119">
        <f t="shared" ref="B91:Z91" si="153">SUM(B206+B322)</f>
        <v>4164.7500000000127</v>
      </c>
      <c r="C91" s="119">
        <f t="shared" si="153"/>
        <v>303.81999999999982</v>
      </c>
      <c r="D91" s="119">
        <f t="shared" si="153"/>
        <v>61.120000000000005</v>
      </c>
      <c r="E91" s="119">
        <f t="shared" si="153"/>
        <v>68.839999999999989</v>
      </c>
      <c r="F91" s="119">
        <f t="shared" si="153"/>
        <v>48.02</v>
      </c>
      <c r="G91" s="119">
        <f t="shared" si="153"/>
        <v>72.59999999999998</v>
      </c>
      <c r="H91" s="119">
        <f t="shared" si="153"/>
        <v>97.02</v>
      </c>
      <c r="I91" s="119">
        <f t="shared" si="153"/>
        <v>34.210000000000008</v>
      </c>
      <c r="J91" s="119">
        <f t="shared" si="153"/>
        <v>46.019999999999996</v>
      </c>
      <c r="K91" s="119">
        <f t="shared" si="153"/>
        <v>64.150000000000006</v>
      </c>
      <c r="L91" s="119">
        <f t="shared" si="153"/>
        <v>34.229999999999997</v>
      </c>
      <c r="M91" s="119">
        <f t="shared" si="153"/>
        <v>85.96</v>
      </c>
      <c r="N91" s="119">
        <f t="shared" si="153"/>
        <v>50.559999999999995</v>
      </c>
      <c r="O91" s="119">
        <f t="shared" si="153"/>
        <v>73.790000000000006</v>
      </c>
      <c r="P91" s="119">
        <f t="shared" si="153"/>
        <v>125.99999999999994</v>
      </c>
      <c r="Q91" s="119">
        <f t="shared" si="153"/>
        <v>184.33000000000007</v>
      </c>
      <c r="R91" s="119">
        <f t="shared" si="153"/>
        <v>224.71000000000004</v>
      </c>
      <c r="S91" s="119">
        <f t="shared" si="153"/>
        <v>206.4799999999999</v>
      </c>
      <c r="T91" s="119">
        <f t="shared" si="153"/>
        <v>177.83999999999992</v>
      </c>
      <c r="U91" s="119">
        <f t="shared" si="153"/>
        <v>165.45999999999995</v>
      </c>
      <c r="V91" s="119">
        <f t="shared" si="153"/>
        <v>137.16999999999999</v>
      </c>
      <c r="W91" s="119">
        <f t="shared" si="153"/>
        <v>111.58000000000003</v>
      </c>
      <c r="X91" s="119">
        <f t="shared" si="153"/>
        <v>146.50999999999993</v>
      </c>
      <c r="Y91" s="119">
        <f t="shared" si="153"/>
        <v>0</v>
      </c>
      <c r="Z91" s="119">
        <f t="shared" si="153"/>
        <v>6685.1700000000146</v>
      </c>
      <c r="AA91" s="143">
        <f t="shared" si="139"/>
        <v>0.99162517076730727</v>
      </c>
      <c r="AC91" s="119">
        <f t="shared" si="140"/>
        <v>6289.9100000000135</v>
      </c>
      <c r="AD91" s="119">
        <f t="shared" si="141"/>
        <v>395.25999999999993</v>
      </c>
      <c r="AE91" s="119">
        <f t="shared" si="144"/>
        <v>0</v>
      </c>
      <c r="AF91" s="119">
        <f t="shared" si="142"/>
        <v>6685.1700000000137</v>
      </c>
      <c r="AG91" s="143">
        <f t="shared" si="148"/>
        <v>5.9124898843260401E-2</v>
      </c>
    </row>
    <row r="92" spans="1:44" x14ac:dyDescent="0.35">
      <c r="A92" s="6" t="s">
        <v>37</v>
      </c>
      <c r="B92" s="12">
        <f t="shared" ref="B92:Z92" si="154">SUM(B207+B323)</f>
        <v>19.520000000000003</v>
      </c>
      <c r="C92" s="12">
        <f t="shared" si="154"/>
        <v>0</v>
      </c>
      <c r="D92" s="12">
        <f t="shared" si="154"/>
        <v>0.88</v>
      </c>
      <c r="E92" s="12">
        <f t="shared" si="154"/>
        <v>0</v>
      </c>
      <c r="F92" s="12">
        <f t="shared" si="154"/>
        <v>0</v>
      </c>
      <c r="G92" s="12">
        <f t="shared" si="154"/>
        <v>0</v>
      </c>
      <c r="H92" s="12">
        <f t="shared" si="154"/>
        <v>0</v>
      </c>
      <c r="I92" s="12">
        <f t="shared" si="154"/>
        <v>0</v>
      </c>
      <c r="J92" s="12">
        <f t="shared" si="154"/>
        <v>0</v>
      </c>
      <c r="K92" s="12">
        <f t="shared" si="154"/>
        <v>0</v>
      </c>
      <c r="L92" s="12">
        <f t="shared" si="154"/>
        <v>0</v>
      </c>
      <c r="M92" s="12">
        <f t="shared" si="154"/>
        <v>0.54</v>
      </c>
      <c r="N92" s="12">
        <f t="shared" si="154"/>
        <v>0</v>
      </c>
      <c r="O92" s="12">
        <f t="shared" si="154"/>
        <v>0</v>
      </c>
      <c r="P92" s="12">
        <f t="shared" si="154"/>
        <v>0</v>
      </c>
      <c r="Q92" s="12">
        <f t="shared" si="154"/>
        <v>2.2999999999999998</v>
      </c>
      <c r="R92" s="12">
        <f t="shared" si="154"/>
        <v>0.68</v>
      </c>
      <c r="S92" s="12">
        <f t="shared" si="154"/>
        <v>4.5199999999999996</v>
      </c>
      <c r="T92" s="12">
        <f t="shared" si="154"/>
        <v>1.78</v>
      </c>
      <c r="U92" s="12">
        <f t="shared" si="154"/>
        <v>1.8900000000000001</v>
      </c>
      <c r="V92" s="12">
        <f t="shared" si="154"/>
        <v>2.15</v>
      </c>
      <c r="W92" s="12">
        <f t="shared" si="154"/>
        <v>0</v>
      </c>
      <c r="X92" s="12">
        <f t="shared" si="154"/>
        <v>0</v>
      </c>
      <c r="Y92" s="12">
        <f t="shared" si="154"/>
        <v>0</v>
      </c>
      <c r="Z92" s="12">
        <f t="shared" si="154"/>
        <v>34.260000000000005</v>
      </c>
      <c r="AA92" s="24">
        <f t="shared" si="139"/>
        <v>5.0818570583078485E-3</v>
      </c>
      <c r="AC92" s="12">
        <f t="shared" si="140"/>
        <v>32.11</v>
      </c>
      <c r="AD92" s="12">
        <f t="shared" si="141"/>
        <v>2.15</v>
      </c>
      <c r="AE92" s="12">
        <f t="shared" si="144"/>
        <v>0</v>
      </c>
      <c r="AF92" s="12">
        <f t="shared" si="142"/>
        <v>34.26</v>
      </c>
      <c r="AG92" s="22">
        <f t="shared" si="148"/>
        <v>6.2755399883245772E-2</v>
      </c>
    </row>
    <row r="93" spans="1:44" x14ac:dyDescent="0.35">
      <c r="A93" s="6" t="s">
        <v>38</v>
      </c>
      <c r="B93" s="12">
        <f t="shared" ref="B93:Z93" si="155">SUM(B208+B324)</f>
        <v>219.01999999999998</v>
      </c>
      <c r="C93" s="12">
        <f t="shared" si="155"/>
        <v>25.24</v>
      </c>
      <c r="D93" s="12">
        <f t="shared" si="155"/>
        <v>14.64</v>
      </c>
      <c r="E93" s="12">
        <f t="shared" si="155"/>
        <v>20.87</v>
      </c>
      <c r="F93" s="12">
        <f t="shared" si="155"/>
        <v>20.669999999999998</v>
      </c>
      <c r="G93" s="12">
        <f t="shared" si="155"/>
        <v>0</v>
      </c>
      <c r="H93" s="12">
        <f t="shared" si="155"/>
        <v>9.66</v>
      </c>
      <c r="I93" s="12">
        <f t="shared" si="155"/>
        <v>4.91</v>
      </c>
      <c r="J93" s="12">
        <f t="shared" si="155"/>
        <v>0.11</v>
      </c>
      <c r="K93" s="12">
        <f t="shared" si="155"/>
        <v>0</v>
      </c>
      <c r="L93" s="12">
        <f t="shared" si="155"/>
        <v>0</v>
      </c>
      <c r="M93" s="12">
        <f t="shared" si="155"/>
        <v>2.92</v>
      </c>
      <c r="N93" s="12">
        <f t="shared" si="155"/>
        <v>0.46</v>
      </c>
      <c r="O93" s="12">
        <f t="shared" si="155"/>
        <v>1.1599999999999999</v>
      </c>
      <c r="P93" s="12">
        <f t="shared" si="155"/>
        <v>7.1199999999999992</v>
      </c>
      <c r="Q93" s="12">
        <f t="shared" si="155"/>
        <v>19.489999999999998</v>
      </c>
      <c r="R93" s="12">
        <f t="shared" si="155"/>
        <v>12.569999999999999</v>
      </c>
      <c r="S93" s="12">
        <f t="shared" si="155"/>
        <v>1.8</v>
      </c>
      <c r="T93" s="12">
        <f t="shared" si="155"/>
        <v>11.830000000000002</v>
      </c>
      <c r="U93" s="12">
        <f t="shared" si="155"/>
        <v>7.5499999999999989</v>
      </c>
      <c r="V93" s="12">
        <f t="shared" si="155"/>
        <v>4.4700000000000006</v>
      </c>
      <c r="W93" s="12">
        <f t="shared" si="155"/>
        <v>2.64</v>
      </c>
      <c r="X93" s="12">
        <f t="shared" si="155"/>
        <v>4.63</v>
      </c>
      <c r="Y93" s="12">
        <f t="shared" si="155"/>
        <v>0</v>
      </c>
      <c r="Z93" s="12">
        <f t="shared" si="155"/>
        <v>391.7600000000001</v>
      </c>
      <c r="AA93" s="24">
        <f t="shared" si="139"/>
        <v>5.8110575632302479E-2</v>
      </c>
      <c r="AC93" s="12">
        <f t="shared" si="140"/>
        <v>380.0200000000001</v>
      </c>
      <c r="AD93" s="12">
        <f t="shared" si="141"/>
        <v>11.740000000000002</v>
      </c>
      <c r="AE93" s="12">
        <f t="shared" si="144"/>
        <v>0</v>
      </c>
      <c r="AF93" s="12">
        <f t="shared" si="142"/>
        <v>391.7600000000001</v>
      </c>
      <c r="AG93" s="22">
        <f t="shared" si="148"/>
        <v>2.9967326934858072E-2</v>
      </c>
    </row>
    <row r="94" spans="1:44" x14ac:dyDescent="0.35">
      <c r="A94" s="6" t="s">
        <v>39</v>
      </c>
      <c r="B94" s="12">
        <f t="shared" ref="B94:Z94" si="156">SUM(B209+B325)</f>
        <v>1.57</v>
      </c>
      <c r="C94" s="12">
        <f t="shared" si="156"/>
        <v>0</v>
      </c>
      <c r="D94" s="12">
        <f t="shared" si="156"/>
        <v>0</v>
      </c>
      <c r="E94" s="12">
        <f t="shared" si="156"/>
        <v>0</v>
      </c>
      <c r="F94" s="12">
        <f t="shared" si="156"/>
        <v>0</v>
      </c>
      <c r="G94" s="12">
        <f t="shared" si="156"/>
        <v>0</v>
      </c>
      <c r="H94" s="12">
        <f t="shared" si="156"/>
        <v>0.12</v>
      </c>
      <c r="I94" s="12">
        <f t="shared" si="156"/>
        <v>0</v>
      </c>
      <c r="J94" s="12">
        <f t="shared" si="156"/>
        <v>0</v>
      </c>
      <c r="K94" s="12">
        <f t="shared" si="156"/>
        <v>0</v>
      </c>
      <c r="L94" s="12">
        <f t="shared" si="156"/>
        <v>0</v>
      </c>
      <c r="M94" s="12">
        <f t="shared" si="156"/>
        <v>0</v>
      </c>
      <c r="N94" s="12">
        <f t="shared" si="156"/>
        <v>0</v>
      </c>
      <c r="O94" s="12">
        <f t="shared" si="156"/>
        <v>0</v>
      </c>
      <c r="P94" s="12">
        <f t="shared" si="156"/>
        <v>0.04</v>
      </c>
      <c r="Q94" s="12">
        <f t="shared" si="156"/>
        <v>0</v>
      </c>
      <c r="R94" s="12">
        <f t="shared" si="156"/>
        <v>0</v>
      </c>
      <c r="S94" s="12">
        <f t="shared" si="156"/>
        <v>0.69000000000000006</v>
      </c>
      <c r="T94" s="12">
        <f t="shared" si="156"/>
        <v>0</v>
      </c>
      <c r="U94" s="12">
        <f t="shared" si="156"/>
        <v>0.35</v>
      </c>
      <c r="V94" s="12">
        <f t="shared" si="156"/>
        <v>0.14000000000000001</v>
      </c>
      <c r="W94" s="12">
        <f t="shared" si="156"/>
        <v>0</v>
      </c>
      <c r="X94" s="12">
        <f t="shared" si="156"/>
        <v>0</v>
      </c>
      <c r="Y94" s="12">
        <f t="shared" si="156"/>
        <v>0</v>
      </c>
      <c r="Z94" s="12">
        <f t="shared" si="156"/>
        <v>2.91</v>
      </c>
      <c r="AA94" s="24">
        <f t="shared" si="139"/>
        <v>4.3164635258831981E-4</v>
      </c>
      <c r="AC94" s="12">
        <f t="shared" si="140"/>
        <v>2.77</v>
      </c>
      <c r="AD94" s="12">
        <f t="shared" si="141"/>
        <v>0.14000000000000001</v>
      </c>
      <c r="AE94" s="12">
        <f t="shared" si="144"/>
        <v>0</v>
      </c>
      <c r="AF94" s="12">
        <f t="shared" si="142"/>
        <v>2.91</v>
      </c>
      <c r="AG94" s="22">
        <f t="shared" si="148"/>
        <v>4.8109965635738834E-2</v>
      </c>
    </row>
    <row r="95" spans="1:44" x14ac:dyDescent="0.35">
      <c r="A95" s="6" t="s">
        <v>40</v>
      </c>
      <c r="B95" s="12">
        <f t="shared" ref="B95:Z95" si="157">SUM(B210+B326)</f>
        <v>3924.6400000000131</v>
      </c>
      <c r="C95" s="12">
        <f t="shared" si="157"/>
        <v>278.57999999999981</v>
      </c>
      <c r="D95" s="12">
        <f t="shared" si="157"/>
        <v>45.6</v>
      </c>
      <c r="E95" s="12">
        <f t="shared" si="157"/>
        <v>47.969999999999992</v>
      </c>
      <c r="F95" s="12">
        <f t="shared" si="157"/>
        <v>27.350000000000005</v>
      </c>
      <c r="G95" s="12">
        <f t="shared" si="157"/>
        <v>72.59999999999998</v>
      </c>
      <c r="H95" s="12">
        <f t="shared" si="157"/>
        <v>87.24</v>
      </c>
      <c r="I95" s="12">
        <f t="shared" si="157"/>
        <v>29.300000000000004</v>
      </c>
      <c r="J95" s="12">
        <f t="shared" si="157"/>
        <v>45.91</v>
      </c>
      <c r="K95" s="12">
        <f t="shared" si="157"/>
        <v>64.150000000000006</v>
      </c>
      <c r="L95" s="12">
        <f t="shared" si="157"/>
        <v>34.229999999999997</v>
      </c>
      <c r="M95" s="12">
        <f t="shared" si="157"/>
        <v>82.499999999999986</v>
      </c>
      <c r="N95" s="12">
        <f t="shared" si="157"/>
        <v>50.099999999999994</v>
      </c>
      <c r="O95" s="12">
        <f t="shared" si="157"/>
        <v>72.63000000000001</v>
      </c>
      <c r="P95" s="12">
        <f t="shared" si="157"/>
        <v>118.83999999999995</v>
      </c>
      <c r="Q95" s="12">
        <f t="shared" si="157"/>
        <v>162.54000000000008</v>
      </c>
      <c r="R95" s="12">
        <f t="shared" si="157"/>
        <v>211.46000000000004</v>
      </c>
      <c r="S95" s="12">
        <f t="shared" si="157"/>
        <v>199.46999999999989</v>
      </c>
      <c r="T95" s="12">
        <f t="shared" si="157"/>
        <v>164.2299999999999</v>
      </c>
      <c r="U95" s="12">
        <f t="shared" si="157"/>
        <v>155.66999999999996</v>
      </c>
      <c r="V95" s="12">
        <f t="shared" si="157"/>
        <v>130.40999999999997</v>
      </c>
      <c r="W95" s="12">
        <f t="shared" si="157"/>
        <v>108.94000000000003</v>
      </c>
      <c r="X95" s="12">
        <f t="shared" si="157"/>
        <v>141.87999999999994</v>
      </c>
      <c r="Y95" s="12">
        <f t="shared" si="157"/>
        <v>0</v>
      </c>
      <c r="Z95" s="12">
        <f t="shared" si="157"/>
        <v>6256.2400000000134</v>
      </c>
      <c r="AA95" s="24">
        <f t="shared" si="139"/>
        <v>0.9280010917241085</v>
      </c>
      <c r="AC95" s="12">
        <f t="shared" si="140"/>
        <v>5875.0100000000139</v>
      </c>
      <c r="AD95" s="12">
        <f t="shared" si="141"/>
        <v>381.2299999999999</v>
      </c>
      <c r="AE95" s="12">
        <f t="shared" si="144"/>
        <v>0</v>
      </c>
      <c r="AF95" s="12">
        <f t="shared" si="142"/>
        <v>6256.2400000000134</v>
      </c>
      <c r="AG95" s="22">
        <f t="shared" si="148"/>
        <v>6.0935961536002309E-2</v>
      </c>
      <c r="AO95" s="342"/>
      <c r="AP95" s="342" t="s">
        <v>256</v>
      </c>
      <c r="AQ95" s="342" t="s">
        <v>96</v>
      </c>
      <c r="AR95" s="342" t="s">
        <v>257</v>
      </c>
    </row>
    <row r="96" spans="1:44" x14ac:dyDescent="0.35">
      <c r="A96" s="11" t="s">
        <v>15</v>
      </c>
      <c r="B96" s="119">
        <f t="shared" ref="B96:Z96" si="158">SUM(B211+B327)</f>
        <v>0</v>
      </c>
      <c r="C96" s="119">
        <f t="shared" si="158"/>
        <v>0</v>
      </c>
      <c r="D96" s="119">
        <f t="shared" si="158"/>
        <v>0</v>
      </c>
      <c r="E96" s="119">
        <f t="shared" si="158"/>
        <v>0</v>
      </c>
      <c r="F96" s="119">
        <f t="shared" si="158"/>
        <v>0</v>
      </c>
      <c r="G96" s="119">
        <f t="shared" si="158"/>
        <v>0</v>
      </c>
      <c r="H96" s="119">
        <f t="shared" si="158"/>
        <v>0</v>
      </c>
      <c r="I96" s="119">
        <f t="shared" si="158"/>
        <v>0</v>
      </c>
      <c r="J96" s="119">
        <f t="shared" si="158"/>
        <v>0</v>
      </c>
      <c r="K96" s="119">
        <f t="shared" si="158"/>
        <v>0</v>
      </c>
      <c r="L96" s="119">
        <f t="shared" si="158"/>
        <v>0</v>
      </c>
      <c r="M96" s="119">
        <f t="shared" si="158"/>
        <v>6.41</v>
      </c>
      <c r="N96" s="119">
        <f t="shared" si="158"/>
        <v>0</v>
      </c>
      <c r="O96" s="119">
        <f t="shared" si="158"/>
        <v>0</v>
      </c>
      <c r="P96" s="119">
        <f t="shared" si="158"/>
        <v>1.98</v>
      </c>
      <c r="Q96" s="119">
        <f t="shared" si="158"/>
        <v>0</v>
      </c>
      <c r="R96" s="119">
        <f t="shared" si="158"/>
        <v>0</v>
      </c>
      <c r="S96" s="119">
        <f t="shared" si="158"/>
        <v>0.75</v>
      </c>
      <c r="T96" s="119">
        <f t="shared" si="158"/>
        <v>0</v>
      </c>
      <c r="U96" s="119">
        <f t="shared" si="158"/>
        <v>0</v>
      </c>
      <c r="V96" s="119">
        <f t="shared" si="158"/>
        <v>0</v>
      </c>
      <c r="W96" s="119">
        <f t="shared" si="158"/>
        <v>0</v>
      </c>
      <c r="X96" s="119">
        <f t="shared" si="158"/>
        <v>0.13</v>
      </c>
      <c r="Y96" s="119">
        <f t="shared" si="158"/>
        <v>0</v>
      </c>
      <c r="Z96" s="119">
        <f t="shared" si="158"/>
        <v>9.2700000000000014</v>
      </c>
      <c r="AA96" s="143">
        <f t="shared" si="139"/>
        <v>1.3750383809256787E-3</v>
      </c>
      <c r="AC96" s="119">
        <f t="shared" si="140"/>
        <v>9.14</v>
      </c>
      <c r="AD96" s="119">
        <f t="shared" si="141"/>
        <v>0.13</v>
      </c>
      <c r="AE96" s="119">
        <f t="shared" si="144"/>
        <v>0</v>
      </c>
      <c r="AF96" s="119">
        <f t="shared" si="142"/>
        <v>9.2700000000000014</v>
      </c>
      <c r="AG96" s="143">
        <f t="shared" si="148"/>
        <v>1.4023732470334411E-2</v>
      </c>
      <c r="AJ96" s="210" t="s">
        <v>255</v>
      </c>
      <c r="AO96" s="118" t="s">
        <v>14</v>
      </c>
      <c r="AP96" s="343">
        <v>395.25999999999993</v>
      </c>
      <c r="AQ96" s="343">
        <v>6685.1700000000137</v>
      </c>
      <c r="AR96" s="190">
        <f t="shared" ref="AR96" si="159">AP96/AQ96</f>
        <v>5.9124898843260401E-2</v>
      </c>
    </row>
    <row r="97" spans="1:44" x14ac:dyDescent="0.35">
      <c r="A97" s="6" t="s">
        <v>41</v>
      </c>
      <c r="B97" s="12">
        <f t="shared" ref="B97:Z97" si="160">SUM(B212+B328)</f>
        <v>0</v>
      </c>
      <c r="C97" s="12">
        <f t="shared" si="160"/>
        <v>0</v>
      </c>
      <c r="D97" s="12">
        <f t="shared" si="160"/>
        <v>0</v>
      </c>
      <c r="E97" s="12">
        <f t="shared" si="160"/>
        <v>0</v>
      </c>
      <c r="F97" s="12">
        <f t="shared" si="160"/>
        <v>0</v>
      </c>
      <c r="G97" s="12">
        <f t="shared" si="160"/>
        <v>0</v>
      </c>
      <c r="H97" s="12">
        <f t="shared" si="160"/>
        <v>0</v>
      </c>
      <c r="I97" s="12">
        <f t="shared" si="160"/>
        <v>0</v>
      </c>
      <c r="J97" s="12">
        <f t="shared" si="160"/>
        <v>0</v>
      </c>
      <c r="K97" s="12">
        <f t="shared" si="160"/>
        <v>0</v>
      </c>
      <c r="L97" s="12">
        <f t="shared" si="160"/>
        <v>0</v>
      </c>
      <c r="M97" s="12">
        <f t="shared" si="160"/>
        <v>6.41</v>
      </c>
      <c r="N97" s="12">
        <f t="shared" si="160"/>
        <v>0</v>
      </c>
      <c r="O97" s="12">
        <f t="shared" si="160"/>
        <v>0</v>
      </c>
      <c r="P97" s="12">
        <f t="shared" si="160"/>
        <v>1.98</v>
      </c>
      <c r="Q97" s="12">
        <f t="shared" si="160"/>
        <v>0</v>
      </c>
      <c r="R97" s="12">
        <f t="shared" si="160"/>
        <v>0</v>
      </c>
      <c r="S97" s="12">
        <f t="shared" si="160"/>
        <v>0.35</v>
      </c>
      <c r="T97" s="12">
        <f t="shared" si="160"/>
        <v>0</v>
      </c>
      <c r="U97" s="12">
        <f t="shared" si="160"/>
        <v>0</v>
      </c>
      <c r="V97" s="12">
        <f t="shared" si="160"/>
        <v>0</v>
      </c>
      <c r="W97" s="12">
        <f t="shared" si="160"/>
        <v>0</v>
      </c>
      <c r="X97" s="12">
        <f t="shared" si="160"/>
        <v>0</v>
      </c>
      <c r="Y97" s="12">
        <f t="shared" si="160"/>
        <v>0</v>
      </c>
      <c r="Z97" s="12">
        <f t="shared" si="160"/>
        <v>8.74</v>
      </c>
      <c r="AA97" s="24">
        <f t="shared" si="139"/>
        <v>1.296422378564232E-3</v>
      </c>
      <c r="AC97" s="12">
        <f t="shared" si="140"/>
        <v>8.74</v>
      </c>
      <c r="AD97" s="12">
        <f t="shared" si="141"/>
        <v>0</v>
      </c>
      <c r="AE97" s="12">
        <f t="shared" si="144"/>
        <v>0</v>
      </c>
      <c r="AF97" s="12">
        <f t="shared" si="142"/>
        <v>8.74</v>
      </c>
      <c r="AG97" s="22">
        <f t="shared" si="148"/>
        <v>0</v>
      </c>
      <c r="AK97" t="s">
        <v>256</v>
      </c>
      <c r="AL97" t="s">
        <v>96</v>
      </c>
      <c r="AM97" t="s">
        <v>257</v>
      </c>
      <c r="AO97" s="118" t="s">
        <v>17</v>
      </c>
      <c r="AP97" s="343">
        <v>24.29</v>
      </c>
      <c r="AQ97" s="343">
        <v>24.55</v>
      </c>
      <c r="AR97" s="190">
        <f>AP97/AQ97</f>
        <v>0.98940936863543782</v>
      </c>
    </row>
    <row r="98" spans="1:44" x14ac:dyDescent="0.35">
      <c r="A98" s="6" t="s">
        <v>45</v>
      </c>
      <c r="B98" s="12">
        <f t="shared" ref="B98:Z98" si="161">SUM(B213+B329)</f>
        <v>0</v>
      </c>
      <c r="C98" s="12">
        <f t="shared" si="161"/>
        <v>0</v>
      </c>
      <c r="D98" s="12">
        <f t="shared" si="161"/>
        <v>0</v>
      </c>
      <c r="E98" s="12">
        <f t="shared" si="161"/>
        <v>0</v>
      </c>
      <c r="F98" s="12">
        <f t="shared" si="161"/>
        <v>0</v>
      </c>
      <c r="G98" s="12">
        <f t="shared" si="161"/>
        <v>0</v>
      </c>
      <c r="H98" s="12">
        <f t="shared" si="161"/>
        <v>0</v>
      </c>
      <c r="I98" s="12">
        <f t="shared" si="161"/>
        <v>0</v>
      </c>
      <c r="J98" s="12">
        <f t="shared" si="161"/>
        <v>0</v>
      </c>
      <c r="K98" s="12">
        <f t="shared" si="161"/>
        <v>0</v>
      </c>
      <c r="L98" s="12">
        <f t="shared" si="161"/>
        <v>0</v>
      </c>
      <c r="M98" s="12">
        <f t="shared" si="161"/>
        <v>0</v>
      </c>
      <c r="N98" s="12">
        <f t="shared" si="161"/>
        <v>0</v>
      </c>
      <c r="O98" s="12">
        <f t="shared" si="161"/>
        <v>0</v>
      </c>
      <c r="P98" s="12">
        <f t="shared" si="161"/>
        <v>0</v>
      </c>
      <c r="Q98" s="12">
        <f t="shared" si="161"/>
        <v>0</v>
      </c>
      <c r="R98" s="12">
        <f t="shared" si="161"/>
        <v>0</v>
      </c>
      <c r="S98" s="12">
        <f t="shared" si="161"/>
        <v>0.4</v>
      </c>
      <c r="T98" s="12">
        <f t="shared" si="161"/>
        <v>0</v>
      </c>
      <c r="U98" s="12">
        <f t="shared" si="161"/>
        <v>0</v>
      </c>
      <c r="V98" s="12">
        <f t="shared" si="161"/>
        <v>0</v>
      </c>
      <c r="W98" s="12">
        <f t="shared" si="161"/>
        <v>0</v>
      </c>
      <c r="X98" s="12">
        <f t="shared" si="161"/>
        <v>0.13</v>
      </c>
      <c r="Y98" s="12">
        <f t="shared" si="161"/>
        <v>0</v>
      </c>
      <c r="Z98" s="12">
        <f t="shared" si="161"/>
        <v>0.53</v>
      </c>
      <c r="AA98" s="24">
        <f t="shared" si="139"/>
        <v>7.8616002361446563E-5</v>
      </c>
      <c r="AC98" s="12">
        <f t="shared" si="140"/>
        <v>0.4</v>
      </c>
      <c r="AD98" s="12">
        <f t="shared" si="141"/>
        <v>0.13</v>
      </c>
      <c r="AE98" s="12">
        <f t="shared" si="144"/>
        <v>0</v>
      </c>
      <c r="AF98" s="12">
        <f t="shared" si="142"/>
        <v>0.53</v>
      </c>
      <c r="AG98" s="22">
        <f t="shared" si="148"/>
        <v>0.24528301886792453</v>
      </c>
      <c r="AJ98" s="6" t="s">
        <v>40</v>
      </c>
      <c r="AK98" s="54">
        <v>381.2299999999999</v>
      </c>
      <c r="AL98" s="12">
        <v>6256.2400000000134</v>
      </c>
      <c r="AM98" s="382">
        <f>AK98/AL98</f>
        <v>6.0935961536002309E-2</v>
      </c>
    </row>
    <row r="99" spans="1:44" x14ac:dyDescent="0.35">
      <c r="A99" s="11" t="s">
        <v>16</v>
      </c>
      <c r="B99" s="119">
        <f t="shared" ref="B99:Z99" si="162">SUM(B214+B330)</f>
        <v>0</v>
      </c>
      <c r="C99" s="119">
        <f t="shared" si="162"/>
        <v>0</v>
      </c>
      <c r="D99" s="119">
        <f t="shared" si="162"/>
        <v>0</v>
      </c>
      <c r="E99" s="119">
        <f t="shared" si="162"/>
        <v>0</v>
      </c>
      <c r="F99" s="119">
        <f t="shared" si="162"/>
        <v>0</v>
      </c>
      <c r="G99" s="119">
        <f t="shared" si="162"/>
        <v>0</v>
      </c>
      <c r="H99" s="119">
        <f t="shared" si="162"/>
        <v>0</v>
      </c>
      <c r="I99" s="119">
        <f t="shared" si="162"/>
        <v>0</v>
      </c>
      <c r="J99" s="119">
        <f t="shared" si="162"/>
        <v>0</v>
      </c>
      <c r="K99" s="119">
        <f t="shared" si="162"/>
        <v>0</v>
      </c>
      <c r="L99" s="119">
        <f t="shared" si="162"/>
        <v>0</v>
      </c>
      <c r="M99" s="119">
        <f t="shared" si="162"/>
        <v>0</v>
      </c>
      <c r="N99" s="119">
        <f t="shared" si="162"/>
        <v>0</v>
      </c>
      <c r="O99" s="119">
        <f t="shared" si="162"/>
        <v>0</v>
      </c>
      <c r="P99" s="119">
        <f t="shared" si="162"/>
        <v>0</v>
      </c>
      <c r="Q99" s="119">
        <f t="shared" si="162"/>
        <v>0</v>
      </c>
      <c r="R99" s="119">
        <f t="shared" si="162"/>
        <v>0</v>
      </c>
      <c r="S99" s="119">
        <f t="shared" si="162"/>
        <v>0.76</v>
      </c>
      <c r="T99" s="119">
        <f t="shared" si="162"/>
        <v>0.01</v>
      </c>
      <c r="U99" s="119">
        <f t="shared" si="162"/>
        <v>0</v>
      </c>
      <c r="V99" s="119">
        <f t="shared" si="162"/>
        <v>0.09</v>
      </c>
      <c r="W99" s="119">
        <f t="shared" si="162"/>
        <v>0</v>
      </c>
      <c r="X99" s="119">
        <f t="shared" si="162"/>
        <v>0</v>
      </c>
      <c r="Y99" s="119">
        <f t="shared" si="162"/>
        <v>0</v>
      </c>
      <c r="Z99" s="119">
        <f t="shared" si="162"/>
        <v>0.86</v>
      </c>
      <c r="AA99" s="143">
        <f t="shared" si="139"/>
        <v>1.2756558873744159E-4</v>
      </c>
      <c r="AC99" s="119">
        <f t="shared" si="140"/>
        <v>0.77</v>
      </c>
      <c r="AD99" s="119">
        <f t="shared" si="141"/>
        <v>0.09</v>
      </c>
      <c r="AE99" s="119">
        <f t="shared" si="144"/>
        <v>0</v>
      </c>
      <c r="AF99" s="119">
        <f t="shared" si="142"/>
        <v>0.86</v>
      </c>
      <c r="AG99" s="143">
        <f t="shared" si="148"/>
        <v>0.10465116279069767</v>
      </c>
      <c r="AJ99" s="6" t="s">
        <v>56</v>
      </c>
      <c r="AK99" s="54">
        <v>24.29</v>
      </c>
      <c r="AL99" s="12">
        <v>24.55</v>
      </c>
      <c r="AM99" s="382">
        <f t="shared" ref="AM99:AM109" si="163">AK99/AL99</f>
        <v>0.98940936863543782</v>
      </c>
    </row>
    <row r="100" spans="1:44" x14ac:dyDescent="0.35">
      <c r="A100" s="6" t="s">
        <v>48</v>
      </c>
      <c r="B100" s="12">
        <f t="shared" ref="B100:Z100" si="164">SUM(B215+B331)</f>
        <v>0</v>
      </c>
      <c r="C100" s="12">
        <f t="shared" si="164"/>
        <v>0</v>
      </c>
      <c r="D100" s="12">
        <f t="shared" si="164"/>
        <v>0</v>
      </c>
      <c r="E100" s="12">
        <f t="shared" si="164"/>
        <v>0</v>
      </c>
      <c r="F100" s="12">
        <f t="shared" si="164"/>
        <v>0</v>
      </c>
      <c r="G100" s="12">
        <f t="shared" si="164"/>
        <v>0</v>
      </c>
      <c r="H100" s="12">
        <f t="shared" si="164"/>
        <v>0</v>
      </c>
      <c r="I100" s="12">
        <f t="shared" si="164"/>
        <v>0</v>
      </c>
      <c r="J100" s="12">
        <f t="shared" si="164"/>
        <v>0</v>
      </c>
      <c r="K100" s="12">
        <f t="shared" si="164"/>
        <v>0</v>
      </c>
      <c r="L100" s="12">
        <f t="shared" si="164"/>
        <v>0</v>
      </c>
      <c r="M100" s="12">
        <f t="shared" si="164"/>
        <v>0</v>
      </c>
      <c r="N100" s="12">
        <f t="shared" si="164"/>
        <v>0</v>
      </c>
      <c r="O100" s="12">
        <f t="shared" si="164"/>
        <v>0</v>
      </c>
      <c r="P100" s="12">
        <f t="shared" si="164"/>
        <v>0</v>
      </c>
      <c r="Q100" s="12">
        <f t="shared" si="164"/>
        <v>0</v>
      </c>
      <c r="R100" s="12">
        <f t="shared" si="164"/>
        <v>0</v>
      </c>
      <c r="S100" s="12">
        <f t="shared" si="164"/>
        <v>0</v>
      </c>
      <c r="T100" s="12">
        <f t="shared" si="164"/>
        <v>0</v>
      </c>
      <c r="U100" s="12">
        <f t="shared" si="164"/>
        <v>0</v>
      </c>
      <c r="V100" s="12">
        <f t="shared" si="164"/>
        <v>0</v>
      </c>
      <c r="W100" s="12">
        <f t="shared" si="164"/>
        <v>0</v>
      </c>
      <c r="X100" s="12">
        <f t="shared" si="164"/>
        <v>0</v>
      </c>
      <c r="Y100" s="12">
        <f t="shared" si="164"/>
        <v>0</v>
      </c>
      <c r="Z100" s="12">
        <f t="shared" si="164"/>
        <v>0</v>
      </c>
      <c r="AA100" s="24">
        <f t="shared" si="139"/>
        <v>0</v>
      </c>
      <c r="AC100" s="12">
        <f t="shared" si="140"/>
        <v>0</v>
      </c>
      <c r="AD100" s="12">
        <f t="shared" si="141"/>
        <v>0</v>
      </c>
      <c r="AE100" s="12">
        <f t="shared" si="144"/>
        <v>0</v>
      </c>
      <c r="AF100" s="12">
        <f t="shared" si="142"/>
        <v>0</v>
      </c>
      <c r="AG100" s="22"/>
      <c r="AJ100" s="6" t="s">
        <v>38</v>
      </c>
      <c r="AK100" s="54">
        <v>11.740000000000002</v>
      </c>
      <c r="AL100" s="12">
        <v>391.7600000000001</v>
      </c>
      <c r="AM100" s="382">
        <f t="shared" si="163"/>
        <v>2.9967326934858072E-2</v>
      </c>
    </row>
    <row r="101" spans="1:44" x14ac:dyDescent="0.35">
      <c r="A101" s="6" t="s">
        <v>53</v>
      </c>
      <c r="B101" s="12">
        <f t="shared" ref="B101:Z101" si="165">SUM(B216+B332)</f>
        <v>0</v>
      </c>
      <c r="C101" s="12">
        <f t="shared" si="165"/>
        <v>0</v>
      </c>
      <c r="D101" s="12">
        <f t="shared" si="165"/>
        <v>0</v>
      </c>
      <c r="E101" s="12">
        <f t="shared" si="165"/>
        <v>0</v>
      </c>
      <c r="F101" s="12">
        <f t="shared" si="165"/>
        <v>0</v>
      </c>
      <c r="G101" s="12">
        <f t="shared" si="165"/>
        <v>0</v>
      </c>
      <c r="H101" s="12">
        <f t="shared" si="165"/>
        <v>0</v>
      </c>
      <c r="I101" s="12">
        <f t="shared" si="165"/>
        <v>0</v>
      </c>
      <c r="J101" s="12">
        <f t="shared" si="165"/>
        <v>0</v>
      </c>
      <c r="K101" s="12">
        <f t="shared" si="165"/>
        <v>0</v>
      </c>
      <c r="L101" s="12">
        <f t="shared" si="165"/>
        <v>0</v>
      </c>
      <c r="M101" s="12">
        <f t="shared" si="165"/>
        <v>0</v>
      </c>
      <c r="N101" s="12">
        <f t="shared" si="165"/>
        <v>0</v>
      </c>
      <c r="O101" s="12">
        <f t="shared" si="165"/>
        <v>0</v>
      </c>
      <c r="P101" s="12">
        <f t="shared" si="165"/>
        <v>0</v>
      </c>
      <c r="Q101" s="12">
        <f t="shared" si="165"/>
        <v>0</v>
      </c>
      <c r="R101" s="12">
        <f t="shared" si="165"/>
        <v>0</v>
      </c>
      <c r="S101" s="12">
        <f t="shared" si="165"/>
        <v>0.76</v>
      </c>
      <c r="T101" s="12">
        <f t="shared" si="165"/>
        <v>0.01</v>
      </c>
      <c r="U101" s="12">
        <f t="shared" si="165"/>
        <v>0</v>
      </c>
      <c r="V101" s="12">
        <f t="shared" si="165"/>
        <v>0</v>
      </c>
      <c r="W101" s="12">
        <f t="shared" si="165"/>
        <v>0</v>
      </c>
      <c r="X101" s="12">
        <f t="shared" si="165"/>
        <v>0</v>
      </c>
      <c r="Y101" s="12">
        <f t="shared" si="165"/>
        <v>0</v>
      </c>
      <c r="Z101" s="12">
        <f t="shared" si="165"/>
        <v>0.77</v>
      </c>
      <c r="AA101" s="24">
        <f t="shared" si="139"/>
        <v>1.1421570154398841E-4</v>
      </c>
      <c r="AC101" s="12">
        <f t="shared" si="140"/>
        <v>0.77</v>
      </c>
      <c r="AD101" s="12">
        <f t="shared" si="141"/>
        <v>0</v>
      </c>
      <c r="AE101" s="12">
        <f t="shared" si="144"/>
        <v>0</v>
      </c>
      <c r="AF101" s="12">
        <f t="shared" si="142"/>
        <v>0.77</v>
      </c>
      <c r="AG101" s="22">
        <f t="shared" si="148"/>
        <v>0</v>
      </c>
      <c r="AJ101" s="6" t="s">
        <v>37</v>
      </c>
      <c r="AK101" s="54">
        <v>2.15</v>
      </c>
      <c r="AL101" s="12">
        <v>34.26</v>
      </c>
      <c r="AM101" s="382">
        <f t="shared" si="163"/>
        <v>6.2755399883245772E-2</v>
      </c>
    </row>
    <row r="102" spans="1:44" x14ac:dyDescent="0.35">
      <c r="A102" s="6" t="s">
        <v>54</v>
      </c>
      <c r="B102" s="12">
        <f t="shared" ref="B102:Z102" si="166">SUM(B217+B333)</f>
        <v>0</v>
      </c>
      <c r="C102" s="12">
        <f t="shared" si="166"/>
        <v>0</v>
      </c>
      <c r="D102" s="12">
        <f t="shared" si="166"/>
        <v>0</v>
      </c>
      <c r="E102" s="12">
        <f t="shared" si="166"/>
        <v>0</v>
      </c>
      <c r="F102" s="12">
        <f t="shared" si="166"/>
        <v>0</v>
      </c>
      <c r="G102" s="12">
        <f t="shared" si="166"/>
        <v>0</v>
      </c>
      <c r="H102" s="12">
        <f t="shared" si="166"/>
        <v>0</v>
      </c>
      <c r="I102" s="12">
        <f t="shared" si="166"/>
        <v>0</v>
      </c>
      <c r="J102" s="12">
        <f t="shared" si="166"/>
        <v>0</v>
      </c>
      <c r="K102" s="12">
        <f t="shared" si="166"/>
        <v>0</v>
      </c>
      <c r="L102" s="12">
        <f t="shared" si="166"/>
        <v>0</v>
      </c>
      <c r="M102" s="12">
        <f t="shared" si="166"/>
        <v>0</v>
      </c>
      <c r="N102" s="12">
        <f t="shared" si="166"/>
        <v>0</v>
      </c>
      <c r="O102" s="12">
        <f t="shared" si="166"/>
        <v>0</v>
      </c>
      <c r="P102" s="12">
        <f t="shared" si="166"/>
        <v>0</v>
      </c>
      <c r="Q102" s="12">
        <f t="shared" si="166"/>
        <v>0</v>
      </c>
      <c r="R102" s="12">
        <f t="shared" si="166"/>
        <v>0</v>
      </c>
      <c r="S102" s="12">
        <f t="shared" si="166"/>
        <v>0</v>
      </c>
      <c r="T102" s="12">
        <f t="shared" si="166"/>
        <v>0</v>
      </c>
      <c r="U102" s="12">
        <f t="shared" si="166"/>
        <v>0</v>
      </c>
      <c r="V102" s="12">
        <f t="shared" si="166"/>
        <v>0.09</v>
      </c>
      <c r="W102" s="12">
        <f t="shared" si="166"/>
        <v>0</v>
      </c>
      <c r="X102" s="12">
        <f t="shared" si="166"/>
        <v>0</v>
      </c>
      <c r="Y102" s="12">
        <f t="shared" si="166"/>
        <v>0</v>
      </c>
      <c r="Z102" s="12">
        <f t="shared" si="166"/>
        <v>0.09</v>
      </c>
      <c r="AA102" s="24">
        <f t="shared" si="139"/>
        <v>1.3349887193453189E-5</v>
      </c>
      <c r="AC102" s="12">
        <f t="shared" si="140"/>
        <v>0</v>
      </c>
      <c r="AD102" s="12">
        <f t="shared" si="141"/>
        <v>0.09</v>
      </c>
      <c r="AE102" s="12">
        <f t="shared" si="144"/>
        <v>0</v>
      </c>
      <c r="AF102" s="12">
        <f t="shared" si="142"/>
        <v>0.09</v>
      </c>
      <c r="AG102" s="22">
        <f t="shared" ref="AG102:AG108" si="167">AD102/AF102</f>
        <v>1</v>
      </c>
      <c r="AJ102" s="6" t="s">
        <v>31</v>
      </c>
      <c r="AK102" s="54">
        <v>1.32</v>
      </c>
      <c r="AL102" s="54">
        <v>1.81</v>
      </c>
      <c r="AM102" s="382">
        <f t="shared" si="163"/>
        <v>0.72928176795580113</v>
      </c>
    </row>
    <row r="103" spans="1:44" x14ac:dyDescent="0.35">
      <c r="A103" s="11" t="s">
        <v>17</v>
      </c>
      <c r="B103" s="119">
        <f t="shared" ref="B103:Z103" si="168">SUM(B218+B334)</f>
        <v>0</v>
      </c>
      <c r="C103" s="119">
        <f t="shared" si="168"/>
        <v>0</v>
      </c>
      <c r="D103" s="119">
        <f t="shared" si="168"/>
        <v>0</v>
      </c>
      <c r="E103" s="119">
        <f t="shared" si="168"/>
        <v>0</v>
      </c>
      <c r="F103" s="119">
        <f t="shared" si="168"/>
        <v>0</v>
      </c>
      <c r="G103" s="119">
        <f t="shared" si="168"/>
        <v>0</v>
      </c>
      <c r="H103" s="119">
        <f t="shared" si="168"/>
        <v>0</v>
      </c>
      <c r="I103" s="119">
        <f t="shared" si="168"/>
        <v>0</v>
      </c>
      <c r="J103" s="119">
        <f t="shared" si="168"/>
        <v>0</v>
      </c>
      <c r="K103" s="119">
        <f t="shared" si="168"/>
        <v>0</v>
      </c>
      <c r="L103" s="119">
        <f t="shared" si="168"/>
        <v>0</v>
      </c>
      <c r="M103" s="119">
        <f t="shared" si="168"/>
        <v>0.08</v>
      </c>
      <c r="N103" s="119">
        <f t="shared" si="168"/>
        <v>0</v>
      </c>
      <c r="O103" s="119">
        <f t="shared" si="168"/>
        <v>7.0000000000000007E-2</v>
      </c>
      <c r="P103" s="119">
        <f t="shared" si="168"/>
        <v>0</v>
      </c>
      <c r="Q103" s="119">
        <f t="shared" si="168"/>
        <v>0</v>
      </c>
      <c r="R103" s="119">
        <f t="shared" si="168"/>
        <v>0</v>
      </c>
      <c r="S103" s="119">
        <f t="shared" si="168"/>
        <v>0</v>
      </c>
      <c r="T103" s="119">
        <f t="shared" si="168"/>
        <v>0</v>
      </c>
      <c r="U103" s="119">
        <f t="shared" si="168"/>
        <v>0.08</v>
      </c>
      <c r="V103" s="119">
        <f t="shared" si="168"/>
        <v>6.05</v>
      </c>
      <c r="W103" s="119">
        <f t="shared" si="168"/>
        <v>8.09</v>
      </c>
      <c r="X103" s="119">
        <f t="shared" si="168"/>
        <v>10.15</v>
      </c>
      <c r="Y103" s="119">
        <f t="shared" si="168"/>
        <v>0.03</v>
      </c>
      <c r="Z103" s="119">
        <f t="shared" si="168"/>
        <v>24.55</v>
      </c>
      <c r="AA103" s="143">
        <f t="shared" si="139"/>
        <v>3.641552562214176E-3</v>
      </c>
      <c r="AC103" s="119">
        <f t="shared" si="140"/>
        <v>0.23000000000000004</v>
      </c>
      <c r="AD103" s="119">
        <f t="shared" si="141"/>
        <v>24.29</v>
      </c>
      <c r="AE103" s="119">
        <f t="shared" si="144"/>
        <v>0.03</v>
      </c>
      <c r="AF103" s="119">
        <f t="shared" si="142"/>
        <v>24.55</v>
      </c>
      <c r="AG103" s="143">
        <f t="shared" si="167"/>
        <v>0.98940936863543782</v>
      </c>
      <c r="AJ103" s="6" t="s">
        <v>20</v>
      </c>
      <c r="AK103" s="54">
        <v>0.28999999999999998</v>
      </c>
      <c r="AL103" s="54">
        <v>1.24</v>
      </c>
      <c r="AM103" s="382">
        <f t="shared" si="163"/>
        <v>0.23387096774193547</v>
      </c>
    </row>
    <row r="104" spans="1:44" x14ac:dyDescent="0.35">
      <c r="A104" s="6" t="s">
        <v>56</v>
      </c>
      <c r="B104" s="12">
        <f t="shared" ref="B104:Z104" si="169">SUM(B219+B335)</f>
        <v>0</v>
      </c>
      <c r="C104" s="12">
        <f t="shared" si="169"/>
        <v>0</v>
      </c>
      <c r="D104" s="12">
        <f t="shared" si="169"/>
        <v>0</v>
      </c>
      <c r="E104" s="12">
        <f t="shared" si="169"/>
        <v>0</v>
      </c>
      <c r="F104" s="12">
        <f t="shared" si="169"/>
        <v>0</v>
      </c>
      <c r="G104" s="12">
        <f t="shared" si="169"/>
        <v>0</v>
      </c>
      <c r="H104" s="12">
        <f t="shared" si="169"/>
        <v>0</v>
      </c>
      <c r="I104" s="12">
        <f t="shared" si="169"/>
        <v>0</v>
      </c>
      <c r="J104" s="12">
        <f t="shared" si="169"/>
        <v>0</v>
      </c>
      <c r="K104" s="12">
        <f t="shared" si="169"/>
        <v>0</v>
      </c>
      <c r="L104" s="12">
        <f t="shared" si="169"/>
        <v>0</v>
      </c>
      <c r="M104" s="12">
        <f t="shared" si="169"/>
        <v>0.08</v>
      </c>
      <c r="N104" s="12">
        <f t="shared" si="169"/>
        <v>0</v>
      </c>
      <c r="O104" s="12">
        <f t="shared" si="169"/>
        <v>7.0000000000000007E-2</v>
      </c>
      <c r="P104" s="12">
        <f t="shared" si="169"/>
        <v>0</v>
      </c>
      <c r="Q104" s="12">
        <f t="shared" si="169"/>
        <v>0</v>
      </c>
      <c r="R104" s="12">
        <f t="shared" si="169"/>
        <v>0</v>
      </c>
      <c r="S104" s="12">
        <f t="shared" si="169"/>
        <v>0</v>
      </c>
      <c r="T104" s="12">
        <f t="shared" si="169"/>
        <v>0</v>
      </c>
      <c r="U104" s="12">
        <f t="shared" si="169"/>
        <v>0.08</v>
      </c>
      <c r="V104" s="12">
        <f t="shared" si="169"/>
        <v>6.05</v>
      </c>
      <c r="W104" s="12">
        <f t="shared" si="169"/>
        <v>8.09</v>
      </c>
      <c r="X104" s="12">
        <f t="shared" si="169"/>
        <v>10.15</v>
      </c>
      <c r="Y104" s="12">
        <f t="shared" si="169"/>
        <v>0.03</v>
      </c>
      <c r="Z104" s="12">
        <f t="shared" si="169"/>
        <v>24.55</v>
      </c>
      <c r="AA104" s="24">
        <f t="shared" si="139"/>
        <v>3.641552562214176E-3</v>
      </c>
      <c r="AC104" s="12">
        <f t="shared" si="140"/>
        <v>0.23000000000000004</v>
      </c>
      <c r="AD104" s="12">
        <f t="shared" si="141"/>
        <v>24.29</v>
      </c>
      <c r="AE104" s="12">
        <f t="shared" si="144"/>
        <v>0.03</v>
      </c>
      <c r="AF104" s="12">
        <f t="shared" si="142"/>
        <v>24.55</v>
      </c>
      <c r="AG104" s="22">
        <f t="shared" si="167"/>
        <v>0.98940936863543782</v>
      </c>
      <c r="AJ104" s="6" t="s">
        <v>33</v>
      </c>
      <c r="AK104" s="54">
        <v>0.26</v>
      </c>
      <c r="AL104" s="54">
        <v>0.96</v>
      </c>
      <c r="AM104" s="382">
        <f t="shared" si="163"/>
        <v>0.27083333333333337</v>
      </c>
    </row>
    <row r="105" spans="1:44" x14ac:dyDescent="0.35">
      <c r="A105" s="11" t="s">
        <v>20</v>
      </c>
      <c r="B105" s="119">
        <f t="shared" ref="B105:Z105" si="170">SUM(B220+B336)</f>
        <v>0.8</v>
      </c>
      <c r="C105" s="119">
        <f t="shared" si="170"/>
        <v>0</v>
      </c>
      <c r="D105" s="119">
        <f t="shared" si="170"/>
        <v>0</v>
      </c>
      <c r="E105" s="119">
        <f t="shared" si="170"/>
        <v>0</v>
      </c>
      <c r="F105" s="119">
        <f t="shared" si="170"/>
        <v>0</v>
      </c>
      <c r="G105" s="119">
        <f t="shared" si="170"/>
        <v>0</v>
      </c>
      <c r="H105" s="119">
        <f t="shared" si="170"/>
        <v>0</v>
      </c>
      <c r="I105" s="119">
        <f t="shared" si="170"/>
        <v>0</v>
      </c>
      <c r="J105" s="119">
        <f t="shared" si="170"/>
        <v>0</v>
      </c>
      <c r="K105" s="119">
        <f t="shared" si="170"/>
        <v>0</v>
      </c>
      <c r="L105" s="119">
        <f t="shared" si="170"/>
        <v>0</v>
      </c>
      <c r="M105" s="119">
        <f t="shared" si="170"/>
        <v>0</v>
      </c>
      <c r="N105" s="119">
        <f t="shared" si="170"/>
        <v>0</v>
      </c>
      <c r="O105" s="119">
        <f t="shared" si="170"/>
        <v>0</v>
      </c>
      <c r="P105" s="119">
        <f t="shared" si="170"/>
        <v>0</v>
      </c>
      <c r="Q105" s="119">
        <f t="shared" si="170"/>
        <v>0</v>
      </c>
      <c r="R105" s="119">
        <f t="shared" si="170"/>
        <v>0</v>
      </c>
      <c r="S105" s="119">
        <f t="shared" si="170"/>
        <v>0</v>
      </c>
      <c r="T105" s="119">
        <f t="shared" si="170"/>
        <v>0</v>
      </c>
      <c r="U105" s="119">
        <f t="shared" si="170"/>
        <v>0</v>
      </c>
      <c r="V105" s="119">
        <f t="shared" si="170"/>
        <v>0</v>
      </c>
      <c r="W105" s="119">
        <f t="shared" si="170"/>
        <v>0</v>
      </c>
      <c r="X105" s="119">
        <f t="shared" si="170"/>
        <v>0.28999999999999998</v>
      </c>
      <c r="Y105" s="119">
        <f t="shared" si="170"/>
        <v>0.15</v>
      </c>
      <c r="Z105" s="119">
        <f t="shared" si="170"/>
        <v>1.24</v>
      </c>
      <c r="AA105" s="143">
        <f t="shared" si="139"/>
        <v>1.8393177910979951E-4</v>
      </c>
      <c r="AC105" s="119">
        <f t="shared" si="140"/>
        <v>0.8</v>
      </c>
      <c r="AD105" s="119">
        <f t="shared" si="141"/>
        <v>0.28999999999999998</v>
      </c>
      <c r="AE105" s="119">
        <f t="shared" si="144"/>
        <v>0.15</v>
      </c>
      <c r="AF105" s="119">
        <f t="shared" si="142"/>
        <v>1.24</v>
      </c>
      <c r="AG105" s="143">
        <f t="shared" si="167"/>
        <v>0.23387096774193547</v>
      </c>
      <c r="AJ105" s="6" t="s">
        <v>23</v>
      </c>
      <c r="AK105" s="54">
        <v>0.18</v>
      </c>
      <c r="AL105" s="54">
        <v>0.21</v>
      </c>
      <c r="AM105" s="382">
        <f t="shared" si="163"/>
        <v>0.8571428571428571</v>
      </c>
    </row>
    <row r="106" spans="1:44" x14ac:dyDescent="0.35">
      <c r="A106" s="6" t="s">
        <v>20</v>
      </c>
      <c r="B106" s="12">
        <f t="shared" ref="B106:Z106" si="171">SUM(B221+B337)</f>
        <v>0.8</v>
      </c>
      <c r="C106" s="12">
        <f t="shared" si="171"/>
        <v>0</v>
      </c>
      <c r="D106" s="12">
        <f t="shared" si="171"/>
        <v>0</v>
      </c>
      <c r="E106" s="12">
        <f t="shared" si="171"/>
        <v>0</v>
      </c>
      <c r="F106" s="12">
        <f t="shared" si="171"/>
        <v>0</v>
      </c>
      <c r="G106" s="12">
        <f t="shared" si="171"/>
        <v>0</v>
      </c>
      <c r="H106" s="12">
        <f t="shared" si="171"/>
        <v>0</v>
      </c>
      <c r="I106" s="12">
        <f t="shared" si="171"/>
        <v>0</v>
      </c>
      <c r="J106" s="12">
        <f t="shared" si="171"/>
        <v>0</v>
      </c>
      <c r="K106" s="12">
        <f t="shared" si="171"/>
        <v>0</v>
      </c>
      <c r="L106" s="12">
        <f t="shared" si="171"/>
        <v>0</v>
      </c>
      <c r="M106" s="12">
        <f t="shared" si="171"/>
        <v>0</v>
      </c>
      <c r="N106" s="12">
        <f t="shared" si="171"/>
        <v>0</v>
      </c>
      <c r="O106" s="12">
        <f t="shared" si="171"/>
        <v>0</v>
      </c>
      <c r="P106" s="12">
        <f t="shared" si="171"/>
        <v>0</v>
      </c>
      <c r="Q106" s="12">
        <f t="shared" si="171"/>
        <v>0</v>
      </c>
      <c r="R106" s="12">
        <f t="shared" si="171"/>
        <v>0</v>
      </c>
      <c r="S106" s="12">
        <f t="shared" si="171"/>
        <v>0</v>
      </c>
      <c r="T106" s="12">
        <f t="shared" si="171"/>
        <v>0</v>
      </c>
      <c r="U106" s="12">
        <f t="shared" si="171"/>
        <v>0</v>
      </c>
      <c r="V106" s="12">
        <f t="shared" si="171"/>
        <v>0</v>
      </c>
      <c r="W106" s="12">
        <f t="shared" si="171"/>
        <v>0</v>
      </c>
      <c r="X106" s="12">
        <f t="shared" si="171"/>
        <v>0.28999999999999998</v>
      </c>
      <c r="Y106" s="12">
        <f t="shared" si="171"/>
        <v>0.15</v>
      </c>
      <c r="Z106" s="12">
        <f t="shared" si="171"/>
        <v>1.24</v>
      </c>
      <c r="AA106" s="24">
        <f t="shared" si="139"/>
        <v>1.8393177910979951E-4</v>
      </c>
      <c r="AC106" s="12">
        <f t="shared" si="140"/>
        <v>0.8</v>
      </c>
      <c r="AD106" s="12">
        <f t="shared" si="141"/>
        <v>0.28999999999999998</v>
      </c>
      <c r="AE106" s="12">
        <f t="shared" si="144"/>
        <v>0.15</v>
      </c>
      <c r="AF106" s="12">
        <f t="shared" si="142"/>
        <v>1.24</v>
      </c>
      <c r="AG106" s="22">
        <f t="shared" si="167"/>
        <v>0.23387096774193547</v>
      </c>
      <c r="AJ106" s="6" t="s">
        <v>39</v>
      </c>
      <c r="AK106" s="54">
        <v>0.14000000000000001</v>
      </c>
      <c r="AL106" s="54">
        <v>2.91</v>
      </c>
      <c r="AM106" s="382">
        <f t="shared" si="163"/>
        <v>4.8109965635738834E-2</v>
      </c>
    </row>
    <row r="107" spans="1:44" x14ac:dyDescent="0.35">
      <c r="A107" s="11" t="s">
        <v>23</v>
      </c>
      <c r="B107" s="119">
        <f t="shared" ref="B107:Z107" si="172">SUM(B222+B338)</f>
        <v>0</v>
      </c>
      <c r="C107" s="119">
        <f t="shared" si="172"/>
        <v>0</v>
      </c>
      <c r="D107" s="119">
        <f t="shared" si="172"/>
        <v>0</v>
      </c>
      <c r="E107" s="119">
        <f t="shared" si="172"/>
        <v>0</v>
      </c>
      <c r="F107" s="119">
        <f t="shared" si="172"/>
        <v>0.03</v>
      </c>
      <c r="G107" s="119">
        <f t="shared" si="172"/>
        <v>0</v>
      </c>
      <c r="H107" s="119">
        <f t="shared" si="172"/>
        <v>0</v>
      </c>
      <c r="I107" s="119">
        <f t="shared" si="172"/>
        <v>0</v>
      </c>
      <c r="J107" s="119">
        <f t="shared" si="172"/>
        <v>0</v>
      </c>
      <c r="K107" s="119">
        <f t="shared" si="172"/>
        <v>0</v>
      </c>
      <c r="L107" s="119">
        <f t="shared" si="172"/>
        <v>0</v>
      </c>
      <c r="M107" s="119">
        <f t="shared" si="172"/>
        <v>0</v>
      </c>
      <c r="N107" s="119">
        <f t="shared" si="172"/>
        <v>0</v>
      </c>
      <c r="O107" s="119">
        <f t="shared" si="172"/>
        <v>0</v>
      </c>
      <c r="P107" s="119">
        <f t="shared" si="172"/>
        <v>0</v>
      </c>
      <c r="Q107" s="119">
        <f t="shared" si="172"/>
        <v>0</v>
      </c>
      <c r="R107" s="119">
        <f t="shared" si="172"/>
        <v>0</v>
      </c>
      <c r="S107" s="119">
        <f t="shared" si="172"/>
        <v>0</v>
      </c>
      <c r="T107" s="119">
        <f t="shared" si="172"/>
        <v>0</v>
      </c>
      <c r="U107" s="119">
        <f t="shared" si="172"/>
        <v>0</v>
      </c>
      <c r="V107" s="119">
        <f t="shared" si="172"/>
        <v>0</v>
      </c>
      <c r="W107" s="119">
        <f t="shared" si="172"/>
        <v>0.18</v>
      </c>
      <c r="X107" s="119">
        <f t="shared" si="172"/>
        <v>0</v>
      </c>
      <c r="Y107" s="119">
        <f t="shared" si="172"/>
        <v>0</v>
      </c>
      <c r="Z107" s="119">
        <f t="shared" si="172"/>
        <v>0.21</v>
      </c>
      <c r="AA107" s="143">
        <f t="shared" si="139"/>
        <v>3.1149736784724109E-5</v>
      </c>
      <c r="AC107" s="119">
        <f t="shared" si="140"/>
        <v>0.03</v>
      </c>
      <c r="AD107" s="119">
        <f t="shared" si="141"/>
        <v>0.18</v>
      </c>
      <c r="AE107" s="119">
        <f t="shared" si="144"/>
        <v>0</v>
      </c>
      <c r="AF107" s="119">
        <f t="shared" si="142"/>
        <v>0.21</v>
      </c>
      <c r="AG107" s="143">
        <f t="shared" si="167"/>
        <v>0.8571428571428571</v>
      </c>
      <c r="AJ107" s="6" t="s">
        <v>45</v>
      </c>
      <c r="AK107" s="54">
        <v>0.13</v>
      </c>
      <c r="AL107" s="54">
        <v>0.53</v>
      </c>
      <c r="AM107" s="382">
        <f t="shared" si="163"/>
        <v>0.24528301886792453</v>
      </c>
    </row>
    <row r="108" spans="1:44" x14ac:dyDescent="0.35">
      <c r="A108" s="6" t="s">
        <v>23</v>
      </c>
      <c r="B108" s="12">
        <f t="shared" ref="B108:Z108" si="173">SUM(B223+B339)</f>
        <v>0</v>
      </c>
      <c r="C108" s="12">
        <f t="shared" si="173"/>
        <v>0</v>
      </c>
      <c r="D108" s="12">
        <f t="shared" si="173"/>
        <v>0</v>
      </c>
      <c r="E108" s="12">
        <f t="shared" si="173"/>
        <v>0</v>
      </c>
      <c r="F108" s="12">
        <f t="shared" si="173"/>
        <v>0.03</v>
      </c>
      <c r="G108" s="12">
        <f t="shared" si="173"/>
        <v>0</v>
      </c>
      <c r="H108" s="12">
        <f t="shared" si="173"/>
        <v>0</v>
      </c>
      <c r="I108" s="12">
        <f t="shared" si="173"/>
        <v>0</v>
      </c>
      <c r="J108" s="12">
        <f t="shared" si="173"/>
        <v>0</v>
      </c>
      <c r="K108" s="12">
        <f t="shared" si="173"/>
        <v>0</v>
      </c>
      <c r="L108" s="12">
        <f t="shared" si="173"/>
        <v>0</v>
      </c>
      <c r="M108" s="12">
        <f t="shared" si="173"/>
        <v>0</v>
      </c>
      <c r="N108" s="12">
        <f t="shared" si="173"/>
        <v>0</v>
      </c>
      <c r="O108" s="12">
        <f t="shared" si="173"/>
        <v>0</v>
      </c>
      <c r="P108" s="12">
        <f t="shared" si="173"/>
        <v>0</v>
      </c>
      <c r="Q108" s="12">
        <f t="shared" si="173"/>
        <v>0</v>
      </c>
      <c r="R108" s="12">
        <f t="shared" si="173"/>
        <v>0</v>
      </c>
      <c r="S108" s="12">
        <f t="shared" si="173"/>
        <v>0</v>
      </c>
      <c r="T108" s="12">
        <f t="shared" si="173"/>
        <v>0</v>
      </c>
      <c r="U108" s="12">
        <f t="shared" si="173"/>
        <v>0</v>
      </c>
      <c r="V108" s="12">
        <f t="shared" si="173"/>
        <v>0</v>
      </c>
      <c r="W108" s="12">
        <f t="shared" si="173"/>
        <v>0.18</v>
      </c>
      <c r="X108" s="12">
        <f t="shared" si="173"/>
        <v>0</v>
      </c>
      <c r="Y108" s="12">
        <f t="shared" si="173"/>
        <v>0</v>
      </c>
      <c r="Z108" s="12">
        <f t="shared" si="173"/>
        <v>0.21</v>
      </c>
      <c r="AA108" s="24">
        <f t="shared" si="139"/>
        <v>3.1149736784724109E-5</v>
      </c>
      <c r="AC108" s="12">
        <f t="shared" si="140"/>
        <v>0.03</v>
      </c>
      <c r="AD108" s="12">
        <f t="shared" si="141"/>
        <v>0.18</v>
      </c>
      <c r="AE108" s="12">
        <f t="shared" si="144"/>
        <v>0</v>
      </c>
      <c r="AF108" s="12">
        <f t="shared" si="142"/>
        <v>0.21</v>
      </c>
      <c r="AG108" s="22">
        <f t="shared" si="167"/>
        <v>0.8571428571428571</v>
      </c>
      <c r="AJ108" s="6" t="s">
        <v>54</v>
      </c>
      <c r="AK108" s="54">
        <v>0.09</v>
      </c>
      <c r="AL108" s="54">
        <v>0.09</v>
      </c>
      <c r="AM108" s="382">
        <f t="shared" si="163"/>
        <v>1</v>
      </c>
    </row>
    <row r="109" spans="1:44" ht="15.5" x14ac:dyDescent="0.35">
      <c r="A109" s="43" t="s">
        <v>25</v>
      </c>
      <c r="B109" s="142">
        <f t="shared" ref="B109:Z109" si="174">SUM(B224+B340)</f>
        <v>4176.5700000000134</v>
      </c>
      <c r="C109" s="142">
        <f t="shared" si="174"/>
        <v>303.81999999999982</v>
      </c>
      <c r="D109" s="142">
        <f t="shared" si="174"/>
        <v>67.63</v>
      </c>
      <c r="E109" s="142">
        <f t="shared" si="174"/>
        <v>68.839999999999989</v>
      </c>
      <c r="F109" s="142">
        <f t="shared" si="174"/>
        <v>48.050000000000004</v>
      </c>
      <c r="G109" s="142">
        <f t="shared" si="174"/>
        <v>73.069999999999979</v>
      </c>
      <c r="H109" s="142">
        <f t="shared" si="174"/>
        <v>97.11</v>
      </c>
      <c r="I109" s="142">
        <f t="shared" si="174"/>
        <v>34.210000000000008</v>
      </c>
      <c r="J109" s="142">
        <f t="shared" si="174"/>
        <v>46.019999999999996</v>
      </c>
      <c r="K109" s="142">
        <f t="shared" si="174"/>
        <v>64.430000000000007</v>
      </c>
      <c r="L109" s="142">
        <f t="shared" si="174"/>
        <v>34.229999999999997</v>
      </c>
      <c r="M109" s="142">
        <f t="shared" si="174"/>
        <v>92.449999999999989</v>
      </c>
      <c r="N109" s="142">
        <f t="shared" si="174"/>
        <v>50.559999999999995</v>
      </c>
      <c r="O109" s="142">
        <f t="shared" si="174"/>
        <v>73.860000000000014</v>
      </c>
      <c r="P109" s="142">
        <f t="shared" si="174"/>
        <v>127.97999999999995</v>
      </c>
      <c r="Q109" s="142">
        <f t="shared" si="174"/>
        <v>184.33000000000007</v>
      </c>
      <c r="R109" s="142">
        <f t="shared" si="174"/>
        <v>224.71000000000004</v>
      </c>
      <c r="S109" s="142">
        <f t="shared" si="174"/>
        <v>207.9899999999999</v>
      </c>
      <c r="T109" s="142">
        <f t="shared" si="174"/>
        <v>178.17999999999995</v>
      </c>
      <c r="U109" s="142">
        <f t="shared" si="174"/>
        <v>165.53999999999994</v>
      </c>
      <c r="V109" s="142">
        <f t="shared" si="174"/>
        <v>143.30999999999997</v>
      </c>
      <c r="W109" s="142">
        <f t="shared" si="174"/>
        <v>121.21000000000002</v>
      </c>
      <c r="X109" s="142">
        <f t="shared" si="174"/>
        <v>157.33999999999995</v>
      </c>
      <c r="Y109" s="142">
        <f t="shared" si="174"/>
        <v>0.19</v>
      </c>
      <c r="Z109" s="142">
        <f t="shared" si="174"/>
        <v>6741.6300000000128</v>
      </c>
      <c r="AA109" s="142">
        <f t="shared" si="139"/>
        <v>1</v>
      </c>
      <c r="AC109" s="142">
        <f t="shared" si="140"/>
        <v>6319.5800000000127</v>
      </c>
      <c r="AD109" s="142">
        <f t="shared" si="141"/>
        <v>421.8599999999999</v>
      </c>
      <c r="AE109" s="142">
        <f t="shared" si="144"/>
        <v>0.19</v>
      </c>
      <c r="AF109" s="142">
        <f t="shared" si="142"/>
        <v>6741.6300000000119</v>
      </c>
      <c r="AG109" s="197">
        <f>AD109/AF109</f>
        <v>6.2575371238112909E-2</v>
      </c>
      <c r="AJ109" s="6" t="s">
        <v>36</v>
      </c>
      <c r="AK109" s="54">
        <v>0.04</v>
      </c>
      <c r="AL109" s="54">
        <v>0.04</v>
      </c>
      <c r="AM109" s="382">
        <f t="shared" si="163"/>
        <v>1</v>
      </c>
    </row>
    <row r="110" spans="1:44" x14ac:dyDescent="0.35">
      <c r="A110" s="378" t="s">
        <v>253</v>
      </c>
      <c r="B110" s="379"/>
      <c r="C110" s="379">
        <f>C109+B109</f>
        <v>4480.3900000000131</v>
      </c>
      <c r="D110" s="379">
        <f>D109+C110</f>
        <v>4548.0200000000132</v>
      </c>
      <c r="E110" s="379">
        <f>E109+D110</f>
        <v>4616.8600000000133</v>
      </c>
      <c r="F110" s="379">
        <f t="shared" ref="F110" si="175">F109+E110</f>
        <v>4664.9100000000135</v>
      </c>
      <c r="G110" s="379">
        <f t="shared" ref="G110" si="176">G109+F110</f>
        <v>4737.9800000000132</v>
      </c>
      <c r="H110" s="379">
        <f t="shared" ref="H110" si="177">H109+G110</f>
        <v>4835.0900000000129</v>
      </c>
      <c r="I110" s="379">
        <f t="shared" ref="I110" si="178">I109+H110</f>
        <v>4869.3000000000129</v>
      </c>
      <c r="J110" s="379">
        <f t="shared" ref="J110" si="179">J109+I110</f>
        <v>4915.3200000000134</v>
      </c>
      <c r="K110" s="379">
        <f t="shared" ref="K110" si="180">K109+J110</f>
        <v>4979.7500000000136</v>
      </c>
      <c r="L110" s="379">
        <f t="shared" ref="L110" si="181">L109+K110</f>
        <v>5013.9800000000132</v>
      </c>
      <c r="M110" s="379">
        <f t="shared" ref="M110" si="182">M109+L110</f>
        <v>5106.430000000013</v>
      </c>
      <c r="N110" s="379">
        <f t="shared" ref="N110" si="183">N109+M110</f>
        <v>5156.9900000000134</v>
      </c>
      <c r="O110" s="379">
        <f t="shared" ref="O110" si="184">O109+N110</f>
        <v>5230.8500000000131</v>
      </c>
      <c r="P110" s="379">
        <f t="shared" ref="P110" si="185">P109+O110</f>
        <v>5358.8300000000127</v>
      </c>
      <c r="Q110" s="379">
        <f t="shared" ref="Q110" si="186">Q109+P110</f>
        <v>5543.1600000000126</v>
      </c>
      <c r="R110" s="379">
        <f t="shared" ref="R110" si="187">R109+Q110</f>
        <v>5767.8700000000126</v>
      </c>
      <c r="S110" s="379">
        <f t="shared" ref="S110" si="188">S109+R110</f>
        <v>5975.8600000000124</v>
      </c>
      <c r="T110" s="379">
        <f t="shared" ref="T110" si="189">T109+S110</f>
        <v>6154.0400000000127</v>
      </c>
      <c r="U110" s="379">
        <f t="shared" ref="U110" si="190">U109+T110</f>
        <v>6319.5800000000127</v>
      </c>
      <c r="V110" s="379">
        <f t="shared" ref="V110" si="191">V109+U110</f>
        <v>6462.8900000000131</v>
      </c>
      <c r="W110" s="379">
        <f t="shared" ref="W110" si="192">W109+V110</f>
        <v>6584.1000000000131</v>
      </c>
      <c r="X110" s="379">
        <f t="shared" ref="X110" si="193">X109+W110</f>
        <v>6741.4400000000132</v>
      </c>
    </row>
    <row r="111" spans="1:44" x14ac:dyDescent="0.35">
      <c r="A111" s="380" t="s">
        <v>254</v>
      </c>
      <c r="B111" s="379"/>
      <c r="C111" s="381"/>
      <c r="D111" s="381">
        <f>D110/C110-1</f>
        <v>1.5094668098089681E-2</v>
      </c>
      <c r="E111" s="381">
        <f t="shared" ref="E111" si="194">E110/D110-1</f>
        <v>1.5136257096494798E-2</v>
      </c>
      <c r="F111" s="381">
        <f t="shared" ref="F111" si="195">F110/E110-1</f>
        <v>1.040750640045407E-2</v>
      </c>
      <c r="G111" s="381">
        <f t="shared" ref="G111" si="196">G110/F110-1</f>
        <v>1.5663753427182847E-2</v>
      </c>
      <c r="H111" s="381">
        <f t="shared" ref="H111" si="197">H110/G110-1</f>
        <v>2.0496076386983253E-2</v>
      </c>
      <c r="I111" s="381">
        <f t="shared" ref="I111" si="198">I110/H110-1</f>
        <v>7.0753595072687858E-3</v>
      </c>
      <c r="J111" s="381">
        <f t="shared" ref="J111" si="199">J110/I110-1</f>
        <v>9.4510504589981892E-3</v>
      </c>
      <c r="K111" s="381">
        <f t="shared" ref="K111" si="200">K110/J110-1</f>
        <v>1.3107997037832719E-2</v>
      </c>
      <c r="L111" s="381">
        <f t="shared" ref="L111" si="201">L110/K110-1</f>
        <v>6.8738390481448697E-3</v>
      </c>
      <c r="M111" s="381">
        <f t="shared" ref="M111" si="202">M110/L110-1</f>
        <v>1.8438446104691142E-2</v>
      </c>
      <c r="N111" s="381">
        <f t="shared" ref="N111" si="203">N110/M110-1</f>
        <v>9.9012421593951405E-3</v>
      </c>
      <c r="O111" s="381">
        <f t="shared" ref="O111" si="204">O110/N110-1</f>
        <v>1.4322308168136733E-2</v>
      </c>
      <c r="P111" s="381">
        <f t="shared" ref="P111" si="205">P110/O110-1</f>
        <v>2.446638691608416E-2</v>
      </c>
      <c r="Q111" s="381">
        <f t="shared" ref="Q111" si="206">Q110/P110-1</f>
        <v>3.4397433768191821E-2</v>
      </c>
      <c r="R111" s="381">
        <f t="shared" ref="R111" si="207">R110/Q110-1</f>
        <v>4.0538248941037081E-2</v>
      </c>
      <c r="S111" s="381">
        <f t="shared" ref="S111" si="208">S110/R110-1</f>
        <v>3.6060105376854779E-2</v>
      </c>
      <c r="T111" s="381">
        <f t="shared" ref="T111" si="209">T110/S110-1</f>
        <v>2.9816628903622133E-2</v>
      </c>
      <c r="U111" s="381">
        <f t="shared" ref="U111" si="210">U110/T110-1</f>
        <v>2.6899402668815853E-2</v>
      </c>
      <c r="V111" s="381">
        <f t="shared" ref="V111" si="211">V110/U110-1</f>
        <v>2.2677139936514878E-2</v>
      </c>
      <c r="W111" s="381">
        <f t="shared" ref="W111" si="212">W110/V110-1</f>
        <v>1.8754767603966549E-2</v>
      </c>
      <c r="X111" s="381">
        <f t="shared" ref="X111" si="213">X110/W110-1</f>
        <v>2.3896963897875212E-2</v>
      </c>
    </row>
    <row r="112" spans="1:44" ht="15.5" x14ac:dyDescent="0.35">
      <c r="A112" s="146" t="s">
        <v>99</v>
      </c>
      <c r="B112" s="147" t="s">
        <v>100</v>
      </c>
      <c r="C112" s="147">
        <v>2000</v>
      </c>
      <c r="D112" s="147">
        <v>2001</v>
      </c>
      <c r="E112" s="147">
        <v>2002</v>
      </c>
      <c r="F112" s="147">
        <v>2003</v>
      </c>
      <c r="G112" s="147">
        <v>2004</v>
      </c>
      <c r="H112" s="147">
        <v>2005</v>
      </c>
      <c r="I112" s="147">
        <v>2006</v>
      </c>
      <c r="J112" s="147">
        <v>2007</v>
      </c>
      <c r="K112" s="147">
        <v>2008</v>
      </c>
      <c r="L112" s="147">
        <v>2009</v>
      </c>
      <c r="M112" s="147">
        <v>2010</v>
      </c>
      <c r="N112" s="147">
        <v>2011</v>
      </c>
      <c r="O112" s="147">
        <v>2012</v>
      </c>
      <c r="P112" s="147">
        <v>2013</v>
      </c>
      <c r="Q112" s="147">
        <v>2014</v>
      </c>
      <c r="R112" s="147">
        <v>2015</v>
      </c>
      <c r="S112" s="147">
        <v>2016</v>
      </c>
      <c r="T112" s="147">
        <v>2017</v>
      </c>
      <c r="U112" s="147">
        <v>2018</v>
      </c>
      <c r="V112" s="147">
        <v>2019</v>
      </c>
      <c r="W112" s="147">
        <v>2020</v>
      </c>
      <c r="X112" s="147">
        <v>2021</v>
      </c>
      <c r="Y112" s="183" t="s">
        <v>90</v>
      </c>
    </row>
    <row r="113" spans="1:33" x14ac:dyDescent="0.35">
      <c r="A113" s="11" t="s">
        <v>5</v>
      </c>
      <c r="B113" s="22">
        <f t="shared" ref="B113:Y113" si="214">B82/$Z$82</f>
        <v>0</v>
      </c>
      <c r="C113" s="22">
        <f t="shared" si="214"/>
        <v>0</v>
      </c>
      <c r="D113" s="22">
        <f t="shared" si="214"/>
        <v>0</v>
      </c>
      <c r="E113" s="22">
        <f t="shared" si="214"/>
        <v>0</v>
      </c>
      <c r="F113" s="22">
        <f t="shared" si="214"/>
        <v>0</v>
      </c>
      <c r="G113" s="22">
        <f t="shared" si="214"/>
        <v>0</v>
      </c>
      <c r="H113" s="22">
        <f t="shared" si="214"/>
        <v>0</v>
      </c>
      <c r="I113" s="22">
        <f t="shared" si="214"/>
        <v>0</v>
      </c>
      <c r="J113" s="22">
        <f t="shared" si="214"/>
        <v>0</v>
      </c>
      <c r="K113" s="22">
        <f t="shared" si="214"/>
        <v>0</v>
      </c>
      <c r="L113" s="22">
        <f t="shared" si="214"/>
        <v>0</v>
      </c>
      <c r="M113" s="22">
        <f t="shared" si="214"/>
        <v>0</v>
      </c>
      <c r="N113" s="22">
        <f t="shared" si="214"/>
        <v>0</v>
      </c>
      <c r="O113" s="22">
        <f t="shared" si="214"/>
        <v>0</v>
      </c>
      <c r="P113" s="22">
        <f t="shared" si="214"/>
        <v>0</v>
      </c>
      <c r="Q113" s="22">
        <f t="shared" si="214"/>
        <v>0</v>
      </c>
      <c r="R113" s="22">
        <f t="shared" si="214"/>
        <v>0</v>
      </c>
      <c r="S113" s="22">
        <f t="shared" si="214"/>
        <v>0</v>
      </c>
      <c r="T113" s="22">
        <f t="shared" si="214"/>
        <v>0</v>
      </c>
      <c r="U113" s="22">
        <f t="shared" si="214"/>
        <v>1</v>
      </c>
      <c r="V113" s="22">
        <f t="shared" si="214"/>
        <v>0</v>
      </c>
      <c r="W113" s="22">
        <f t="shared" si="214"/>
        <v>0</v>
      </c>
      <c r="X113" s="22">
        <f t="shared" si="214"/>
        <v>0</v>
      </c>
      <c r="Y113" s="385">
        <f t="shared" si="214"/>
        <v>0</v>
      </c>
    </row>
    <row r="114" spans="1:33" x14ac:dyDescent="0.35">
      <c r="A114" s="11" t="s">
        <v>12</v>
      </c>
      <c r="B114" s="22">
        <f t="shared" ref="B114:Y114" si="215">B84/$Z$84</f>
        <v>1.5923566878980892E-2</v>
      </c>
      <c r="C114" s="22">
        <f t="shared" si="215"/>
        <v>0</v>
      </c>
      <c r="D114" s="22">
        <f t="shared" si="215"/>
        <v>0.69108280254777066</v>
      </c>
      <c r="E114" s="22">
        <f t="shared" si="215"/>
        <v>0</v>
      </c>
      <c r="F114" s="22">
        <f t="shared" si="215"/>
        <v>0</v>
      </c>
      <c r="G114" s="22">
        <f t="shared" si="215"/>
        <v>4.9893842887473457E-2</v>
      </c>
      <c r="H114" s="22">
        <f t="shared" si="215"/>
        <v>9.5541401273885346E-3</v>
      </c>
      <c r="I114" s="22">
        <f t="shared" si="215"/>
        <v>0</v>
      </c>
      <c r="J114" s="22">
        <f t="shared" si="215"/>
        <v>0</v>
      </c>
      <c r="K114" s="22">
        <f t="shared" si="215"/>
        <v>2.9723991507431002E-2</v>
      </c>
      <c r="L114" s="22">
        <f t="shared" si="215"/>
        <v>0</v>
      </c>
      <c r="M114" s="22">
        <f t="shared" si="215"/>
        <v>0</v>
      </c>
      <c r="N114" s="22">
        <f t="shared" si="215"/>
        <v>0</v>
      </c>
      <c r="O114" s="22">
        <f t="shared" si="215"/>
        <v>0</v>
      </c>
      <c r="P114" s="22">
        <f t="shared" si="215"/>
        <v>0</v>
      </c>
      <c r="Q114" s="22">
        <f t="shared" si="215"/>
        <v>0</v>
      </c>
      <c r="R114" s="22">
        <f t="shared" si="215"/>
        <v>0</v>
      </c>
      <c r="S114" s="22">
        <f t="shared" si="215"/>
        <v>0</v>
      </c>
      <c r="T114" s="22">
        <f t="shared" si="215"/>
        <v>3.5031847133757961E-2</v>
      </c>
      <c r="U114" s="22">
        <f t="shared" si="215"/>
        <v>0</v>
      </c>
      <c r="V114" s="22">
        <f t="shared" si="215"/>
        <v>0</v>
      </c>
      <c r="W114" s="22">
        <f t="shared" si="215"/>
        <v>0.14012738853503184</v>
      </c>
      <c r="X114" s="22">
        <f t="shared" si="215"/>
        <v>2.7600849256900213E-2</v>
      </c>
      <c r="Y114" s="384">
        <f t="shared" si="215"/>
        <v>1.0615711252653928E-3</v>
      </c>
    </row>
    <row r="115" spans="1:33" x14ac:dyDescent="0.35">
      <c r="A115" s="11" t="s">
        <v>13</v>
      </c>
      <c r="B115" s="22">
        <f t="shared" ref="B115:Y115" si="216">B88/$Z$88</f>
        <v>0.99633363886342807</v>
      </c>
      <c r="C115" s="22">
        <f t="shared" si="216"/>
        <v>0</v>
      </c>
      <c r="D115" s="22">
        <f t="shared" si="216"/>
        <v>0</v>
      </c>
      <c r="E115" s="22">
        <f t="shared" si="216"/>
        <v>0</v>
      </c>
      <c r="F115" s="22">
        <f t="shared" si="216"/>
        <v>0</v>
      </c>
      <c r="G115" s="22">
        <f t="shared" si="216"/>
        <v>0</v>
      </c>
      <c r="H115" s="22">
        <f t="shared" si="216"/>
        <v>0</v>
      </c>
      <c r="I115" s="22">
        <f t="shared" si="216"/>
        <v>0</v>
      </c>
      <c r="J115" s="22">
        <f t="shared" si="216"/>
        <v>0</v>
      </c>
      <c r="K115" s="22">
        <f t="shared" si="216"/>
        <v>0</v>
      </c>
      <c r="L115" s="22">
        <f t="shared" si="216"/>
        <v>0</v>
      </c>
      <c r="M115" s="22">
        <f t="shared" si="216"/>
        <v>0</v>
      </c>
      <c r="N115" s="22">
        <f t="shared" si="216"/>
        <v>0</v>
      </c>
      <c r="O115" s="22">
        <f t="shared" si="216"/>
        <v>0</v>
      </c>
      <c r="P115" s="22">
        <f t="shared" si="216"/>
        <v>0</v>
      </c>
      <c r="Q115" s="22">
        <f t="shared" si="216"/>
        <v>0</v>
      </c>
      <c r="R115" s="22">
        <f t="shared" si="216"/>
        <v>0</v>
      </c>
      <c r="S115" s="22">
        <f t="shared" si="216"/>
        <v>0</v>
      </c>
      <c r="T115" s="22">
        <f t="shared" si="216"/>
        <v>0</v>
      </c>
      <c r="U115" s="22">
        <f t="shared" si="216"/>
        <v>0</v>
      </c>
      <c r="V115" s="22">
        <f t="shared" si="216"/>
        <v>0</v>
      </c>
      <c r="W115" s="22">
        <f t="shared" si="216"/>
        <v>3.6663611365719525E-3</v>
      </c>
      <c r="X115" s="22">
        <f t="shared" si="216"/>
        <v>0</v>
      </c>
      <c r="Y115" s="385">
        <f t="shared" si="216"/>
        <v>0</v>
      </c>
    </row>
    <row r="116" spans="1:33" x14ac:dyDescent="0.35">
      <c r="A116" s="11" t="s">
        <v>14</v>
      </c>
      <c r="B116" s="22">
        <f t="shared" ref="B116:Y116" si="217">B91/$Z$91</f>
        <v>0.62298340954680342</v>
      </c>
      <c r="C116" s="22">
        <f t="shared" si="217"/>
        <v>4.5446862233869768E-2</v>
      </c>
      <c r="D116" s="22">
        <f t="shared" si="217"/>
        <v>9.1426246452969585E-3</v>
      </c>
      <c r="E116" s="22">
        <f t="shared" si="217"/>
        <v>1.029741951214402E-2</v>
      </c>
      <c r="F116" s="22">
        <f t="shared" si="217"/>
        <v>7.1830634075124343E-3</v>
      </c>
      <c r="G116" s="22">
        <f t="shared" si="217"/>
        <v>1.0859858462836372E-2</v>
      </c>
      <c r="H116" s="22">
        <f t="shared" si="217"/>
        <v>1.4512719945790425E-2</v>
      </c>
      <c r="I116" s="22">
        <f t="shared" si="217"/>
        <v>5.1172969423365347E-3</v>
      </c>
      <c r="J116" s="22">
        <f t="shared" si="217"/>
        <v>6.883893752888841E-3</v>
      </c>
      <c r="K116" s="22">
        <f t="shared" si="217"/>
        <v>9.5958666720517005E-3</v>
      </c>
      <c r="L116" s="22">
        <f t="shared" si="217"/>
        <v>5.1202886388827694E-3</v>
      </c>
      <c r="M116" s="22">
        <f t="shared" si="217"/>
        <v>1.2858311755721965E-2</v>
      </c>
      <c r="N116" s="22">
        <f t="shared" si="217"/>
        <v>7.5630088688843937E-3</v>
      </c>
      <c r="O116" s="22">
        <f t="shared" si="217"/>
        <v>1.1037864407337412E-2</v>
      </c>
      <c r="P116" s="22">
        <f t="shared" si="217"/>
        <v>1.884768824128626E-2</v>
      </c>
      <c r="Q116" s="22">
        <f t="shared" si="217"/>
        <v>2.7572971218383327E-2</v>
      </c>
      <c r="R116" s="22">
        <f t="shared" si="217"/>
        <v>3.3613206545233636E-2</v>
      </c>
      <c r="S116" s="22">
        <f t="shared" si="217"/>
        <v>3.0886275143339578E-2</v>
      </c>
      <c r="T116" s="22">
        <f t="shared" si="217"/>
        <v>2.660216568912975E-2</v>
      </c>
      <c r="U116" s="22">
        <f t="shared" si="217"/>
        <v>2.4750305527009724E-2</v>
      </c>
      <c r="V116" s="22">
        <f t="shared" si="217"/>
        <v>2.0518550762359027E-2</v>
      </c>
      <c r="W116" s="22">
        <f t="shared" si="217"/>
        <v>1.6690675031450178E-2</v>
      </c>
      <c r="X116" s="22">
        <f t="shared" si="217"/>
        <v>2.191567304945119E-2</v>
      </c>
      <c r="Y116" s="385">
        <f t="shared" si="217"/>
        <v>0</v>
      </c>
    </row>
    <row r="117" spans="1:33" x14ac:dyDescent="0.35">
      <c r="A117" s="11" t="s">
        <v>15</v>
      </c>
      <c r="B117" s="22">
        <f t="shared" ref="B117:Y117" si="218">B96/$Z$96</f>
        <v>0</v>
      </c>
      <c r="C117" s="22">
        <f t="shared" si="218"/>
        <v>0</v>
      </c>
      <c r="D117" s="22">
        <f t="shared" si="218"/>
        <v>0</v>
      </c>
      <c r="E117" s="22">
        <f t="shared" si="218"/>
        <v>0</v>
      </c>
      <c r="F117" s="22">
        <f t="shared" si="218"/>
        <v>0</v>
      </c>
      <c r="G117" s="22">
        <f t="shared" si="218"/>
        <v>0</v>
      </c>
      <c r="H117" s="22">
        <f t="shared" si="218"/>
        <v>0</v>
      </c>
      <c r="I117" s="22">
        <f t="shared" si="218"/>
        <v>0</v>
      </c>
      <c r="J117" s="22">
        <f t="shared" si="218"/>
        <v>0</v>
      </c>
      <c r="K117" s="22">
        <f t="shared" si="218"/>
        <v>0</v>
      </c>
      <c r="L117" s="22">
        <f t="shared" si="218"/>
        <v>0</v>
      </c>
      <c r="M117" s="22">
        <f t="shared" si="218"/>
        <v>0.6914778856526429</v>
      </c>
      <c r="N117" s="22">
        <f t="shared" si="218"/>
        <v>0</v>
      </c>
      <c r="O117" s="22">
        <f t="shared" si="218"/>
        <v>0</v>
      </c>
      <c r="P117" s="22">
        <f t="shared" si="218"/>
        <v>0.2135922330097087</v>
      </c>
      <c r="Q117" s="22">
        <f t="shared" si="218"/>
        <v>0</v>
      </c>
      <c r="R117" s="22">
        <f t="shared" si="218"/>
        <v>0</v>
      </c>
      <c r="S117" s="22">
        <f t="shared" si="218"/>
        <v>8.0906148867313898E-2</v>
      </c>
      <c r="T117" s="22">
        <f t="shared" si="218"/>
        <v>0</v>
      </c>
      <c r="U117" s="22">
        <f t="shared" si="218"/>
        <v>0</v>
      </c>
      <c r="V117" s="22">
        <f t="shared" si="218"/>
        <v>0</v>
      </c>
      <c r="W117" s="22">
        <f t="shared" si="218"/>
        <v>0</v>
      </c>
      <c r="X117" s="22">
        <f t="shared" si="218"/>
        <v>1.4023732470334411E-2</v>
      </c>
      <c r="Y117" s="385">
        <f t="shared" si="218"/>
        <v>0</v>
      </c>
    </row>
    <row r="118" spans="1:33" x14ac:dyDescent="0.35">
      <c r="A118" s="11" t="s">
        <v>16</v>
      </c>
      <c r="B118" s="22">
        <f t="shared" ref="B118:Y118" si="219">B99/$Z$99</f>
        <v>0</v>
      </c>
      <c r="C118" s="22">
        <f t="shared" si="219"/>
        <v>0</v>
      </c>
      <c r="D118" s="22">
        <f t="shared" si="219"/>
        <v>0</v>
      </c>
      <c r="E118" s="22">
        <f t="shared" si="219"/>
        <v>0</v>
      </c>
      <c r="F118" s="22">
        <f t="shared" si="219"/>
        <v>0</v>
      </c>
      <c r="G118" s="22">
        <f t="shared" si="219"/>
        <v>0</v>
      </c>
      <c r="H118" s="22">
        <f t="shared" si="219"/>
        <v>0</v>
      </c>
      <c r="I118" s="22">
        <f t="shared" si="219"/>
        <v>0</v>
      </c>
      <c r="J118" s="22">
        <f t="shared" si="219"/>
        <v>0</v>
      </c>
      <c r="K118" s="22">
        <f t="shared" si="219"/>
        <v>0</v>
      </c>
      <c r="L118" s="22">
        <f t="shared" si="219"/>
        <v>0</v>
      </c>
      <c r="M118" s="22">
        <f t="shared" si="219"/>
        <v>0</v>
      </c>
      <c r="N118" s="22">
        <f t="shared" si="219"/>
        <v>0</v>
      </c>
      <c r="O118" s="22">
        <f t="shared" si="219"/>
        <v>0</v>
      </c>
      <c r="P118" s="22">
        <f t="shared" si="219"/>
        <v>0</v>
      </c>
      <c r="Q118" s="22">
        <f t="shared" si="219"/>
        <v>0</v>
      </c>
      <c r="R118" s="22">
        <f t="shared" si="219"/>
        <v>0</v>
      </c>
      <c r="S118" s="22">
        <f t="shared" si="219"/>
        <v>0.88372093023255816</v>
      </c>
      <c r="T118" s="22">
        <f t="shared" si="219"/>
        <v>1.1627906976744186E-2</v>
      </c>
      <c r="U118" s="22">
        <f t="shared" si="219"/>
        <v>0</v>
      </c>
      <c r="V118" s="22">
        <f t="shared" si="219"/>
        <v>0.10465116279069767</v>
      </c>
      <c r="W118" s="22">
        <f t="shared" si="219"/>
        <v>0</v>
      </c>
      <c r="X118" s="22">
        <f t="shared" si="219"/>
        <v>0</v>
      </c>
      <c r="Y118" s="385">
        <f t="shared" si="219"/>
        <v>0</v>
      </c>
    </row>
    <row r="119" spans="1:33" x14ac:dyDescent="0.35">
      <c r="A119" s="11" t="s">
        <v>17</v>
      </c>
      <c r="B119" s="22">
        <f t="shared" ref="B119:Y119" si="220">B103/$Z$103</f>
        <v>0</v>
      </c>
      <c r="C119" s="22">
        <f t="shared" si="220"/>
        <v>0</v>
      </c>
      <c r="D119" s="22">
        <f t="shared" si="220"/>
        <v>0</v>
      </c>
      <c r="E119" s="22">
        <f t="shared" si="220"/>
        <v>0</v>
      </c>
      <c r="F119" s="22">
        <f t="shared" si="220"/>
        <v>0</v>
      </c>
      <c r="G119" s="22">
        <f t="shared" si="220"/>
        <v>0</v>
      </c>
      <c r="H119" s="22">
        <f t="shared" si="220"/>
        <v>0</v>
      </c>
      <c r="I119" s="22">
        <f t="shared" si="220"/>
        <v>0</v>
      </c>
      <c r="J119" s="22">
        <f t="shared" si="220"/>
        <v>0</v>
      </c>
      <c r="K119" s="22">
        <f t="shared" si="220"/>
        <v>0</v>
      </c>
      <c r="L119" s="22">
        <f t="shared" si="220"/>
        <v>0</v>
      </c>
      <c r="M119" s="22">
        <f t="shared" si="220"/>
        <v>3.2586558044806519E-3</v>
      </c>
      <c r="N119" s="22">
        <f t="shared" si="220"/>
        <v>0</v>
      </c>
      <c r="O119" s="22">
        <f t="shared" si="220"/>
        <v>2.8513238289205704E-3</v>
      </c>
      <c r="P119" s="22">
        <f t="shared" si="220"/>
        <v>0</v>
      </c>
      <c r="Q119" s="22">
        <f t="shared" si="220"/>
        <v>0</v>
      </c>
      <c r="R119" s="22">
        <f t="shared" si="220"/>
        <v>0</v>
      </c>
      <c r="S119" s="22">
        <f t="shared" si="220"/>
        <v>0</v>
      </c>
      <c r="T119" s="22">
        <f t="shared" si="220"/>
        <v>0</v>
      </c>
      <c r="U119" s="22">
        <f t="shared" si="220"/>
        <v>3.2586558044806519E-3</v>
      </c>
      <c r="V119" s="22">
        <f t="shared" si="220"/>
        <v>0.24643584521384929</v>
      </c>
      <c r="W119" s="22">
        <f t="shared" si="220"/>
        <v>0.32953156822810586</v>
      </c>
      <c r="X119" s="22">
        <f t="shared" si="220"/>
        <v>0.4134419551934827</v>
      </c>
      <c r="Y119" s="384">
        <f t="shared" si="220"/>
        <v>1.2219959266802443E-3</v>
      </c>
    </row>
    <row r="120" spans="1:33" x14ac:dyDescent="0.35">
      <c r="A120" s="11" t="s">
        <v>20</v>
      </c>
      <c r="B120" s="22">
        <f t="shared" ref="B120:Y120" si="221">B105/$Z$105</f>
        <v>0.64516129032258074</v>
      </c>
      <c r="C120" s="22">
        <f t="shared" si="221"/>
        <v>0</v>
      </c>
      <c r="D120" s="22">
        <f t="shared" si="221"/>
        <v>0</v>
      </c>
      <c r="E120" s="22">
        <f t="shared" si="221"/>
        <v>0</v>
      </c>
      <c r="F120" s="22">
        <f t="shared" si="221"/>
        <v>0</v>
      </c>
      <c r="G120" s="22">
        <f t="shared" si="221"/>
        <v>0</v>
      </c>
      <c r="H120" s="22">
        <f t="shared" si="221"/>
        <v>0</v>
      </c>
      <c r="I120" s="22">
        <f t="shared" si="221"/>
        <v>0</v>
      </c>
      <c r="J120" s="22">
        <f t="shared" si="221"/>
        <v>0</v>
      </c>
      <c r="K120" s="22">
        <f t="shared" si="221"/>
        <v>0</v>
      </c>
      <c r="L120" s="22">
        <f t="shared" si="221"/>
        <v>0</v>
      </c>
      <c r="M120" s="22">
        <f t="shared" si="221"/>
        <v>0</v>
      </c>
      <c r="N120" s="22">
        <f t="shared" si="221"/>
        <v>0</v>
      </c>
      <c r="O120" s="22">
        <f t="shared" si="221"/>
        <v>0</v>
      </c>
      <c r="P120" s="22">
        <f t="shared" si="221"/>
        <v>0</v>
      </c>
      <c r="Q120" s="22">
        <f t="shared" si="221"/>
        <v>0</v>
      </c>
      <c r="R120" s="22">
        <f t="shared" si="221"/>
        <v>0</v>
      </c>
      <c r="S120" s="22">
        <f t="shared" si="221"/>
        <v>0</v>
      </c>
      <c r="T120" s="22">
        <f t="shared" si="221"/>
        <v>0</v>
      </c>
      <c r="U120" s="22">
        <f t="shared" si="221"/>
        <v>0</v>
      </c>
      <c r="V120" s="22">
        <f t="shared" si="221"/>
        <v>0</v>
      </c>
      <c r="W120" s="22">
        <f t="shared" si="221"/>
        <v>0</v>
      </c>
      <c r="X120" s="22">
        <f t="shared" si="221"/>
        <v>0.23387096774193547</v>
      </c>
      <c r="Y120" s="385">
        <f t="shared" si="221"/>
        <v>0.12096774193548386</v>
      </c>
    </row>
    <row r="121" spans="1:33" x14ac:dyDescent="0.35">
      <c r="A121" s="11" t="s">
        <v>23</v>
      </c>
      <c r="B121" s="22">
        <f t="shared" ref="B121:Y121" si="222">B107/$Z$107</f>
        <v>0</v>
      </c>
      <c r="C121" s="22">
        <f t="shared" si="222"/>
        <v>0</v>
      </c>
      <c r="D121" s="22">
        <f t="shared" si="222"/>
        <v>0</v>
      </c>
      <c r="E121" s="22">
        <f t="shared" si="222"/>
        <v>0</v>
      </c>
      <c r="F121" s="22">
        <f t="shared" si="222"/>
        <v>0.14285714285714285</v>
      </c>
      <c r="G121" s="22">
        <f t="shared" si="222"/>
        <v>0</v>
      </c>
      <c r="H121" s="22">
        <f t="shared" si="222"/>
        <v>0</v>
      </c>
      <c r="I121" s="22">
        <f t="shared" si="222"/>
        <v>0</v>
      </c>
      <c r="J121" s="22">
        <f t="shared" si="222"/>
        <v>0</v>
      </c>
      <c r="K121" s="22">
        <f t="shared" si="222"/>
        <v>0</v>
      </c>
      <c r="L121" s="22">
        <f t="shared" si="222"/>
        <v>0</v>
      </c>
      <c r="M121" s="22">
        <f t="shared" si="222"/>
        <v>0</v>
      </c>
      <c r="N121" s="22">
        <f t="shared" si="222"/>
        <v>0</v>
      </c>
      <c r="O121" s="22">
        <f t="shared" si="222"/>
        <v>0</v>
      </c>
      <c r="P121" s="22">
        <f t="shared" si="222"/>
        <v>0</v>
      </c>
      <c r="Q121" s="22">
        <f t="shared" si="222"/>
        <v>0</v>
      </c>
      <c r="R121" s="22">
        <f t="shared" si="222"/>
        <v>0</v>
      </c>
      <c r="S121" s="22">
        <f t="shared" si="222"/>
        <v>0</v>
      </c>
      <c r="T121" s="22">
        <f t="shared" si="222"/>
        <v>0</v>
      </c>
      <c r="U121" s="22">
        <f t="shared" si="222"/>
        <v>0</v>
      </c>
      <c r="V121" s="22">
        <f t="shared" si="222"/>
        <v>0</v>
      </c>
      <c r="W121" s="22">
        <f t="shared" si="222"/>
        <v>0.8571428571428571</v>
      </c>
      <c r="X121" s="22">
        <f t="shared" si="222"/>
        <v>0</v>
      </c>
      <c r="Y121" s="385">
        <f t="shared" si="222"/>
        <v>0</v>
      </c>
    </row>
    <row r="122" spans="1:33" x14ac:dyDescent="0.35">
      <c r="A122" s="11" t="s">
        <v>25</v>
      </c>
      <c r="B122" s="22">
        <f t="shared" ref="B122:Y122" si="223">B109/$Z$109</f>
        <v>0.61951931506178848</v>
      </c>
      <c r="C122" s="22">
        <f t="shared" si="223"/>
        <v>4.5066252523499398E-2</v>
      </c>
      <c r="D122" s="22">
        <f t="shared" si="223"/>
        <v>1.0031698565480435E-2</v>
      </c>
      <c r="E122" s="22">
        <f t="shared" si="223"/>
        <v>1.0211180382192417E-2</v>
      </c>
      <c r="F122" s="22">
        <f t="shared" si="223"/>
        <v>7.1273564405047313E-3</v>
      </c>
      <c r="G122" s="22">
        <f t="shared" si="223"/>
        <v>1.0838625080284714E-2</v>
      </c>
      <c r="H122" s="22">
        <f t="shared" si="223"/>
        <v>1.4404528281735992E-2</v>
      </c>
      <c r="I122" s="22">
        <f t="shared" si="223"/>
        <v>5.0744404543114855E-3</v>
      </c>
      <c r="J122" s="22">
        <f t="shared" si="223"/>
        <v>6.8262423182523973E-3</v>
      </c>
      <c r="K122" s="22">
        <f t="shared" si="223"/>
        <v>9.5570359097132129E-3</v>
      </c>
      <c r="L122" s="22">
        <f t="shared" si="223"/>
        <v>5.0774070959100298E-3</v>
      </c>
      <c r="M122" s="22">
        <f t="shared" si="223"/>
        <v>1.3713300789274969E-2</v>
      </c>
      <c r="N122" s="22">
        <f t="shared" si="223"/>
        <v>7.4996699611221468E-3</v>
      </c>
      <c r="O122" s="22">
        <f t="shared" si="223"/>
        <v>1.0955807423427253E-2</v>
      </c>
      <c r="P122" s="22">
        <f t="shared" si="223"/>
        <v>1.898353958909043E-2</v>
      </c>
      <c r="Q122" s="22">
        <f t="shared" si="223"/>
        <v>2.7342052292991414E-2</v>
      </c>
      <c r="R122" s="22">
        <f t="shared" si="223"/>
        <v>3.3331701680454073E-2</v>
      </c>
      <c r="S122" s="22">
        <f t="shared" si="223"/>
        <v>3.0851589304070306E-2</v>
      </c>
      <c r="T122" s="22">
        <f t="shared" si="223"/>
        <v>2.6429810001438764E-2</v>
      </c>
      <c r="U122" s="22">
        <f t="shared" si="223"/>
        <v>2.4554892511158225E-2</v>
      </c>
      <c r="V122" s="22">
        <f t="shared" si="223"/>
        <v>2.1257470374375292E-2</v>
      </c>
      <c r="W122" s="22">
        <f t="shared" si="223"/>
        <v>1.7979331407982906E-2</v>
      </c>
      <c r="X122" s="22">
        <f t="shared" si="223"/>
        <v>2.3338569455754712E-2</v>
      </c>
      <c r="Y122" s="385">
        <f t="shared" si="223"/>
        <v>2.8183095186178957E-5</v>
      </c>
    </row>
    <row r="123" spans="1:33" s="136" customFormat="1" x14ac:dyDescent="0.35">
      <c r="A123" s="530"/>
      <c r="B123" s="381"/>
      <c r="C123" s="381"/>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431"/>
    </row>
    <row r="124" spans="1:33" ht="23.5" x14ac:dyDescent="0.45">
      <c r="A124" s="289" t="s">
        <v>68</v>
      </c>
      <c r="B124" s="223"/>
      <c r="C124" s="120"/>
      <c r="D124" s="120"/>
    </row>
    <row r="125" spans="1:33" ht="15.5" x14ac:dyDescent="0.35">
      <c r="A125" s="290" t="s">
        <v>109</v>
      </c>
    </row>
    <row r="126" spans="1:33" ht="18.5" x14ac:dyDescent="0.45">
      <c r="A126" s="108"/>
      <c r="D126" s="109"/>
      <c r="AA126" s="110"/>
    </row>
    <row r="127" spans="1:33" ht="36" x14ac:dyDescent="0.35">
      <c r="A127" s="213" t="s">
        <v>88</v>
      </c>
      <c r="B127" s="195" t="s">
        <v>89</v>
      </c>
      <c r="C127" s="195">
        <v>2000</v>
      </c>
      <c r="D127" s="195">
        <v>2001</v>
      </c>
      <c r="E127" s="195">
        <v>2002</v>
      </c>
      <c r="F127" s="195">
        <v>2003</v>
      </c>
      <c r="G127" s="195">
        <v>2004</v>
      </c>
      <c r="H127" s="195">
        <v>2005</v>
      </c>
      <c r="I127" s="195">
        <v>2006</v>
      </c>
      <c r="J127" s="195">
        <v>2007</v>
      </c>
      <c r="K127" s="195">
        <v>2008</v>
      </c>
      <c r="L127" s="195">
        <v>2009</v>
      </c>
      <c r="M127" s="195">
        <v>2010</v>
      </c>
      <c r="N127" s="195">
        <v>2011</v>
      </c>
      <c r="O127" s="195">
        <v>2012</v>
      </c>
      <c r="P127" s="195">
        <v>2013</v>
      </c>
      <c r="Q127" s="195">
        <v>2014</v>
      </c>
      <c r="R127" s="195">
        <v>2015</v>
      </c>
      <c r="S127" s="195">
        <v>2016</v>
      </c>
      <c r="T127" s="195">
        <v>2017</v>
      </c>
      <c r="U127" s="195">
        <v>2018</v>
      </c>
      <c r="V127" s="195">
        <v>2019</v>
      </c>
      <c r="W127" s="195">
        <v>2020</v>
      </c>
      <c r="X127" s="195">
        <v>2021</v>
      </c>
      <c r="Y127" s="195" t="s">
        <v>90</v>
      </c>
      <c r="Z127" s="195" t="s">
        <v>91</v>
      </c>
      <c r="AA127" s="187" t="s">
        <v>92</v>
      </c>
      <c r="AC127" s="206" t="s">
        <v>93</v>
      </c>
      <c r="AD127" s="206" t="s">
        <v>107</v>
      </c>
      <c r="AE127" s="206" t="s">
        <v>94</v>
      </c>
      <c r="AF127" s="206" t="s">
        <v>96</v>
      </c>
      <c r="AG127" s="206" t="s">
        <v>97</v>
      </c>
    </row>
    <row r="128" spans="1:33" x14ac:dyDescent="0.35">
      <c r="A128" s="116" t="s">
        <v>5</v>
      </c>
      <c r="B128" s="117">
        <f>SUM(B129:B130)</f>
        <v>0</v>
      </c>
      <c r="C128" s="117">
        <f t="shared" ref="C128:Y128" si="224">SUM(C129:C130)</f>
        <v>0</v>
      </c>
      <c r="D128" s="117">
        <f t="shared" si="224"/>
        <v>0</v>
      </c>
      <c r="E128" s="117">
        <f t="shared" si="224"/>
        <v>0</v>
      </c>
      <c r="F128" s="117">
        <f t="shared" si="224"/>
        <v>0</v>
      </c>
      <c r="G128" s="117">
        <f t="shared" si="224"/>
        <v>0.03</v>
      </c>
      <c r="H128" s="117">
        <f t="shared" si="224"/>
        <v>0</v>
      </c>
      <c r="I128" s="117">
        <f t="shared" si="224"/>
        <v>0</v>
      </c>
      <c r="J128" s="117">
        <f t="shared" si="224"/>
        <v>0</v>
      </c>
      <c r="K128" s="117">
        <f t="shared" si="224"/>
        <v>0</v>
      </c>
      <c r="L128" s="117">
        <f t="shared" si="224"/>
        <v>0</v>
      </c>
      <c r="M128" s="117">
        <f t="shared" si="224"/>
        <v>0</v>
      </c>
      <c r="N128" s="117">
        <f t="shared" si="224"/>
        <v>0</v>
      </c>
      <c r="O128" s="117">
        <f t="shared" si="224"/>
        <v>0</v>
      </c>
      <c r="P128" s="117">
        <f t="shared" si="224"/>
        <v>0</v>
      </c>
      <c r="Q128" s="117">
        <f t="shared" si="224"/>
        <v>0</v>
      </c>
      <c r="R128" s="117">
        <f t="shared" si="224"/>
        <v>0</v>
      </c>
      <c r="S128" s="117">
        <f t="shared" si="224"/>
        <v>0</v>
      </c>
      <c r="T128" s="117">
        <f t="shared" si="224"/>
        <v>0</v>
      </c>
      <c r="U128" s="117">
        <f t="shared" si="224"/>
        <v>0</v>
      </c>
      <c r="V128" s="117">
        <f t="shared" si="224"/>
        <v>0</v>
      </c>
      <c r="W128" s="117">
        <f t="shared" si="224"/>
        <v>0.12</v>
      </c>
      <c r="X128" s="117">
        <f t="shared" si="224"/>
        <v>0</v>
      </c>
      <c r="Y128" s="117">
        <f t="shared" si="224"/>
        <v>0</v>
      </c>
      <c r="Z128" s="117">
        <f>SUM(B128:Y128)</f>
        <v>0.15</v>
      </c>
      <c r="AA128" s="185">
        <f>Z128/$Z$173</f>
        <v>4.9280504632367512E-5</v>
      </c>
      <c r="AC128" s="117">
        <f t="shared" ref="AC128:AC144" si="225">SUM(B128:T128)</f>
        <v>0.03</v>
      </c>
      <c r="AD128" s="117">
        <f t="shared" ref="AD128:AD140" si="226">SUM(U128:X128)</f>
        <v>0.12</v>
      </c>
      <c r="AE128" s="117">
        <f t="shared" ref="AE128:AE173" si="227">Y128</f>
        <v>0</v>
      </c>
      <c r="AF128" s="117">
        <f t="shared" ref="AF128:AF146" si="228">SUM(AC128:AE128)</f>
        <v>0.15</v>
      </c>
      <c r="AG128" s="185">
        <f>AD128/AF128</f>
        <v>0.8</v>
      </c>
    </row>
    <row r="129" spans="1:44" x14ac:dyDescent="0.35">
      <c r="A129" s="6" t="s">
        <v>8</v>
      </c>
      <c r="B129" s="12"/>
      <c r="C129" s="12"/>
      <c r="D129" s="12"/>
      <c r="E129" s="12"/>
      <c r="F129" s="12"/>
      <c r="G129" s="12"/>
      <c r="H129" s="12"/>
      <c r="I129" s="12"/>
      <c r="J129" s="12"/>
      <c r="K129" s="12"/>
      <c r="L129" s="12"/>
      <c r="M129" s="12"/>
      <c r="N129" s="12"/>
      <c r="O129" s="12"/>
      <c r="P129" s="12"/>
      <c r="Q129" s="12"/>
      <c r="R129" s="12"/>
      <c r="S129" s="12"/>
      <c r="T129" s="12"/>
      <c r="U129" s="12"/>
      <c r="V129" s="12"/>
      <c r="W129" s="12">
        <v>0.12</v>
      </c>
      <c r="X129" s="12"/>
      <c r="Y129" s="12"/>
      <c r="Z129" s="12">
        <f>SUM(B129:Y129)</f>
        <v>0.12</v>
      </c>
      <c r="AA129" s="24">
        <f>Z129/$Z$173</f>
        <v>3.9424403705894012E-5</v>
      </c>
      <c r="AC129" s="89">
        <f t="shared" si="225"/>
        <v>0</v>
      </c>
      <c r="AD129" s="89">
        <f t="shared" si="226"/>
        <v>0.12</v>
      </c>
      <c r="AE129" s="89">
        <f t="shared" si="227"/>
        <v>0</v>
      </c>
      <c r="AF129" s="89">
        <f t="shared" si="228"/>
        <v>0.12</v>
      </c>
      <c r="AG129" s="24">
        <f t="shared" ref="AG129:AG130" si="229">AD129/AF129</f>
        <v>1</v>
      </c>
    </row>
    <row r="130" spans="1:44" x14ac:dyDescent="0.35">
      <c r="A130" s="6" t="s">
        <v>29</v>
      </c>
      <c r="B130" s="12"/>
      <c r="C130" s="12"/>
      <c r="D130" s="12"/>
      <c r="E130" s="12"/>
      <c r="F130" s="12"/>
      <c r="G130" s="12">
        <v>0.03</v>
      </c>
      <c r="H130" s="12"/>
      <c r="I130" s="12"/>
      <c r="J130" s="12"/>
      <c r="K130" s="12"/>
      <c r="L130" s="12"/>
      <c r="M130" s="12"/>
      <c r="N130" s="12"/>
      <c r="O130" s="12"/>
      <c r="P130" s="12"/>
      <c r="Q130" s="12"/>
      <c r="R130" s="12"/>
      <c r="S130" s="12"/>
      <c r="T130" s="12"/>
      <c r="U130" s="12"/>
      <c r="V130" s="12"/>
      <c r="W130" s="12"/>
      <c r="X130" s="12"/>
      <c r="Y130" s="12"/>
      <c r="Z130" s="12">
        <f>SUM(B130:Y130)</f>
        <v>0.03</v>
      </c>
      <c r="AA130" s="24">
        <f t="shared" ref="AA130:AA172" si="230">Z130/$Z$173</f>
        <v>9.856100926473503E-6</v>
      </c>
      <c r="AC130" s="89">
        <f t="shared" si="225"/>
        <v>0.03</v>
      </c>
      <c r="AD130" s="89">
        <f t="shared" si="226"/>
        <v>0</v>
      </c>
      <c r="AE130" s="89">
        <f t="shared" si="227"/>
        <v>0</v>
      </c>
      <c r="AF130" s="89">
        <f t="shared" si="228"/>
        <v>0.03</v>
      </c>
      <c r="AG130" s="24">
        <f t="shared" si="229"/>
        <v>0</v>
      </c>
    </row>
    <row r="131" spans="1:44" x14ac:dyDescent="0.35">
      <c r="A131" s="116" t="s">
        <v>12</v>
      </c>
      <c r="B131" s="117">
        <f>SUM(B132:B134)</f>
        <v>13.989999999999997</v>
      </c>
      <c r="C131" s="117">
        <f t="shared" ref="C131:Y131" si="231">SUM(C132:C134)</f>
        <v>0.64</v>
      </c>
      <c r="D131" s="117">
        <f t="shared" si="231"/>
        <v>0</v>
      </c>
      <c r="E131" s="117">
        <f t="shared" si="231"/>
        <v>0</v>
      </c>
      <c r="F131" s="117">
        <f t="shared" si="231"/>
        <v>0.22</v>
      </c>
      <c r="G131" s="117">
        <f t="shared" si="231"/>
        <v>0</v>
      </c>
      <c r="H131" s="117">
        <f t="shared" si="231"/>
        <v>0.16</v>
      </c>
      <c r="I131" s="117">
        <f t="shared" si="231"/>
        <v>0</v>
      </c>
      <c r="J131" s="117">
        <f t="shared" si="231"/>
        <v>0</v>
      </c>
      <c r="K131" s="117">
        <f t="shared" si="231"/>
        <v>0</v>
      </c>
      <c r="L131" s="117">
        <f t="shared" si="231"/>
        <v>0.32</v>
      </c>
      <c r="M131" s="117">
        <f t="shared" si="231"/>
        <v>7.0000000000000007E-2</v>
      </c>
      <c r="N131" s="117">
        <f t="shared" si="231"/>
        <v>0</v>
      </c>
      <c r="O131" s="117">
        <f t="shared" si="231"/>
        <v>0.28999999999999998</v>
      </c>
      <c r="P131" s="117">
        <f t="shared" si="231"/>
        <v>0</v>
      </c>
      <c r="Q131" s="117">
        <f t="shared" si="231"/>
        <v>0</v>
      </c>
      <c r="R131" s="117">
        <f t="shared" si="231"/>
        <v>0.16</v>
      </c>
      <c r="S131" s="117">
        <f t="shared" si="231"/>
        <v>0</v>
      </c>
      <c r="T131" s="117">
        <f t="shared" si="231"/>
        <v>0</v>
      </c>
      <c r="U131" s="117">
        <f t="shared" si="231"/>
        <v>0</v>
      </c>
      <c r="V131" s="117">
        <f t="shared" si="231"/>
        <v>0</v>
      </c>
      <c r="W131" s="117">
        <f t="shared" si="231"/>
        <v>0</v>
      </c>
      <c r="X131" s="117">
        <f t="shared" si="231"/>
        <v>0</v>
      </c>
      <c r="Y131" s="117">
        <f t="shared" si="231"/>
        <v>0</v>
      </c>
      <c r="Z131" s="117">
        <f>SUM(B131:Y131)</f>
        <v>15.849999999999998</v>
      </c>
      <c r="AA131" s="185">
        <f t="shared" si="230"/>
        <v>5.2073066561534997E-3</v>
      </c>
      <c r="AC131" s="117">
        <f t="shared" si="225"/>
        <v>15.849999999999998</v>
      </c>
      <c r="AD131" s="117">
        <f t="shared" si="226"/>
        <v>0</v>
      </c>
      <c r="AE131" s="117">
        <f t="shared" si="227"/>
        <v>0</v>
      </c>
      <c r="AF131" s="117">
        <f t="shared" si="228"/>
        <v>15.849999999999998</v>
      </c>
      <c r="AG131" s="185">
        <f>AD131/AF131</f>
        <v>0</v>
      </c>
    </row>
    <row r="132" spans="1:44" x14ac:dyDescent="0.35">
      <c r="A132" s="6" t="s">
        <v>31</v>
      </c>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f>SUM(B132:Y132)</f>
        <v>0</v>
      </c>
      <c r="AA132" s="24">
        <f t="shared" si="230"/>
        <v>0</v>
      </c>
      <c r="AC132" s="89">
        <f t="shared" si="225"/>
        <v>0</v>
      </c>
      <c r="AD132" s="89">
        <f t="shared" si="226"/>
        <v>0</v>
      </c>
      <c r="AE132" s="89">
        <f t="shared" si="227"/>
        <v>0</v>
      </c>
      <c r="AF132" s="89">
        <f t="shared" si="228"/>
        <v>0</v>
      </c>
      <c r="AG132" s="24"/>
    </row>
    <row r="133" spans="1:44" x14ac:dyDescent="0.35">
      <c r="A133" s="6" t="s">
        <v>32</v>
      </c>
      <c r="B133" s="12">
        <v>13.469999999999997</v>
      </c>
      <c r="C133" s="12">
        <v>0.64</v>
      </c>
      <c r="D133" s="12"/>
      <c r="E133" s="12"/>
      <c r="F133" s="12">
        <v>0.22</v>
      </c>
      <c r="G133" s="12"/>
      <c r="H133" s="12"/>
      <c r="I133" s="12"/>
      <c r="J133" s="12"/>
      <c r="K133" s="12"/>
      <c r="L133" s="12"/>
      <c r="M133" s="12">
        <v>7.0000000000000007E-2</v>
      </c>
      <c r="N133" s="12"/>
      <c r="O133" s="12">
        <v>0.28999999999999998</v>
      </c>
      <c r="P133" s="12"/>
      <c r="Q133" s="12"/>
      <c r="R133" s="12">
        <v>0.16</v>
      </c>
      <c r="S133" s="12"/>
      <c r="T133" s="12"/>
      <c r="U133" s="12"/>
      <c r="V133" s="12"/>
      <c r="W133" s="12"/>
      <c r="X133" s="12"/>
      <c r="Y133" s="12"/>
      <c r="Z133" s="12">
        <f t="shared" ref="Z133:Z134" si="232">SUM(B133:Y133)</f>
        <v>14.849999999999998</v>
      </c>
      <c r="AA133" s="24">
        <f t="shared" si="230"/>
        <v>4.8787699586043832E-3</v>
      </c>
      <c r="AC133" s="89">
        <f t="shared" si="225"/>
        <v>14.849999999999998</v>
      </c>
      <c r="AD133" s="89">
        <f t="shared" si="226"/>
        <v>0</v>
      </c>
      <c r="AE133" s="89">
        <f t="shared" si="227"/>
        <v>0</v>
      </c>
      <c r="AF133" s="89">
        <f t="shared" si="228"/>
        <v>14.849999999999998</v>
      </c>
      <c r="AG133" s="24">
        <f t="shared" ref="AG133:AG134" si="233">AD133/AF133</f>
        <v>0</v>
      </c>
    </row>
    <row r="134" spans="1:44" x14ac:dyDescent="0.35">
      <c r="A134" s="6" t="s">
        <v>33</v>
      </c>
      <c r="B134" s="12">
        <v>0.52</v>
      </c>
      <c r="C134" s="12"/>
      <c r="D134" s="12"/>
      <c r="E134" s="12"/>
      <c r="F134" s="12"/>
      <c r="G134" s="12"/>
      <c r="H134" s="12">
        <v>0.16</v>
      </c>
      <c r="I134" s="12"/>
      <c r="J134" s="12"/>
      <c r="K134" s="12"/>
      <c r="L134" s="12">
        <v>0.32</v>
      </c>
      <c r="M134" s="12"/>
      <c r="N134" s="12"/>
      <c r="O134" s="12"/>
      <c r="P134" s="12"/>
      <c r="Q134" s="12"/>
      <c r="R134" s="12"/>
      <c r="S134" s="12"/>
      <c r="T134" s="12"/>
      <c r="U134" s="12"/>
      <c r="V134" s="12"/>
      <c r="W134" s="12"/>
      <c r="X134" s="12"/>
      <c r="Y134" s="12"/>
      <c r="Z134" s="12">
        <f t="shared" si="232"/>
        <v>1</v>
      </c>
      <c r="AA134" s="24">
        <f t="shared" si="230"/>
        <v>3.2853669754911676E-4</v>
      </c>
      <c r="AC134" s="89">
        <f t="shared" si="225"/>
        <v>1</v>
      </c>
      <c r="AD134" s="89">
        <f t="shared" si="226"/>
        <v>0</v>
      </c>
      <c r="AE134" s="89">
        <f t="shared" si="227"/>
        <v>0</v>
      </c>
      <c r="AF134" s="89">
        <f t="shared" si="228"/>
        <v>1</v>
      </c>
      <c r="AG134" s="24">
        <f t="shared" si="233"/>
        <v>0</v>
      </c>
    </row>
    <row r="135" spans="1:44" x14ac:dyDescent="0.35">
      <c r="A135" s="116" t="s">
        <v>69</v>
      </c>
      <c r="B135" s="117">
        <f>B136</f>
        <v>0.01</v>
      </c>
      <c r="C135" s="117">
        <f t="shared" ref="C135:Y135" si="234">C136</f>
        <v>0.3</v>
      </c>
      <c r="D135" s="117">
        <f t="shared" si="234"/>
        <v>0</v>
      </c>
      <c r="E135" s="117">
        <f t="shared" si="234"/>
        <v>0</v>
      </c>
      <c r="F135" s="117">
        <f t="shared" si="234"/>
        <v>0</v>
      </c>
      <c r="G135" s="117">
        <f t="shared" si="234"/>
        <v>0</v>
      </c>
      <c r="H135" s="117">
        <f t="shared" si="234"/>
        <v>0</v>
      </c>
      <c r="I135" s="117">
        <f t="shared" si="234"/>
        <v>0</v>
      </c>
      <c r="J135" s="117">
        <f t="shared" si="234"/>
        <v>0</v>
      </c>
      <c r="K135" s="117">
        <f t="shared" si="234"/>
        <v>0</v>
      </c>
      <c r="L135" s="117">
        <f t="shared" si="234"/>
        <v>0</v>
      </c>
      <c r="M135" s="117">
        <f t="shared" si="234"/>
        <v>0</v>
      </c>
      <c r="N135" s="117">
        <f t="shared" si="234"/>
        <v>0</v>
      </c>
      <c r="O135" s="117">
        <f t="shared" si="234"/>
        <v>0</v>
      </c>
      <c r="P135" s="117">
        <f t="shared" si="234"/>
        <v>0.21</v>
      </c>
      <c r="Q135" s="117">
        <f t="shared" si="234"/>
        <v>0</v>
      </c>
      <c r="R135" s="117">
        <f t="shared" si="234"/>
        <v>0</v>
      </c>
      <c r="S135" s="117">
        <f t="shared" si="234"/>
        <v>0</v>
      </c>
      <c r="T135" s="117">
        <f t="shared" si="234"/>
        <v>0.23</v>
      </c>
      <c r="U135" s="117">
        <f t="shared" si="234"/>
        <v>0</v>
      </c>
      <c r="V135" s="117">
        <f t="shared" si="234"/>
        <v>0</v>
      </c>
      <c r="W135" s="117">
        <f t="shared" si="234"/>
        <v>0</v>
      </c>
      <c r="X135" s="117">
        <f t="shared" si="234"/>
        <v>0</v>
      </c>
      <c r="Y135" s="117">
        <f t="shared" si="234"/>
        <v>0.16999999999999998</v>
      </c>
      <c r="Z135" s="117">
        <f>SUM(B135:Y135)</f>
        <v>0.91999999999999993</v>
      </c>
      <c r="AA135" s="185">
        <f t="shared" si="230"/>
        <v>3.0225376174518738E-4</v>
      </c>
      <c r="AC135" s="117">
        <f t="shared" si="225"/>
        <v>0.75</v>
      </c>
      <c r="AD135" s="117">
        <f t="shared" si="226"/>
        <v>0</v>
      </c>
      <c r="AE135" s="117">
        <f t="shared" si="227"/>
        <v>0.16999999999999998</v>
      </c>
      <c r="AF135" s="117">
        <f t="shared" si="228"/>
        <v>0.91999999999999993</v>
      </c>
      <c r="AG135" s="185">
        <f>AD135/AF135</f>
        <v>0</v>
      </c>
    </row>
    <row r="136" spans="1:44" x14ac:dyDescent="0.35">
      <c r="A136" s="6" t="s">
        <v>69</v>
      </c>
      <c r="B136" s="12">
        <v>0.01</v>
      </c>
      <c r="C136" s="12">
        <v>0.3</v>
      </c>
      <c r="D136" s="12"/>
      <c r="E136" s="12"/>
      <c r="F136" s="12"/>
      <c r="G136" s="12"/>
      <c r="H136" s="12"/>
      <c r="I136" s="12"/>
      <c r="J136" s="12"/>
      <c r="K136" s="12"/>
      <c r="L136" s="12"/>
      <c r="M136" s="12"/>
      <c r="N136" s="12"/>
      <c r="O136" s="12"/>
      <c r="P136" s="12">
        <v>0.21</v>
      </c>
      <c r="Q136" s="12"/>
      <c r="R136" s="12"/>
      <c r="S136" s="12"/>
      <c r="T136" s="12">
        <v>0.23</v>
      </c>
      <c r="U136" s="12"/>
      <c r="V136" s="12"/>
      <c r="W136" s="12"/>
      <c r="X136" s="12"/>
      <c r="Y136" s="12">
        <v>0.16999999999999998</v>
      </c>
      <c r="Z136" s="12">
        <f>SUM(B136:Y136)</f>
        <v>0.91999999999999993</v>
      </c>
      <c r="AA136" s="24">
        <f t="shared" si="230"/>
        <v>3.0225376174518738E-4</v>
      </c>
      <c r="AC136" s="89">
        <f t="shared" si="225"/>
        <v>0.75</v>
      </c>
      <c r="AD136" s="89">
        <f t="shared" si="226"/>
        <v>0</v>
      </c>
      <c r="AE136" s="89">
        <f t="shared" si="227"/>
        <v>0.16999999999999998</v>
      </c>
      <c r="AF136" s="89">
        <f t="shared" si="228"/>
        <v>0.91999999999999993</v>
      </c>
      <c r="AG136" s="24">
        <f t="shared" ref="AG136" si="235">AD136/AF136</f>
        <v>0</v>
      </c>
    </row>
    <row r="137" spans="1:44" x14ac:dyDescent="0.35">
      <c r="A137" s="116" t="s">
        <v>13</v>
      </c>
      <c r="B137" s="117">
        <f>SUM(B138:B140)</f>
        <v>376.87000000000012</v>
      </c>
      <c r="C137" s="117">
        <f t="shared" ref="C137:Y137" si="236">SUM(C138:C140)</f>
        <v>6.3200000000000012</v>
      </c>
      <c r="D137" s="117">
        <f t="shared" si="236"/>
        <v>0</v>
      </c>
      <c r="E137" s="117">
        <f t="shared" si="236"/>
        <v>0</v>
      </c>
      <c r="F137" s="117">
        <f t="shared" si="236"/>
        <v>0</v>
      </c>
      <c r="G137" s="117">
        <f t="shared" si="236"/>
        <v>0</v>
      </c>
      <c r="H137" s="117">
        <f t="shared" si="236"/>
        <v>0</v>
      </c>
      <c r="I137" s="117">
        <f t="shared" si="236"/>
        <v>0</v>
      </c>
      <c r="J137" s="117">
        <f t="shared" si="236"/>
        <v>0.24</v>
      </c>
      <c r="K137" s="117">
        <f t="shared" si="236"/>
        <v>0</v>
      </c>
      <c r="L137" s="117">
        <f t="shared" si="236"/>
        <v>0</v>
      </c>
      <c r="M137" s="117">
        <f t="shared" si="236"/>
        <v>0.8</v>
      </c>
      <c r="N137" s="117">
        <f t="shared" si="236"/>
        <v>0</v>
      </c>
      <c r="O137" s="117">
        <f t="shared" si="236"/>
        <v>6.6</v>
      </c>
      <c r="P137" s="117">
        <f t="shared" si="236"/>
        <v>3.09</v>
      </c>
      <c r="Q137" s="117">
        <f t="shared" si="236"/>
        <v>0.28000000000000003</v>
      </c>
      <c r="R137" s="117">
        <f t="shared" si="236"/>
        <v>0.09</v>
      </c>
      <c r="S137" s="117">
        <f t="shared" si="236"/>
        <v>0</v>
      </c>
      <c r="T137" s="117">
        <f t="shared" si="236"/>
        <v>1.19</v>
      </c>
      <c r="U137" s="117">
        <f t="shared" si="236"/>
        <v>2.89</v>
      </c>
      <c r="V137" s="117">
        <f t="shared" si="236"/>
        <v>0.08</v>
      </c>
      <c r="W137" s="117">
        <f t="shared" si="236"/>
        <v>0</v>
      </c>
      <c r="X137" s="117">
        <f t="shared" si="236"/>
        <v>0</v>
      </c>
      <c r="Y137" s="117">
        <f t="shared" si="236"/>
        <v>0.31</v>
      </c>
      <c r="Z137" s="117">
        <f>SUM(B137:Y137)</f>
        <v>398.76000000000005</v>
      </c>
      <c r="AA137" s="185">
        <f t="shared" si="230"/>
        <v>0.13100729351468582</v>
      </c>
      <c r="AC137" s="117">
        <f t="shared" si="225"/>
        <v>395.48000000000008</v>
      </c>
      <c r="AD137" s="117">
        <f t="shared" si="226"/>
        <v>2.97</v>
      </c>
      <c r="AE137" s="117">
        <f t="shared" si="227"/>
        <v>0.31</v>
      </c>
      <c r="AF137" s="117">
        <f t="shared" si="228"/>
        <v>398.7600000000001</v>
      </c>
      <c r="AG137" s="185">
        <f>AD137/AF137</f>
        <v>7.44808907613602E-3</v>
      </c>
    </row>
    <row r="138" spans="1:44" x14ac:dyDescent="0.35">
      <c r="A138" s="6" t="s">
        <v>34</v>
      </c>
      <c r="B138" s="12">
        <v>0.15</v>
      </c>
      <c r="C138" s="12">
        <v>0.04</v>
      </c>
      <c r="D138" s="12"/>
      <c r="E138" s="12"/>
      <c r="F138" s="12"/>
      <c r="G138" s="12"/>
      <c r="H138" s="12"/>
      <c r="I138" s="12"/>
      <c r="J138" s="12"/>
      <c r="K138" s="12"/>
      <c r="L138" s="12"/>
      <c r="M138" s="12"/>
      <c r="N138" s="12"/>
      <c r="O138" s="54"/>
      <c r="P138" s="12"/>
      <c r="Q138" s="12"/>
      <c r="R138" s="12"/>
      <c r="S138" s="12"/>
      <c r="T138" s="12"/>
      <c r="U138" s="12"/>
      <c r="V138" s="12"/>
      <c r="W138" s="12"/>
      <c r="X138" s="12"/>
      <c r="Y138" s="54"/>
      <c r="Z138" s="12">
        <f>SUM(B138:Y138)</f>
        <v>0.19</v>
      </c>
      <c r="AA138" s="24">
        <f t="shared" si="230"/>
        <v>6.2421972534332178E-5</v>
      </c>
      <c r="AC138" s="89">
        <f t="shared" si="225"/>
        <v>0.19</v>
      </c>
      <c r="AD138" s="89">
        <f t="shared" si="226"/>
        <v>0</v>
      </c>
      <c r="AE138" s="89">
        <f t="shared" si="227"/>
        <v>0</v>
      </c>
      <c r="AF138" s="89">
        <f t="shared" si="228"/>
        <v>0.19</v>
      </c>
      <c r="AG138" s="24">
        <f>AD138/AF138</f>
        <v>0</v>
      </c>
    </row>
    <row r="139" spans="1:44" x14ac:dyDescent="0.35">
      <c r="A139" s="6" t="s">
        <v>61</v>
      </c>
      <c r="B139" s="12">
        <v>375.76000000000016</v>
      </c>
      <c r="C139" s="12">
        <v>6.2800000000000011</v>
      </c>
      <c r="D139" s="12"/>
      <c r="E139" s="12"/>
      <c r="F139" s="12"/>
      <c r="G139" s="12"/>
      <c r="H139" s="12"/>
      <c r="I139" s="12"/>
      <c r="J139" s="12">
        <v>0.24</v>
      </c>
      <c r="K139" s="12"/>
      <c r="L139" s="12"/>
      <c r="M139" s="12">
        <v>0.43</v>
      </c>
      <c r="N139" s="12"/>
      <c r="O139" s="12"/>
      <c r="P139" s="12">
        <v>3.09</v>
      </c>
      <c r="Q139" s="12">
        <v>0.28000000000000003</v>
      </c>
      <c r="R139" s="12">
        <v>0.09</v>
      </c>
      <c r="S139" s="12"/>
      <c r="T139" s="12">
        <v>1</v>
      </c>
      <c r="U139" s="12">
        <v>2.89</v>
      </c>
      <c r="V139" s="12">
        <v>0.08</v>
      </c>
      <c r="W139" s="12"/>
      <c r="X139" s="12"/>
      <c r="Y139" s="12">
        <v>0.21</v>
      </c>
      <c r="Z139" s="12">
        <f t="shared" ref="Z139:Z140" si="237">SUM(B139:Y139)</f>
        <v>390.35000000000008</v>
      </c>
      <c r="AA139" s="24">
        <f t="shared" si="230"/>
        <v>0.12824429988829775</v>
      </c>
      <c r="AC139" s="89">
        <f t="shared" si="225"/>
        <v>387.17000000000013</v>
      </c>
      <c r="AD139" s="89">
        <f t="shared" si="226"/>
        <v>2.97</v>
      </c>
      <c r="AE139" s="89">
        <f t="shared" si="227"/>
        <v>0.21</v>
      </c>
      <c r="AF139" s="89">
        <f t="shared" si="228"/>
        <v>390.35000000000014</v>
      </c>
      <c r="AG139" s="24">
        <f>AD139/AF139</f>
        <v>7.6085564237222984E-3</v>
      </c>
    </row>
    <row r="140" spans="1:44" x14ac:dyDescent="0.35">
      <c r="A140" s="6" t="s">
        <v>36</v>
      </c>
      <c r="B140" s="12">
        <v>0.96</v>
      </c>
      <c r="C140" s="12"/>
      <c r="D140" s="12"/>
      <c r="E140" s="12"/>
      <c r="F140" s="12"/>
      <c r="G140" s="12"/>
      <c r="H140" s="12"/>
      <c r="I140" s="12"/>
      <c r="J140" s="12"/>
      <c r="K140" s="12"/>
      <c r="L140" s="12"/>
      <c r="M140" s="12">
        <v>0.37</v>
      </c>
      <c r="N140" s="12"/>
      <c r="O140" s="12">
        <v>6.6</v>
      </c>
      <c r="P140" s="12"/>
      <c r="Q140" s="12"/>
      <c r="R140" s="12"/>
      <c r="S140" s="12"/>
      <c r="T140" s="12">
        <v>0.19</v>
      </c>
      <c r="U140" s="12"/>
      <c r="V140" s="12"/>
      <c r="W140" s="12"/>
      <c r="X140" s="12"/>
      <c r="Y140" s="12">
        <v>0.1</v>
      </c>
      <c r="Z140" s="12">
        <f t="shared" si="237"/>
        <v>8.2199999999999989</v>
      </c>
      <c r="AA140" s="24">
        <f t="shared" si="230"/>
        <v>2.7005716538537395E-3</v>
      </c>
      <c r="AC140" s="89">
        <f t="shared" si="225"/>
        <v>8.1199999999999992</v>
      </c>
      <c r="AD140" s="89">
        <f t="shared" si="226"/>
        <v>0</v>
      </c>
      <c r="AE140" s="89">
        <f t="shared" si="227"/>
        <v>0.1</v>
      </c>
      <c r="AF140" s="89">
        <f t="shared" si="228"/>
        <v>8.2199999999999989</v>
      </c>
      <c r="AG140" s="24">
        <f t="shared" ref="AG140" si="238">AD140/AF140</f>
        <v>0</v>
      </c>
    </row>
    <row r="141" spans="1:44" x14ac:dyDescent="0.35">
      <c r="A141" s="116" t="s">
        <v>16</v>
      </c>
      <c r="B141" s="117">
        <f>SUM(B142:B144)</f>
        <v>0</v>
      </c>
      <c r="C141" s="117">
        <f t="shared" ref="C141:Y141" si="239">SUM(C142:C144)</f>
        <v>0</v>
      </c>
      <c r="D141" s="117">
        <f t="shared" si="239"/>
        <v>0</v>
      </c>
      <c r="E141" s="117">
        <f t="shared" si="239"/>
        <v>0.09</v>
      </c>
      <c r="F141" s="117">
        <f t="shared" si="239"/>
        <v>0</v>
      </c>
      <c r="G141" s="117">
        <f t="shared" si="239"/>
        <v>0</v>
      </c>
      <c r="H141" s="117">
        <f t="shared" si="239"/>
        <v>0</v>
      </c>
      <c r="I141" s="117">
        <f t="shared" si="239"/>
        <v>0</v>
      </c>
      <c r="J141" s="117">
        <f t="shared" si="239"/>
        <v>0</v>
      </c>
      <c r="K141" s="117">
        <f t="shared" si="239"/>
        <v>0</v>
      </c>
      <c r="L141" s="117">
        <f t="shared" si="239"/>
        <v>0</v>
      </c>
      <c r="M141" s="117">
        <f t="shared" si="239"/>
        <v>0</v>
      </c>
      <c r="N141" s="117">
        <f t="shared" si="239"/>
        <v>0</v>
      </c>
      <c r="O141" s="117">
        <f t="shared" si="239"/>
        <v>0</v>
      </c>
      <c r="P141" s="117">
        <f t="shared" si="239"/>
        <v>0</v>
      </c>
      <c r="Q141" s="117">
        <f t="shared" si="239"/>
        <v>0.19</v>
      </c>
      <c r="R141" s="117">
        <f t="shared" si="239"/>
        <v>0</v>
      </c>
      <c r="S141" s="117">
        <f t="shared" si="239"/>
        <v>0</v>
      </c>
      <c r="T141" s="117">
        <f t="shared" si="239"/>
        <v>0</v>
      </c>
      <c r="U141" s="117">
        <f t="shared" si="239"/>
        <v>0</v>
      </c>
      <c r="V141" s="117">
        <f t="shared" si="239"/>
        <v>1.21</v>
      </c>
      <c r="W141" s="117">
        <f t="shared" si="239"/>
        <v>2.16</v>
      </c>
      <c r="X141" s="117">
        <f t="shared" si="239"/>
        <v>1.96</v>
      </c>
      <c r="Y141" s="117">
        <f t="shared" si="239"/>
        <v>0.15</v>
      </c>
      <c r="Z141" s="117">
        <f>SUM(B141:Y141)</f>
        <v>5.7600000000000007</v>
      </c>
      <c r="AA141" s="185">
        <f t="shared" si="230"/>
        <v>1.8923713778829128E-3</v>
      </c>
      <c r="AC141" s="117">
        <f t="shared" si="225"/>
        <v>0.28000000000000003</v>
      </c>
      <c r="AD141" s="117">
        <f>SUM(U141:X141)</f>
        <v>5.33</v>
      </c>
      <c r="AE141" s="117">
        <f t="shared" si="227"/>
        <v>0.15</v>
      </c>
      <c r="AF141" s="117">
        <f t="shared" si="228"/>
        <v>5.7600000000000007</v>
      </c>
      <c r="AG141" s="185">
        <f>AD141/AF141</f>
        <v>0.9253472222222221</v>
      </c>
    </row>
    <row r="142" spans="1:44" x14ac:dyDescent="0.35">
      <c r="A142" s="6" t="s">
        <v>47</v>
      </c>
      <c r="B142" s="12"/>
      <c r="C142" s="12"/>
      <c r="D142" s="12"/>
      <c r="E142" s="12">
        <v>0.09</v>
      </c>
      <c r="F142" s="12"/>
      <c r="G142" s="12"/>
      <c r="H142" s="12"/>
      <c r="I142" s="12"/>
      <c r="J142" s="12"/>
      <c r="K142" s="12"/>
      <c r="L142" s="12"/>
      <c r="M142" s="12"/>
      <c r="N142" s="12"/>
      <c r="O142" s="12"/>
      <c r="P142" s="12"/>
      <c r="Q142" s="12"/>
      <c r="R142" s="12"/>
      <c r="S142" s="12"/>
      <c r="T142" s="12"/>
      <c r="U142" s="12"/>
      <c r="V142" s="12"/>
      <c r="W142" s="12">
        <v>2.16</v>
      </c>
      <c r="X142" s="12"/>
      <c r="Y142" s="12"/>
      <c r="Z142" s="12">
        <f>SUM(B142:Y142)</f>
        <v>2.25</v>
      </c>
      <c r="AA142" s="24">
        <f t="shared" si="230"/>
        <v>7.3920756948551276E-4</v>
      </c>
      <c r="AC142" s="89">
        <f t="shared" si="225"/>
        <v>0.09</v>
      </c>
      <c r="AD142" s="89">
        <f t="shared" ref="AD142:AD144" si="240">SUM(U142:X142)</f>
        <v>2.16</v>
      </c>
      <c r="AE142" s="89">
        <f t="shared" si="227"/>
        <v>0</v>
      </c>
      <c r="AF142" s="89">
        <f t="shared" si="228"/>
        <v>2.25</v>
      </c>
      <c r="AG142" s="24">
        <f t="shared" ref="AG142:AG143" si="241">AD142/AF142</f>
        <v>0.96000000000000008</v>
      </c>
      <c r="AO142" s="342"/>
      <c r="AP142" s="342" t="s">
        <v>256</v>
      </c>
      <c r="AQ142" s="342" t="s">
        <v>96</v>
      </c>
      <c r="AR142" s="342" t="s">
        <v>257</v>
      </c>
    </row>
    <row r="143" spans="1:44" x14ac:dyDescent="0.35">
      <c r="A143" s="6" t="s">
        <v>48</v>
      </c>
      <c r="B143" s="12"/>
      <c r="C143" s="12"/>
      <c r="D143" s="12"/>
      <c r="E143" s="12"/>
      <c r="F143" s="12"/>
      <c r="G143" s="12"/>
      <c r="H143" s="12"/>
      <c r="I143" s="12"/>
      <c r="J143" s="12"/>
      <c r="K143" s="12"/>
      <c r="L143" s="12"/>
      <c r="M143" s="12"/>
      <c r="N143" s="12"/>
      <c r="O143" s="12"/>
      <c r="P143" s="12"/>
      <c r="Q143" s="12"/>
      <c r="R143" s="12"/>
      <c r="S143" s="12"/>
      <c r="T143" s="12"/>
      <c r="U143" s="12"/>
      <c r="V143" s="12">
        <v>1.21</v>
      </c>
      <c r="W143" s="12"/>
      <c r="X143" s="12">
        <v>1.96</v>
      </c>
      <c r="Y143" s="12">
        <v>0.15</v>
      </c>
      <c r="Z143" s="12">
        <f t="shared" ref="Z143:Z144" si="242">SUM(B143:Y143)</f>
        <v>3.32</v>
      </c>
      <c r="AA143" s="24">
        <f t="shared" si="230"/>
        <v>1.0907418358630677E-3</v>
      </c>
      <c r="AC143" s="89">
        <f t="shared" si="225"/>
        <v>0</v>
      </c>
      <c r="AD143" s="89">
        <f t="shared" si="240"/>
        <v>3.17</v>
      </c>
      <c r="AE143" s="89">
        <f t="shared" si="227"/>
        <v>0.15</v>
      </c>
      <c r="AF143" s="89">
        <f t="shared" si="228"/>
        <v>3.32</v>
      </c>
      <c r="AG143" s="24">
        <f t="shared" si="241"/>
        <v>0.95481927710843373</v>
      </c>
      <c r="AJ143" s="210" t="s">
        <v>255</v>
      </c>
      <c r="AO143" s="116" t="s">
        <v>14</v>
      </c>
      <c r="AP143" s="89">
        <v>63.769999999999996</v>
      </c>
      <c r="AQ143" s="89">
        <v>2606.5299999999957</v>
      </c>
      <c r="AR143" s="190">
        <f t="shared" ref="AR143" si="243">AP143/AQ143</f>
        <v>2.4465477090231114E-2</v>
      </c>
    </row>
    <row r="144" spans="1:44" x14ac:dyDescent="0.35">
      <c r="A144" s="6" t="s">
        <v>53</v>
      </c>
      <c r="B144" s="12"/>
      <c r="C144" s="12"/>
      <c r="D144" s="12"/>
      <c r="E144" s="12"/>
      <c r="F144" s="12"/>
      <c r="G144" s="12"/>
      <c r="H144" s="12"/>
      <c r="I144" s="12"/>
      <c r="J144" s="12"/>
      <c r="K144" s="12"/>
      <c r="L144" s="12"/>
      <c r="M144" s="12"/>
      <c r="N144" s="12"/>
      <c r="O144" s="12"/>
      <c r="P144" s="12"/>
      <c r="Q144" s="12">
        <v>0.19</v>
      </c>
      <c r="R144" s="12"/>
      <c r="S144" s="12"/>
      <c r="T144" s="12"/>
      <c r="U144" s="12"/>
      <c r="V144" s="12"/>
      <c r="W144" s="12"/>
      <c r="X144" s="12"/>
      <c r="Y144" s="12"/>
      <c r="Z144" s="12">
        <f t="shared" si="242"/>
        <v>0.19</v>
      </c>
      <c r="AA144" s="24">
        <f t="shared" si="230"/>
        <v>6.2421972534332178E-5</v>
      </c>
      <c r="AC144" s="89">
        <f t="shared" si="225"/>
        <v>0.19</v>
      </c>
      <c r="AD144" s="89">
        <f t="shared" si="240"/>
        <v>0</v>
      </c>
      <c r="AE144" s="89">
        <f t="shared" si="227"/>
        <v>0</v>
      </c>
      <c r="AF144" s="89">
        <f t="shared" si="228"/>
        <v>0.19</v>
      </c>
      <c r="AG144" s="24">
        <f>AD144/AF144</f>
        <v>0</v>
      </c>
      <c r="AK144" t="s">
        <v>256</v>
      </c>
      <c r="AL144" t="s">
        <v>96</v>
      </c>
      <c r="AM144" t="s">
        <v>257</v>
      </c>
      <c r="AO144" s="116" t="s">
        <v>16</v>
      </c>
      <c r="AP144" s="89">
        <v>5.33</v>
      </c>
      <c r="AQ144" s="89">
        <v>5.7600000000000007</v>
      </c>
      <c r="AR144" s="190">
        <f>AP144/AQ144</f>
        <v>0.9253472222222221</v>
      </c>
    </row>
    <row r="145" spans="1:44" x14ac:dyDescent="0.35">
      <c r="A145" s="116" t="s">
        <v>15</v>
      </c>
      <c r="B145" s="117">
        <f>SUM(B146:B149)</f>
        <v>0.68</v>
      </c>
      <c r="C145" s="117">
        <f t="shared" ref="C145:Y145" si="244">SUM(C146:C149)</f>
        <v>0</v>
      </c>
      <c r="D145" s="117">
        <f t="shared" si="244"/>
        <v>0</v>
      </c>
      <c r="E145" s="117">
        <f t="shared" si="244"/>
        <v>0</v>
      </c>
      <c r="F145" s="117">
        <f t="shared" si="244"/>
        <v>0</v>
      </c>
      <c r="G145" s="117">
        <f t="shared" si="244"/>
        <v>0</v>
      </c>
      <c r="H145" s="117">
        <f t="shared" si="244"/>
        <v>0</v>
      </c>
      <c r="I145" s="117">
        <f t="shared" si="244"/>
        <v>0</v>
      </c>
      <c r="J145" s="117">
        <f t="shared" si="244"/>
        <v>0</v>
      </c>
      <c r="K145" s="117">
        <f t="shared" si="244"/>
        <v>0</v>
      </c>
      <c r="L145" s="117">
        <f t="shared" si="244"/>
        <v>0</v>
      </c>
      <c r="M145" s="117">
        <f t="shared" si="244"/>
        <v>1.26</v>
      </c>
      <c r="N145" s="117">
        <f t="shared" si="244"/>
        <v>0.06</v>
      </c>
      <c r="O145" s="117">
        <f t="shared" si="244"/>
        <v>0</v>
      </c>
      <c r="P145" s="117">
        <f t="shared" si="244"/>
        <v>0</v>
      </c>
      <c r="Q145" s="117">
        <f t="shared" si="244"/>
        <v>0</v>
      </c>
      <c r="R145" s="117">
        <f t="shared" si="244"/>
        <v>0.48</v>
      </c>
      <c r="S145" s="117">
        <f t="shared" si="244"/>
        <v>0</v>
      </c>
      <c r="T145" s="117">
        <f t="shared" si="244"/>
        <v>0</v>
      </c>
      <c r="U145" s="117">
        <f t="shared" si="244"/>
        <v>0</v>
      </c>
      <c r="V145" s="117">
        <f t="shared" si="244"/>
        <v>0</v>
      </c>
      <c r="W145" s="117">
        <f t="shared" si="244"/>
        <v>0</v>
      </c>
      <c r="X145" s="117">
        <f t="shared" si="244"/>
        <v>0.12</v>
      </c>
      <c r="Y145" s="117">
        <f t="shared" si="244"/>
        <v>0</v>
      </c>
      <c r="Z145" s="117">
        <f>SUM(B145:Y145)</f>
        <v>2.6</v>
      </c>
      <c r="AA145" s="185">
        <f t="shared" si="230"/>
        <v>8.5419541362770357E-4</v>
      </c>
      <c r="AC145" s="117">
        <f>SUM(AC146:AC149)</f>
        <v>2.48</v>
      </c>
      <c r="AD145" s="117">
        <f>SUM(U145:X145)</f>
        <v>0.12</v>
      </c>
      <c r="AE145" s="117">
        <f t="shared" si="227"/>
        <v>0</v>
      </c>
      <c r="AF145" s="117">
        <f t="shared" si="228"/>
        <v>2.6</v>
      </c>
      <c r="AG145" s="185">
        <f>AD145/AF145</f>
        <v>4.6153846153846149E-2</v>
      </c>
      <c r="AJ145" s="6" t="s">
        <v>40</v>
      </c>
      <c r="AK145" s="89">
        <v>37.919999999999995</v>
      </c>
      <c r="AL145" s="89">
        <v>2192.4499999999957</v>
      </c>
      <c r="AM145" s="382">
        <f>AK145/AL145</f>
        <v>1.7295719400670515E-2</v>
      </c>
      <c r="AO145" s="116" t="s">
        <v>23</v>
      </c>
      <c r="AP145" s="89">
        <v>5.15</v>
      </c>
      <c r="AQ145" s="89">
        <v>5.87</v>
      </c>
      <c r="AR145" s="190">
        <f t="shared" ref="AR145" si="245">AP145/AQ145</f>
        <v>0.87734241908006816</v>
      </c>
    </row>
    <row r="146" spans="1:44" x14ac:dyDescent="0.35">
      <c r="A146" s="6" t="s">
        <v>41</v>
      </c>
      <c r="B146" s="12"/>
      <c r="C146" s="12"/>
      <c r="D146" s="12"/>
      <c r="E146" s="12"/>
      <c r="F146" s="12"/>
      <c r="G146" s="12"/>
      <c r="H146" s="12"/>
      <c r="I146" s="12"/>
      <c r="J146" s="12"/>
      <c r="K146" s="12"/>
      <c r="L146" s="12"/>
      <c r="M146" s="12">
        <v>1.26</v>
      </c>
      <c r="N146" s="12"/>
      <c r="O146" s="12"/>
      <c r="P146" s="12"/>
      <c r="Q146" s="12"/>
      <c r="R146" s="12"/>
      <c r="S146" s="12"/>
      <c r="T146" s="12"/>
      <c r="U146" s="12"/>
      <c r="V146" s="12"/>
      <c r="W146" s="12"/>
      <c r="X146" s="12"/>
      <c r="Y146" s="12"/>
      <c r="Z146" s="12">
        <f>SUM(B146:Y146)</f>
        <v>1.26</v>
      </c>
      <c r="AA146" s="24">
        <f t="shared" si="230"/>
        <v>4.1395623891188712E-4</v>
      </c>
      <c r="AC146" s="89">
        <f t="shared" ref="AC146:AC173" si="246">SUM(B146:T146)</f>
        <v>1.26</v>
      </c>
      <c r="AD146" s="89">
        <f t="shared" ref="AD146:AD149" si="247">SUM(U146:X146)</f>
        <v>0</v>
      </c>
      <c r="AE146" s="89">
        <f t="shared" si="227"/>
        <v>0</v>
      </c>
      <c r="AF146" s="89">
        <f t="shared" si="228"/>
        <v>1.26</v>
      </c>
      <c r="AG146" s="24">
        <f t="shared" ref="AG146" si="248">AD146/AF146</f>
        <v>0</v>
      </c>
      <c r="AJ146" s="6" t="s">
        <v>38</v>
      </c>
      <c r="AK146" s="89">
        <v>25.750000000000004</v>
      </c>
      <c r="AL146" s="89">
        <v>372.43000000000006</v>
      </c>
      <c r="AM146" s="382">
        <f t="shared" ref="AM146:AM158" si="249">AK146/AL146</f>
        <v>6.9140509625969973E-2</v>
      </c>
    </row>
    <row r="147" spans="1:44" x14ac:dyDescent="0.35">
      <c r="A147" s="6" t="s">
        <v>43</v>
      </c>
      <c r="B147" s="12">
        <v>0.68</v>
      </c>
      <c r="C147" s="12"/>
      <c r="D147" s="12"/>
      <c r="E147" s="12"/>
      <c r="F147" s="12"/>
      <c r="G147" s="12"/>
      <c r="H147" s="12"/>
      <c r="I147" s="12"/>
      <c r="J147" s="12"/>
      <c r="K147" s="12"/>
      <c r="L147" s="12"/>
      <c r="M147" s="12"/>
      <c r="N147" s="12"/>
      <c r="O147" s="12"/>
      <c r="P147" s="12"/>
      <c r="Q147" s="12"/>
      <c r="R147" s="12"/>
      <c r="S147" s="12"/>
      <c r="T147" s="12"/>
      <c r="U147" s="12"/>
      <c r="V147" s="54"/>
      <c r="W147" s="12"/>
      <c r="X147" s="12"/>
      <c r="Y147" s="12"/>
      <c r="Z147" s="12">
        <f t="shared" ref="Z147:Z172" si="250">SUM(B147:Y147)</f>
        <v>0.68</v>
      </c>
      <c r="AA147" s="24">
        <f t="shared" si="230"/>
        <v>2.2340495433339941E-4</v>
      </c>
      <c r="AC147" s="89">
        <f t="shared" si="246"/>
        <v>0.68</v>
      </c>
      <c r="AD147" s="89">
        <f t="shared" si="247"/>
        <v>0</v>
      </c>
      <c r="AE147" s="89">
        <f t="shared" si="227"/>
        <v>0</v>
      </c>
      <c r="AF147" s="89">
        <f t="shared" ref="AF147:AF149" si="251">SUM(AC147:AE147)</f>
        <v>0.68</v>
      </c>
      <c r="AG147" s="24">
        <f>AD147/AF147</f>
        <v>0</v>
      </c>
      <c r="AJ147" s="6" t="s">
        <v>23</v>
      </c>
      <c r="AK147" s="89">
        <v>5.15</v>
      </c>
      <c r="AL147" s="89">
        <v>5.87</v>
      </c>
      <c r="AM147" s="382">
        <f t="shared" si="249"/>
        <v>0.87734241908006816</v>
      </c>
    </row>
    <row r="148" spans="1:44" x14ac:dyDescent="0.35">
      <c r="A148" s="6" t="s">
        <v>44</v>
      </c>
      <c r="B148" s="12"/>
      <c r="C148" s="12"/>
      <c r="D148" s="12"/>
      <c r="E148" s="12"/>
      <c r="F148" s="12"/>
      <c r="G148" s="12"/>
      <c r="H148" s="12"/>
      <c r="I148" s="12"/>
      <c r="J148" s="12"/>
      <c r="K148" s="12"/>
      <c r="L148" s="12"/>
      <c r="M148" s="12"/>
      <c r="N148" s="12"/>
      <c r="O148" s="12"/>
      <c r="P148" s="12"/>
      <c r="Q148" s="12"/>
      <c r="R148" s="12"/>
      <c r="S148" s="54"/>
      <c r="T148" s="12"/>
      <c r="U148" s="12"/>
      <c r="V148" s="12"/>
      <c r="W148" s="12"/>
      <c r="X148" s="12"/>
      <c r="Y148" s="12"/>
      <c r="Z148" s="12">
        <f t="shared" si="250"/>
        <v>0</v>
      </c>
      <c r="AA148" s="24">
        <f t="shared" si="230"/>
        <v>0</v>
      </c>
      <c r="AC148" s="89">
        <f t="shared" si="246"/>
        <v>0</v>
      </c>
      <c r="AD148" s="89">
        <f t="shared" si="247"/>
        <v>0</v>
      </c>
      <c r="AE148" s="89">
        <f t="shared" si="227"/>
        <v>0</v>
      </c>
      <c r="AF148" s="89">
        <f t="shared" si="251"/>
        <v>0</v>
      </c>
      <c r="AG148" s="24"/>
      <c r="AJ148" s="6" t="s">
        <v>48</v>
      </c>
      <c r="AK148" s="89">
        <v>3.17</v>
      </c>
      <c r="AL148" s="89">
        <v>3.32</v>
      </c>
      <c r="AM148" s="382">
        <f t="shared" si="249"/>
        <v>0.95481927710843373</v>
      </c>
    </row>
    <row r="149" spans="1:44" x14ac:dyDescent="0.35">
      <c r="A149" s="6" t="s">
        <v>45</v>
      </c>
      <c r="B149" s="12"/>
      <c r="C149" s="12"/>
      <c r="D149" s="12"/>
      <c r="E149" s="12"/>
      <c r="F149" s="12"/>
      <c r="G149" s="12"/>
      <c r="H149" s="12"/>
      <c r="I149" s="12"/>
      <c r="J149" s="12"/>
      <c r="K149" s="12"/>
      <c r="L149" s="12"/>
      <c r="M149" s="12"/>
      <c r="N149" s="12">
        <v>0.06</v>
      </c>
      <c r="O149" s="12"/>
      <c r="P149" s="12"/>
      <c r="Q149" s="12"/>
      <c r="R149" s="12">
        <v>0.48</v>
      </c>
      <c r="S149" s="12"/>
      <c r="T149" s="12"/>
      <c r="U149" s="12"/>
      <c r="V149" s="12"/>
      <c r="W149" s="12"/>
      <c r="X149" s="12">
        <v>0.12</v>
      </c>
      <c r="Y149" s="12"/>
      <c r="Z149" s="12">
        <f t="shared" si="250"/>
        <v>0.66</v>
      </c>
      <c r="AA149" s="24">
        <f t="shared" si="230"/>
        <v>2.1683422038241707E-4</v>
      </c>
      <c r="AC149" s="89">
        <f t="shared" si="246"/>
        <v>0.54</v>
      </c>
      <c r="AD149" s="89">
        <f t="shared" si="247"/>
        <v>0.12</v>
      </c>
      <c r="AE149" s="89">
        <f t="shared" si="227"/>
        <v>0</v>
      </c>
      <c r="AF149" s="89">
        <f t="shared" si="251"/>
        <v>0.66</v>
      </c>
      <c r="AG149" s="24">
        <f t="shared" ref="AG149" si="252">AD149/AF149</f>
        <v>0.1818181818181818</v>
      </c>
      <c r="AJ149" s="6" t="s">
        <v>61</v>
      </c>
      <c r="AK149" s="89">
        <v>2.97</v>
      </c>
      <c r="AL149" s="89">
        <v>390.35000000000014</v>
      </c>
      <c r="AM149" s="382">
        <f t="shared" si="249"/>
        <v>7.6085564237222984E-3</v>
      </c>
    </row>
    <row r="150" spans="1:44" x14ac:dyDescent="0.35">
      <c r="A150" s="116" t="s">
        <v>70</v>
      </c>
      <c r="B150" s="117">
        <f>B151</f>
        <v>0</v>
      </c>
      <c r="C150" s="117">
        <f t="shared" ref="C150:Y150" si="253">C151</f>
        <v>0</v>
      </c>
      <c r="D150" s="117">
        <f t="shared" si="253"/>
        <v>0</v>
      </c>
      <c r="E150" s="117">
        <f t="shared" si="253"/>
        <v>0</v>
      </c>
      <c r="F150" s="117">
        <f t="shared" si="253"/>
        <v>0</v>
      </c>
      <c r="G150" s="117">
        <f t="shared" si="253"/>
        <v>0</v>
      </c>
      <c r="H150" s="117">
        <f t="shared" si="253"/>
        <v>0</v>
      </c>
      <c r="I150" s="117">
        <f t="shared" si="253"/>
        <v>0</v>
      </c>
      <c r="J150" s="117">
        <f t="shared" si="253"/>
        <v>0</v>
      </c>
      <c r="K150" s="117">
        <f t="shared" si="253"/>
        <v>0</v>
      </c>
      <c r="L150" s="117">
        <f t="shared" si="253"/>
        <v>0</v>
      </c>
      <c r="M150" s="117">
        <f t="shared" si="253"/>
        <v>0</v>
      </c>
      <c r="N150" s="117">
        <f t="shared" si="253"/>
        <v>0</v>
      </c>
      <c r="O150" s="117">
        <f t="shared" si="253"/>
        <v>0</v>
      </c>
      <c r="P150" s="117">
        <f t="shared" si="253"/>
        <v>0</v>
      </c>
      <c r="Q150" s="117">
        <f t="shared" si="253"/>
        <v>0</v>
      </c>
      <c r="R150" s="117">
        <f t="shared" si="253"/>
        <v>0</v>
      </c>
      <c r="S150" s="117">
        <f t="shared" si="253"/>
        <v>0</v>
      </c>
      <c r="T150" s="117">
        <f t="shared" si="253"/>
        <v>0</v>
      </c>
      <c r="U150" s="117">
        <f t="shared" si="253"/>
        <v>0</v>
      </c>
      <c r="V150" s="117">
        <f t="shared" si="253"/>
        <v>0</v>
      </c>
      <c r="W150" s="117">
        <f t="shared" si="253"/>
        <v>0</v>
      </c>
      <c r="X150" s="117">
        <f t="shared" si="253"/>
        <v>0</v>
      </c>
      <c r="Y150" s="117">
        <f t="shared" si="253"/>
        <v>7.0000000000000007E-2</v>
      </c>
      <c r="Z150" s="117">
        <f>SUM(B150:Y150)</f>
        <v>7.0000000000000007E-2</v>
      </c>
      <c r="AA150" s="185">
        <f t="shared" si="230"/>
        <v>2.2997568828438176E-5</v>
      </c>
      <c r="AC150" s="117">
        <f t="shared" si="246"/>
        <v>0</v>
      </c>
      <c r="AD150" s="117">
        <f>SUM(U150:X150)</f>
        <v>0</v>
      </c>
      <c r="AE150" s="117">
        <f t="shared" si="227"/>
        <v>7.0000000000000007E-2</v>
      </c>
      <c r="AF150" s="117">
        <f>SUM(AC150:AE150)</f>
        <v>7.0000000000000007E-2</v>
      </c>
      <c r="AG150" s="185">
        <f>AD150/AF150</f>
        <v>0</v>
      </c>
      <c r="AJ150" s="6" t="s">
        <v>47</v>
      </c>
      <c r="AK150" s="89">
        <v>2.16</v>
      </c>
      <c r="AL150" s="89">
        <v>2.25</v>
      </c>
      <c r="AM150" s="382">
        <f t="shared" si="249"/>
        <v>0.96000000000000008</v>
      </c>
    </row>
    <row r="151" spans="1:44" x14ac:dyDescent="0.35">
      <c r="A151" s="6" t="s">
        <v>70</v>
      </c>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54">
        <v>7.0000000000000007E-2</v>
      </c>
      <c r="Z151" s="12">
        <f t="shared" si="250"/>
        <v>7.0000000000000007E-2</v>
      </c>
      <c r="AA151" s="24">
        <f t="shared" si="230"/>
        <v>2.2997568828438176E-5</v>
      </c>
      <c r="AC151" s="89">
        <f t="shared" si="246"/>
        <v>0</v>
      </c>
      <c r="AD151" s="89">
        <f t="shared" ref="AD151" si="254">SUM(U151:X151)</f>
        <v>0</v>
      </c>
      <c r="AE151" s="89">
        <f t="shared" si="227"/>
        <v>7.0000000000000007E-2</v>
      </c>
      <c r="AF151" s="89">
        <f t="shared" ref="AF151" si="255">SUM(AC151:AE151)</f>
        <v>7.0000000000000007E-2</v>
      </c>
      <c r="AG151" s="24">
        <f>AD151/AF151</f>
        <v>0</v>
      </c>
      <c r="AJ151" s="6" t="s">
        <v>20</v>
      </c>
      <c r="AK151" s="407">
        <v>0.46</v>
      </c>
      <c r="AL151" s="89">
        <v>0.88000000000000012</v>
      </c>
      <c r="AM151" s="382">
        <f t="shared" si="249"/>
        <v>0.52272727272727271</v>
      </c>
    </row>
    <row r="152" spans="1:44" x14ac:dyDescent="0.35">
      <c r="A152" s="116" t="s">
        <v>14</v>
      </c>
      <c r="B152" s="117">
        <f>SUM(B153:B156)</f>
        <v>2326.9199999999955</v>
      </c>
      <c r="C152" s="117">
        <f t="shared" ref="C152:Y152" si="256">SUM(C153:C156)</f>
        <v>89.7</v>
      </c>
      <c r="D152" s="117">
        <f t="shared" si="256"/>
        <v>16.849999999999998</v>
      </c>
      <c r="E152" s="117">
        <f t="shared" si="256"/>
        <v>2.87</v>
      </c>
      <c r="F152" s="117">
        <f t="shared" si="256"/>
        <v>3.49</v>
      </c>
      <c r="G152" s="117">
        <f t="shared" si="256"/>
        <v>8.629999999999999</v>
      </c>
      <c r="H152" s="117">
        <f t="shared" si="256"/>
        <v>5.4899999999999993</v>
      </c>
      <c r="I152" s="117">
        <f t="shared" si="256"/>
        <v>3.64</v>
      </c>
      <c r="J152" s="117">
        <f t="shared" si="256"/>
        <v>3.19</v>
      </c>
      <c r="K152" s="117">
        <f t="shared" si="256"/>
        <v>5.57</v>
      </c>
      <c r="L152" s="117">
        <f t="shared" si="256"/>
        <v>1.42</v>
      </c>
      <c r="M152" s="117">
        <f t="shared" si="256"/>
        <v>6.15</v>
      </c>
      <c r="N152" s="117">
        <f t="shared" si="256"/>
        <v>2.29</v>
      </c>
      <c r="O152" s="117">
        <f t="shared" si="256"/>
        <v>4.84</v>
      </c>
      <c r="P152" s="117">
        <f t="shared" si="256"/>
        <v>2.6599999999999997</v>
      </c>
      <c r="Q152" s="117">
        <f t="shared" si="256"/>
        <v>7.1300000000000008</v>
      </c>
      <c r="R152" s="117">
        <f t="shared" si="256"/>
        <v>12.259999999999998</v>
      </c>
      <c r="S152" s="117">
        <f t="shared" si="256"/>
        <v>24.009999999999994</v>
      </c>
      <c r="T152" s="117">
        <f t="shared" si="256"/>
        <v>15.649999999999999</v>
      </c>
      <c r="U152" s="117">
        <f t="shared" si="256"/>
        <v>21.950000000000003</v>
      </c>
      <c r="V152" s="117">
        <f t="shared" si="256"/>
        <v>16.899999999999999</v>
      </c>
      <c r="W152" s="117">
        <f t="shared" si="256"/>
        <v>18.649999999999999</v>
      </c>
      <c r="X152" s="117">
        <f t="shared" si="256"/>
        <v>6.27</v>
      </c>
      <c r="Y152" s="117">
        <f t="shared" si="256"/>
        <v>0</v>
      </c>
      <c r="Z152" s="117">
        <f>SUM(B152:Y152)</f>
        <v>2606.5299999999957</v>
      </c>
      <c r="AA152" s="185">
        <f t="shared" si="230"/>
        <v>0.85634075826269784</v>
      </c>
      <c r="AC152" s="117">
        <f t="shared" si="246"/>
        <v>2542.7599999999957</v>
      </c>
      <c r="AD152" s="117">
        <f>SUM(U152:X152)</f>
        <v>63.769999999999996</v>
      </c>
      <c r="AE152" s="117">
        <f t="shared" si="227"/>
        <v>0</v>
      </c>
      <c r="AF152" s="117">
        <f>SUM(AC152:AE152)</f>
        <v>2606.5299999999957</v>
      </c>
      <c r="AG152" s="185">
        <f>AD152/AF152</f>
        <v>2.4465477090231114E-2</v>
      </c>
      <c r="AJ152" s="6" t="s">
        <v>65</v>
      </c>
      <c r="AK152" s="407">
        <v>0.43</v>
      </c>
      <c r="AL152" s="89">
        <v>0.61</v>
      </c>
      <c r="AM152" s="382">
        <f t="shared" si="249"/>
        <v>0.70491803278688525</v>
      </c>
    </row>
    <row r="153" spans="1:44" x14ac:dyDescent="0.35">
      <c r="A153" s="6" t="s">
        <v>37</v>
      </c>
      <c r="B153" s="12">
        <v>34.749999999999993</v>
      </c>
      <c r="C153" s="55">
        <v>0.83</v>
      </c>
      <c r="D153" s="12"/>
      <c r="E153" s="12"/>
      <c r="F153" s="12"/>
      <c r="G153" s="12"/>
      <c r="H153" s="12">
        <v>0.02</v>
      </c>
      <c r="I153" s="12"/>
      <c r="J153" s="12"/>
      <c r="K153" s="12">
        <v>1.82</v>
      </c>
      <c r="L153" s="12"/>
      <c r="M153" s="12"/>
      <c r="N153" s="12"/>
      <c r="O153" s="12"/>
      <c r="P153" s="12">
        <v>0.1</v>
      </c>
      <c r="Q153" s="12">
        <v>0.1</v>
      </c>
      <c r="R153" s="12">
        <v>0.2</v>
      </c>
      <c r="S153" s="12"/>
      <c r="T153" s="12"/>
      <c r="U153" s="12"/>
      <c r="V153" s="12"/>
      <c r="W153" s="12"/>
      <c r="X153" s="12"/>
      <c r="Y153" s="12"/>
      <c r="Z153" s="12">
        <f t="shared" si="250"/>
        <v>37.82</v>
      </c>
      <c r="AA153" s="24">
        <f t="shared" si="230"/>
        <v>1.2425257901307597E-2</v>
      </c>
      <c r="AC153" s="89">
        <f t="shared" si="246"/>
        <v>37.82</v>
      </c>
      <c r="AD153" s="89">
        <f t="shared" ref="AD153:AD156" si="257">SUM(U153:X153)</f>
        <v>0</v>
      </c>
      <c r="AE153" s="89">
        <f t="shared" si="227"/>
        <v>0</v>
      </c>
      <c r="AF153" s="89">
        <f t="shared" ref="AF153:AF156" si="258">SUM(AC153:AE153)</f>
        <v>37.82</v>
      </c>
      <c r="AG153" s="24">
        <f>AD153/AF153</f>
        <v>0</v>
      </c>
      <c r="AJ153" s="6" t="s">
        <v>72</v>
      </c>
      <c r="AK153" s="407">
        <v>0.33999999999999997</v>
      </c>
      <c r="AL153" s="89">
        <v>0.33999999999999997</v>
      </c>
      <c r="AM153" s="382">
        <f t="shared" si="249"/>
        <v>1</v>
      </c>
    </row>
    <row r="154" spans="1:44" x14ac:dyDescent="0.35">
      <c r="A154" s="6" t="s">
        <v>38</v>
      </c>
      <c r="B154" s="12">
        <v>284.08</v>
      </c>
      <c r="C154" s="12">
        <v>35.43</v>
      </c>
      <c r="D154" s="12">
        <v>13.319999999999999</v>
      </c>
      <c r="E154" s="12">
        <v>1.33</v>
      </c>
      <c r="F154" s="12">
        <v>0.94</v>
      </c>
      <c r="G154" s="12">
        <v>0.04</v>
      </c>
      <c r="H154" s="12"/>
      <c r="I154" s="12"/>
      <c r="J154" s="12"/>
      <c r="K154" s="12"/>
      <c r="L154" s="12">
        <v>0.66</v>
      </c>
      <c r="M154" s="12">
        <v>1.35</v>
      </c>
      <c r="N154" s="12"/>
      <c r="O154" s="12"/>
      <c r="P154" s="12"/>
      <c r="Q154" s="12">
        <v>0.05</v>
      </c>
      <c r="R154" s="12">
        <v>3.12</v>
      </c>
      <c r="S154" s="12">
        <v>4.6400000000000006</v>
      </c>
      <c r="T154" s="12">
        <v>1.72</v>
      </c>
      <c r="U154" s="12">
        <v>9.4600000000000009</v>
      </c>
      <c r="V154" s="12">
        <v>7.1000000000000005</v>
      </c>
      <c r="W154" s="12">
        <v>8.82</v>
      </c>
      <c r="X154" s="12">
        <v>0.37</v>
      </c>
      <c r="Y154" s="12"/>
      <c r="Z154" s="12">
        <f t="shared" si="250"/>
        <v>372.43000000000006</v>
      </c>
      <c r="AA154" s="24">
        <f t="shared" si="230"/>
        <v>0.12235692226821758</v>
      </c>
      <c r="AC154" s="89">
        <f t="shared" si="246"/>
        <v>346.68000000000006</v>
      </c>
      <c r="AD154" s="89">
        <f t="shared" si="257"/>
        <v>25.750000000000004</v>
      </c>
      <c r="AE154" s="89">
        <f t="shared" si="227"/>
        <v>0</v>
      </c>
      <c r="AF154" s="89">
        <f t="shared" si="258"/>
        <v>372.43000000000006</v>
      </c>
      <c r="AG154" s="24">
        <f t="shared" ref="AG154" si="259">AD154/AF154</f>
        <v>6.9140509625969973E-2</v>
      </c>
      <c r="AJ154" s="6" t="s">
        <v>66</v>
      </c>
      <c r="AK154" s="407">
        <v>0.2</v>
      </c>
      <c r="AL154" s="89">
        <v>0.37</v>
      </c>
      <c r="AM154" s="382">
        <f t="shared" si="249"/>
        <v>0.54054054054054057</v>
      </c>
    </row>
    <row r="155" spans="1:44" x14ac:dyDescent="0.35">
      <c r="A155" s="6" t="s">
        <v>39</v>
      </c>
      <c r="B155" s="12">
        <v>1.84</v>
      </c>
      <c r="C155" s="12">
        <v>0.68</v>
      </c>
      <c r="D155" s="12"/>
      <c r="E155" s="12"/>
      <c r="F155" s="12"/>
      <c r="G155" s="12">
        <v>0.49</v>
      </c>
      <c r="H155" s="12"/>
      <c r="I155" s="12"/>
      <c r="J155" s="12"/>
      <c r="K155" s="12"/>
      <c r="L155" s="12"/>
      <c r="M155" s="12">
        <v>0.72</v>
      </c>
      <c r="N155" s="12"/>
      <c r="O155" s="12"/>
      <c r="P155" s="12"/>
      <c r="Q155" s="54"/>
      <c r="R155" s="12"/>
      <c r="S155" s="12"/>
      <c r="T155" s="12"/>
      <c r="U155" s="12">
        <v>0.04</v>
      </c>
      <c r="V155" s="12"/>
      <c r="W155" s="12">
        <v>0.06</v>
      </c>
      <c r="X155" s="54"/>
      <c r="Y155" s="12"/>
      <c r="Z155" s="12">
        <f t="shared" si="250"/>
        <v>3.8299999999999996</v>
      </c>
      <c r="AA155" s="24">
        <f t="shared" si="230"/>
        <v>1.2582955516131171E-3</v>
      </c>
      <c r="AC155" s="89">
        <f t="shared" si="246"/>
        <v>3.7299999999999995</v>
      </c>
      <c r="AD155" s="89">
        <f t="shared" si="257"/>
        <v>0.1</v>
      </c>
      <c r="AE155" s="89">
        <f t="shared" si="227"/>
        <v>0</v>
      </c>
      <c r="AF155" s="89">
        <f t="shared" si="258"/>
        <v>3.8299999999999996</v>
      </c>
      <c r="AG155" s="24">
        <f>AD155/AF155</f>
        <v>2.6109660574412538E-2</v>
      </c>
      <c r="AJ155" s="6" t="s">
        <v>8</v>
      </c>
      <c r="AK155" s="407">
        <v>0.12</v>
      </c>
      <c r="AL155" s="89">
        <v>0.12</v>
      </c>
      <c r="AM155" s="382">
        <f t="shared" si="249"/>
        <v>1</v>
      </c>
    </row>
    <row r="156" spans="1:44" x14ac:dyDescent="0.35">
      <c r="A156" s="6" t="s">
        <v>40</v>
      </c>
      <c r="B156" s="12">
        <v>2006.2499999999957</v>
      </c>
      <c r="C156" s="12">
        <v>52.760000000000005</v>
      </c>
      <c r="D156" s="12">
        <v>3.5300000000000002</v>
      </c>
      <c r="E156" s="12">
        <v>1.54</v>
      </c>
      <c r="F156" s="12">
        <v>2.5500000000000003</v>
      </c>
      <c r="G156" s="12">
        <v>8.1</v>
      </c>
      <c r="H156" s="12">
        <v>5.47</v>
      </c>
      <c r="I156" s="12">
        <v>3.64</v>
      </c>
      <c r="J156" s="12">
        <v>3.19</v>
      </c>
      <c r="K156" s="12">
        <v>3.75</v>
      </c>
      <c r="L156" s="12">
        <v>0.76</v>
      </c>
      <c r="M156" s="12">
        <v>4.08</v>
      </c>
      <c r="N156" s="12">
        <v>2.29</v>
      </c>
      <c r="O156" s="12">
        <v>4.84</v>
      </c>
      <c r="P156" s="12">
        <v>2.5599999999999996</v>
      </c>
      <c r="Q156" s="12">
        <v>6.98</v>
      </c>
      <c r="R156" s="12">
        <v>8.9399999999999977</v>
      </c>
      <c r="S156" s="12">
        <v>19.369999999999994</v>
      </c>
      <c r="T156" s="12">
        <v>13.929999999999998</v>
      </c>
      <c r="U156" s="12">
        <v>12.450000000000001</v>
      </c>
      <c r="V156" s="12">
        <v>9.7999999999999989</v>
      </c>
      <c r="W156" s="12">
        <v>9.77</v>
      </c>
      <c r="X156" s="12">
        <v>5.8999999999999995</v>
      </c>
      <c r="Y156" s="12"/>
      <c r="Z156" s="12">
        <f t="shared" si="250"/>
        <v>2192.4499999999957</v>
      </c>
      <c r="AA156" s="24">
        <f t="shared" si="230"/>
        <v>0.72030028254155964</v>
      </c>
      <c r="AC156" s="89">
        <f t="shared" si="246"/>
        <v>2154.5299999999957</v>
      </c>
      <c r="AD156" s="89">
        <f t="shared" si="257"/>
        <v>37.919999999999995</v>
      </c>
      <c r="AE156" s="89">
        <f t="shared" si="227"/>
        <v>0</v>
      </c>
      <c r="AF156" s="89">
        <f t="shared" si="258"/>
        <v>2192.4499999999957</v>
      </c>
      <c r="AG156" s="24">
        <f>AD156/AF156</f>
        <v>1.7295719400670515E-2</v>
      </c>
      <c r="AJ156" s="6" t="s">
        <v>45</v>
      </c>
      <c r="AK156" s="407">
        <v>0.12</v>
      </c>
      <c r="AL156" s="89">
        <v>0.66</v>
      </c>
      <c r="AM156" s="382">
        <f t="shared" si="249"/>
        <v>0.1818181818181818</v>
      </c>
    </row>
    <row r="157" spans="1:44" x14ac:dyDescent="0.35">
      <c r="A157" s="116" t="s">
        <v>17</v>
      </c>
      <c r="B157" s="117">
        <f>SUM(B158:B159)</f>
        <v>0</v>
      </c>
      <c r="C157" s="117">
        <f t="shared" ref="C157:X157" si="260">SUM(C158:C159)</f>
        <v>0</v>
      </c>
      <c r="D157" s="117">
        <f t="shared" si="260"/>
        <v>0</v>
      </c>
      <c r="E157" s="117">
        <f t="shared" si="260"/>
        <v>0</v>
      </c>
      <c r="F157" s="117">
        <f t="shared" si="260"/>
        <v>0</v>
      </c>
      <c r="G157" s="117">
        <f t="shared" si="260"/>
        <v>0</v>
      </c>
      <c r="H157" s="117">
        <f t="shared" si="260"/>
        <v>0</v>
      </c>
      <c r="I157" s="117">
        <f t="shared" si="260"/>
        <v>0</v>
      </c>
      <c r="J157" s="117">
        <f t="shared" si="260"/>
        <v>0</v>
      </c>
      <c r="K157" s="117">
        <f t="shared" si="260"/>
        <v>0</v>
      </c>
      <c r="L157" s="117">
        <f t="shared" si="260"/>
        <v>0</v>
      </c>
      <c r="M157" s="117">
        <f t="shared" si="260"/>
        <v>0</v>
      </c>
      <c r="N157" s="117">
        <f t="shared" si="260"/>
        <v>0</v>
      </c>
      <c r="O157" s="117">
        <f t="shared" si="260"/>
        <v>0.14000000000000001</v>
      </c>
      <c r="P157" s="117">
        <f t="shared" si="260"/>
        <v>0</v>
      </c>
      <c r="Q157" s="117">
        <f t="shared" si="260"/>
        <v>0</v>
      </c>
      <c r="R157" s="117">
        <f t="shared" si="260"/>
        <v>0.04</v>
      </c>
      <c r="S157" s="117">
        <f t="shared" si="260"/>
        <v>0</v>
      </c>
      <c r="T157" s="117">
        <f t="shared" si="260"/>
        <v>0</v>
      </c>
      <c r="U157" s="117">
        <f t="shared" si="260"/>
        <v>0</v>
      </c>
      <c r="V157" s="117">
        <f t="shared" si="260"/>
        <v>0</v>
      </c>
      <c r="W157" s="117">
        <f t="shared" si="260"/>
        <v>0</v>
      </c>
      <c r="X157" s="117">
        <f t="shared" si="260"/>
        <v>0</v>
      </c>
      <c r="Y157" s="117">
        <f>SUM(Y158:Y159)</f>
        <v>0</v>
      </c>
      <c r="Z157" s="117">
        <f>SUM(B157:Y157)</f>
        <v>0.18000000000000002</v>
      </c>
      <c r="AA157" s="185">
        <f t="shared" si="230"/>
        <v>5.9136605558841025E-5</v>
      </c>
      <c r="AC157" s="117">
        <f t="shared" si="246"/>
        <v>0.18000000000000002</v>
      </c>
      <c r="AD157" s="117">
        <f>SUM(U157:X157)</f>
        <v>0</v>
      </c>
      <c r="AE157" s="117">
        <f t="shared" si="227"/>
        <v>0</v>
      </c>
      <c r="AF157" s="117">
        <f>SUM(AC157:AE157)</f>
        <v>0.18000000000000002</v>
      </c>
      <c r="AG157" s="185">
        <f>AD157/AF157</f>
        <v>0</v>
      </c>
      <c r="AJ157" s="6" t="s">
        <v>39</v>
      </c>
      <c r="AK157" s="407">
        <v>0.1</v>
      </c>
      <c r="AL157" s="89">
        <v>3.8299999999999996</v>
      </c>
      <c r="AM157" s="382">
        <f t="shared" si="249"/>
        <v>2.6109660574412538E-2</v>
      </c>
    </row>
    <row r="158" spans="1:44" x14ac:dyDescent="0.35">
      <c r="A158" s="6" t="s">
        <v>55</v>
      </c>
      <c r="B158" s="12"/>
      <c r="C158" s="12"/>
      <c r="D158" s="12"/>
      <c r="E158" s="12"/>
      <c r="F158" s="12"/>
      <c r="G158" s="12"/>
      <c r="H158" s="12"/>
      <c r="I158" s="12"/>
      <c r="J158" s="12"/>
      <c r="K158" s="12"/>
      <c r="L158" s="12"/>
      <c r="M158" s="12"/>
      <c r="N158" s="12"/>
      <c r="O158" s="12"/>
      <c r="P158" s="12"/>
      <c r="Q158" s="12"/>
      <c r="R158" s="12">
        <v>0.04</v>
      </c>
      <c r="S158" s="12"/>
      <c r="T158" s="12"/>
      <c r="U158" s="12"/>
      <c r="V158" s="12"/>
      <c r="W158" s="12"/>
      <c r="X158" s="12"/>
      <c r="Y158" s="12"/>
      <c r="Z158" s="12">
        <f t="shared" si="250"/>
        <v>0.04</v>
      </c>
      <c r="AA158" s="24">
        <f t="shared" si="230"/>
        <v>1.3141467901964671E-5</v>
      </c>
      <c r="AC158" s="89">
        <f t="shared" si="246"/>
        <v>0.04</v>
      </c>
      <c r="AD158" s="89">
        <f t="shared" ref="AD158:AD159" si="261">SUM(U158:X158)</f>
        <v>0</v>
      </c>
      <c r="AE158" s="89">
        <f t="shared" si="227"/>
        <v>0</v>
      </c>
      <c r="AF158" s="89">
        <f t="shared" ref="AF158:AF159" si="262">SUM(AC158:AE158)</f>
        <v>0.04</v>
      </c>
      <c r="AG158" s="24">
        <f t="shared" ref="AG158" si="263">AD158/AF158</f>
        <v>0</v>
      </c>
      <c r="AJ158" s="6" t="s">
        <v>59</v>
      </c>
      <c r="AK158" s="407">
        <v>0.02</v>
      </c>
      <c r="AL158" s="89">
        <v>0.16999999999999998</v>
      </c>
      <c r="AM158" s="382">
        <f t="shared" si="249"/>
        <v>0.11764705882352942</v>
      </c>
    </row>
    <row r="159" spans="1:44" x14ac:dyDescent="0.35">
      <c r="A159" s="6" t="s">
        <v>56</v>
      </c>
      <c r="B159" s="12"/>
      <c r="C159" s="12"/>
      <c r="D159" s="12"/>
      <c r="E159" s="12"/>
      <c r="F159" s="12"/>
      <c r="G159" s="12"/>
      <c r="H159" s="12"/>
      <c r="I159" s="12"/>
      <c r="J159" s="12"/>
      <c r="K159" s="12"/>
      <c r="L159" s="12"/>
      <c r="M159" s="12"/>
      <c r="N159" s="12"/>
      <c r="O159" s="12">
        <v>0.14000000000000001</v>
      </c>
      <c r="P159" s="12"/>
      <c r="Q159" s="12"/>
      <c r="R159" s="12"/>
      <c r="S159" s="12"/>
      <c r="T159" s="12"/>
      <c r="U159" s="12"/>
      <c r="V159" s="12"/>
      <c r="W159" s="55"/>
      <c r="X159" s="12"/>
      <c r="Y159" s="54"/>
      <c r="Z159" s="12">
        <f t="shared" si="250"/>
        <v>0.14000000000000001</v>
      </c>
      <c r="AA159" s="24">
        <f t="shared" si="230"/>
        <v>4.5995137656876352E-5</v>
      </c>
      <c r="AC159" s="89">
        <f t="shared" si="246"/>
        <v>0.14000000000000001</v>
      </c>
      <c r="AD159" s="89">
        <f t="shared" si="261"/>
        <v>0</v>
      </c>
      <c r="AE159" s="89">
        <f t="shared" si="227"/>
        <v>0</v>
      </c>
      <c r="AF159" s="89">
        <f t="shared" si="262"/>
        <v>0.14000000000000001</v>
      </c>
      <c r="AG159" s="24">
        <f>AD159/AF159</f>
        <v>0</v>
      </c>
    </row>
    <row r="160" spans="1:44" x14ac:dyDescent="0.35">
      <c r="A160" s="116" t="s">
        <v>64</v>
      </c>
      <c r="B160" s="117">
        <f>SUM(B161:B164)</f>
        <v>0.18</v>
      </c>
      <c r="C160" s="117">
        <f t="shared" ref="C160:Y160" si="264">SUM(C161:C164)</f>
        <v>0</v>
      </c>
      <c r="D160" s="117">
        <f t="shared" si="264"/>
        <v>0</v>
      </c>
      <c r="E160" s="117">
        <f t="shared" si="264"/>
        <v>0</v>
      </c>
      <c r="F160" s="117">
        <f t="shared" si="264"/>
        <v>0</v>
      </c>
      <c r="G160" s="117">
        <f t="shared" si="264"/>
        <v>0</v>
      </c>
      <c r="H160" s="117">
        <f t="shared" si="264"/>
        <v>0</v>
      </c>
      <c r="I160" s="117">
        <f t="shared" si="264"/>
        <v>0</v>
      </c>
      <c r="J160" s="117">
        <f t="shared" si="264"/>
        <v>0</v>
      </c>
      <c r="K160" s="117">
        <f t="shared" si="264"/>
        <v>0.18</v>
      </c>
      <c r="L160" s="117">
        <f t="shared" si="264"/>
        <v>0</v>
      </c>
      <c r="M160" s="117">
        <f t="shared" si="264"/>
        <v>0</v>
      </c>
      <c r="N160" s="117">
        <f t="shared" si="264"/>
        <v>0</v>
      </c>
      <c r="O160" s="117">
        <f t="shared" si="264"/>
        <v>0</v>
      </c>
      <c r="P160" s="117">
        <f t="shared" si="264"/>
        <v>0</v>
      </c>
      <c r="Q160" s="117">
        <f t="shared" si="264"/>
        <v>0</v>
      </c>
      <c r="R160" s="117">
        <f t="shared" si="264"/>
        <v>0</v>
      </c>
      <c r="S160" s="117">
        <f t="shared" si="264"/>
        <v>0.09</v>
      </c>
      <c r="T160" s="117">
        <f t="shared" si="264"/>
        <v>0.06</v>
      </c>
      <c r="U160" s="117">
        <f t="shared" si="264"/>
        <v>0.59</v>
      </c>
      <c r="V160" s="117">
        <f t="shared" si="264"/>
        <v>0.18</v>
      </c>
      <c r="W160" s="117">
        <f t="shared" si="264"/>
        <v>0</v>
      </c>
      <c r="X160" s="117">
        <f t="shared" si="264"/>
        <v>0.2</v>
      </c>
      <c r="Y160" s="117">
        <f t="shared" si="264"/>
        <v>0.02</v>
      </c>
      <c r="Z160" s="117">
        <f>SUM(B160:Y160)</f>
        <v>1.5</v>
      </c>
      <c r="AA160" s="185">
        <f t="shared" si="230"/>
        <v>4.9280504632367517E-4</v>
      </c>
      <c r="AC160" s="117">
        <f t="shared" si="246"/>
        <v>0.51</v>
      </c>
      <c r="AD160" s="117">
        <f>SUM(U160:X160)</f>
        <v>0.97</v>
      </c>
      <c r="AE160" s="117">
        <f t="shared" si="227"/>
        <v>0.02</v>
      </c>
      <c r="AF160" s="117">
        <f>SUM(AC160:AE160)</f>
        <v>1.5</v>
      </c>
      <c r="AG160" s="185">
        <f>AD160/AF160</f>
        <v>0.64666666666666661</v>
      </c>
    </row>
    <row r="161" spans="1:33" x14ac:dyDescent="0.35">
      <c r="A161" s="6" t="s">
        <v>71</v>
      </c>
      <c r="B161" s="12"/>
      <c r="C161" s="12"/>
      <c r="D161" s="12"/>
      <c r="E161" s="12"/>
      <c r="F161" s="12"/>
      <c r="G161" s="12"/>
      <c r="H161" s="12"/>
      <c r="I161" s="12"/>
      <c r="J161" s="12"/>
      <c r="K161" s="12">
        <v>0.18</v>
      </c>
      <c r="L161" s="12"/>
      <c r="M161" s="12"/>
      <c r="N161" s="12"/>
      <c r="O161" s="12"/>
      <c r="P161" s="12"/>
      <c r="Q161" s="12"/>
      <c r="R161" s="12"/>
      <c r="S161" s="12"/>
      <c r="T161" s="12"/>
      <c r="U161" s="12"/>
      <c r="V161" s="12"/>
      <c r="W161" s="12"/>
      <c r="X161" s="12"/>
      <c r="Y161" s="12"/>
      <c r="Z161" s="12">
        <f t="shared" si="250"/>
        <v>0.18</v>
      </c>
      <c r="AA161" s="24">
        <f t="shared" si="230"/>
        <v>5.9136605558841011E-5</v>
      </c>
      <c r="AC161" s="89">
        <f t="shared" si="246"/>
        <v>0.18</v>
      </c>
      <c r="AD161" s="89">
        <f t="shared" ref="AD161:AD164" si="265">SUM(U161:X161)</f>
        <v>0</v>
      </c>
      <c r="AE161" s="89">
        <f t="shared" si="227"/>
        <v>0</v>
      </c>
      <c r="AF161" s="89">
        <f t="shared" ref="AF161:AF164" si="266">SUM(AC161:AE161)</f>
        <v>0.18</v>
      </c>
      <c r="AG161" s="24">
        <f>AD161/AF161</f>
        <v>0</v>
      </c>
    </row>
    <row r="162" spans="1:33" x14ac:dyDescent="0.35">
      <c r="A162" s="6" t="s">
        <v>65</v>
      </c>
      <c r="B162" s="12">
        <v>0.18</v>
      </c>
      <c r="C162" s="12"/>
      <c r="D162" s="12"/>
      <c r="E162" s="12"/>
      <c r="F162" s="12"/>
      <c r="G162" s="12"/>
      <c r="H162" s="12"/>
      <c r="I162" s="12"/>
      <c r="J162" s="12"/>
      <c r="K162" s="12"/>
      <c r="L162" s="12"/>
      <c r="M162" s="12"/>
      <c r="N162" s="12"/>
      <c r="O162" s="12"/>
      <c r="P162" s="12"/>
      <c r="Q162" s="12"/>
      <c r="R162" s="12"/>
      <c r="S162" s="12"/>
      <c r="T162" s="12"/>
      <c r="U162" s="12">
        <v>0.43</v>
      </c>
      <c r="V162" s="12"/>
      <c r="W162" s="12"/>
      <c r="X162" s="12"/>
      <c r="Y162" s="12"/>
      <c r="Z162" s="12">
        <f t="shared" si="250"/>
        <v>0.61</v>
      </c>
      <c r="AA162" s="24">
        <f t="shared" si="230"/>
        <v>2.0040738550496123E-4</v>
      </c>
      <c r="AC162" s="89">
        <f t="shared" si="246"/>
        <v>0.18</v>
      </c>
      <c r="AD162" s="89">
        <f t="shared" si="265"/>
        <v>0.43</v>
      </c>
      <c r="AE162" s="89">
        <f t="shared" si="227"/>
        <v>0</v>
      </c>
      <c r="AF162" s="89">
        <f t="shared" si="266"/>
        <v>0.61</v>
      </c>
      <c r="AG162" s="24">
        <f t="shared" ref="AG162:AG163" si="267">AD162/AF162</f>
        <v>0.70491803278688525</v>
      </c>
    </row>
    <row r="163" spans="1:33" x14ac:dyDescent="0.35">
      <c r="A163" s="6" t="s">
        <v>66</v>
      </c>
      <c r="B163" s="12"/>
      <c r="C163" s="12"/>
      <c r="D163" s="12"/>
      <c r="E163" s="12"/>
      <c r="F163" s="12"/>
      <c r="G163" s="12"/>
      <c r="H163" s="12"/>
      <c r="I163" s="12"/>
      <c r="J163" s="12"/>
      <c r="K163" s="12"/>
      <c r="L163" s="12"/>
      <c r="M163" s="12"/>
      <c r="N163" s="12"/>
      <c r="O163" s="12"/>
      <c r="P163" s="12"/>
      <c r="Q163" s="12"/>
      <c r="R163" s="12"/>
      <c r="S163" s="12">
        <v>0.09</v>
      </c>
      <c r="T163" s="12">
        <v>0.06</v>
      </c>
      <c r="U163" s="12"/>
      <c r="V163" s="12"/>
      <c r="W163" s="12"/>
      <c r="X163" s="12">
        <v>0.2</v>
      </c>
      <c r="Y163" s="12">
        <v>0.02</v>
      </c>
      <c r="Z163" s="12">
        <f t="shared" si="250"/>
        <v>0.37</v>
      </c>
      <c r="AA163" s="24">
        <f t="shared" si="230"/>
        <v>1.215585780931732E-4</v>
      </c>
      <c r="AC163" s="89">
        <f t="shared" si="246"/>
        <v>0.15</v>
      </c>
      <c r="AD163" s="89">
        <f t="shared" si="265"/>
        <v>0.2</v>
      </c>
      <c r="AE163" s="89">
        <f t="shared" si="227"/>
        <v>0.02</v>
      </c>
      <c r="AF163" s="89">
        <f t="shared" si="266"/>
        <v>0.37</v>
      </c>
      <c r="AG163" s="24">
        <f t="shared" si="267"/>
        <v>0.54054054054054057</v>
      </c>
    </row>
    <row r="164" spans="1:33" x14ac:dyDescent="0.35">
      <c r="A164" s="6" t="s">
        <v>72</v>
      </c>
      <c r="B164" s="12"/>
      <c r="C164" s="12"/>
      <c r="D164" s="12"/>
      <c r="E164" s="12"/>
      <c r="F164" s="12"/>
      <c r="G164" s="12"/>
      <c r="H164" s="12"/>
      <c r="I164" s="12"/>
      <c r="J164" s="12"/>
      <c r="K164" s="12"/>
      <c r="L164" s="12"/>
      <c r="M164" s="12"/>
      <c r="N164" s="12"/>
      <c r="O164" s="12"/>
      <c r="P164" s="12"/>
      <c r="Q164" s="12"/>
      <c r="R164" s="12"/>
      <c r="S164" s="12"/>
      <c r="T164" s="12"/>
      <c r="U164" s="12">
        <v>0.16</v>
      </c>
      <c r="V164" s="12">
        <v>0.18</v>
      </c>
      <c r="W164" s="12"/>
      <c r="X164" s="12"/>
      <c r="Y164" s="54"/>
      <c r="Z164" s="12">
        <f t="shared" si="250"/>
        <v>0.33999999999999997</v>
      </c>
      <c r="AA164" s="24">
        <f t="shared" si="230"/>
        <v>1.1170247716669969E-4</v>
      </c>
      <c r="AC164" s="89">
        <f t="shared" si="246"/>
        <v>0</v>
      </c>
      <c r="AD164" s="89">
        <f t="shared" si="265"/>
        <v>0.33999999999999997</v>
      </c>
      <c r="AE164" s="89">
        <f t="shared" si="227"/>
        <v>0</v>
      </c>
      <c r="AF164" s="89">
        <f t="shared" si="266"/>
        <v>0.33999999999999997</v>
      </c>
      <c r="AG164" s="24">
        <f>AD164/AF164</f>
        <v>1</v>
      </c>
    </row>
    <row r="165" spans="1:33" x14ac:dyDescent="0.35">
      <c r="A165" s="116" t="s">
        <v>20</v>
      </c>
      <c r="B165" s="117">
        <f>B166</f>
        <v>0.42000000000000004</v>
      </c>
      <c r="C165" s="117">
        <f t="shared" ref="C165:Y165" si="268">C166</f>
        <v>0</v>
      </c>
      <c r="D165" s="117">
        <f t="shared" si="268"/>
        <v>0</v>
      </c>
      <c r="E165" s="117">
        <f t="shared" si="268"/>
        <v>0</v>
      </c>
      <c r="F165" s="117">
        <f t="shared" si="268"/>
        <v>0</v>
      </c>
      <c r="G165" s="117">
        <f t="shared" si="268"/>
        <v>0</v>
      </c>
      <c r="H165" s="117">
        <f t="shared" si="268"/>
        <v>0</v>
      </c>
      <c r="I165" s="117">
        <f t="shared" si="268"/>
        <v>0</v>
      </c>
      <c r="J165" s="117">
        <f t="shared" si="268"/>
        <v>0</v>
      </c>
      <c r="K165" s="117">
        <f t="shared" si="268"/>
        <v>0</v>
      </c>
      <c r="L165" s="117">
        <f t="shared" si="268"/>
        <v>0</v>
      </c>
      <c r="M165" s="117">
        <f t="shared" si="268"/>
        <v>0</v>
      </c>
      <c r="N165" s="117">
        <f t="shared" si="268"/>
        <v>0</v>
      </c>
      <c r="O165" s="117">
        <f t="shared" si="268"/>
        <v>0</v>
      </c>
      <c r="P165" s="117">
        <f t="shared" si="268"/>
        <v>0</v>
      </c>
      <c r="Q165" s="117">
        <f t="shared" si="268"/>
        <v>0</v>
      </c>
      <c r="R165" s="117">
        <f t="shared" si="268"/>
        <v>0</v>
      </c>
      <c r="S165" s="117">
        <f t="shared" si="268"/>
        <v>0</v>
      </c>
      <c r="T165" s="117">
        <f t="shared" si="268"/>
        <v>0</v>
      </c>
      <c r="U165" s="117">
        <f t="shared" si="268"/>
        <v>0</v>
      </c>
      <c r="V165" s="117">
        <f t="shared" si="268"/>
        <v>0.46</v>
      </c>
      <c r="W165" s="117">
        <f t="shared" si="268"/>
        <v>0</v>
      </c>
      <c r="X165" s="117">
        <f t="shared" si="268"/>
        <v>0</v>
      </c>
      <c r="Y165" s="117">
        <f t="shared" si="268"/>
        <v>0</v>
      </c>
      <c r="Z165" s="117">
        <f>SUM(B165:Y165)</f>
        <v>0.88000000000000012</v>
      </c>
      <c r="AA165" s="185">
        <f t="shared" si="230"/>
        <v>2.8911229384322276E-4</v>
      </c>
      <c r="AC165" s="117">
        <f t="shared" si="246"/>
        <v>0.42000000000000004</v>
      </c>
      <c r="AD165" s="117">
        <f>SUM(U165:X165)</f>
        <v>0.46</v>
      </c>
      <c r="AE165" s="117">
        <f t="shared" si="227"/>
        <v>0</v>
      </c>
      <c r="AF165" s="117">
        <f>SUM(AC165:AE165)</f>
        <v>0.88000000000000012</v>
      </c>
      <c r="AG165" s="185">
        <f>AD165/AF165</f>
        <v>0.52272727272727271</v>
      </c>
    </row>
    <row r="166" spans="1:33" x14ac:dyDescent="0.35">
      <c r="A166" s="6" t="s">
        <v>20</v>
      </c>
      <c r="B166" s="12">
        <v>0.42000000000000004</v>
      </c>
      <c r="C166" s="12"/>
      <c r="D166" s="12"/>
      <c r="E166" s="12"/>
      <c r="F166" s="12"/>
      <c r="G166" s="12"/>
      <c r="H166" s="12"/>
      <c r="I166" s="12"/>
      <c r="J166" s="12"/>
      <c r="K166" s="12"/>
      <c r="L166" s="12"/>
      <c r="M166" s="12"/>
      <c r="N166" s="12"/>
      <c r="O166" s="12"/>
      <c r="P166" s="12"/>
      <c r="Q166" s="12"/>
      <c r="R166" s="12"/>
      <c r="S166" s="12"/>
      <c r="T166" s="12"/>
      <c r="U166" s="12"/>
      <c r="V166" s="12">
        <v>0.46</v>
      </c>
      <c r="W166" s="12"/>
      <c r="X166" s="12"/>
      <c r="Y166" s="12"/>
      <c r="Z166" s="12">
        <f t="shared" si="250"/>
        <v>0.88000000000000012</v>
      </c>
      <c r="AA166" s="24">
        <f t="shared" si="230"/>
        <v>2.8911229384322276E-4</v>
      </c>
      <c r="AC166" s="89">
        <f t="shared" si="246"/>
        <v>0.42000000000000004</v>
      </c>
      <c r="AD166" s="89">
        <f t="shared" ref="AD166" si="269">SUM(U166:X166)</f>
        <v>0.46</v>
      </c>
      <c r="AE166" s="89">
        <f t="shared" si="227"/>
        <v>0</v>
      </c>
      <c r="AF166" s="89">
        <f t="shared" ref="AF166" si="270">SUM(AC166:AE166)</f>
        <v>0.88000000000000012</v>
      </c>
      <c r="AG166" s="24">
        <f t="shared" ref="AG166" si="271">AD166/AF166</f>
        <v>0.52272727272727271</v>
      </c>
    </row>
    <row r="167" spans="1:33" x14ac:dyDescent="0.35">
      <c r="A167" s="116" t="s">
        <v>23</v>
      </c>
      <c r="B167" s="117">
        <f>B168</f>
        <v>0.5</v>
      </c>
      <c r="C167" s="117">
        <f t="shared" ref="C167:Y167" si="272">C168</f>
        <v>0</v>
      </c>
      <c r="D167" s="117">
        <f t="shared" si="272"/>
        <v>0</v>
      </c>
      <c r="E167" s="117">
        <f t="shared" si="272"/>
        <v>0</v>
      </c>
      <c r="F167" s="117">
        <f t="shared" si="272"/>
        <v>0</v>
      </c>
      <c r="G167" s="117">
        <f t="shared" si="272"/>
        <v>0</v>
      </c>
      <c r="H167" s="117">
        <f t="shared" si="272"/>
        <v>0</v>
      </c>
      <c r="I167" s="117">
        <f t="shared" si="272"/>
        <v>0</v>
      </c>
      <c r="J167" s="117">
        <f t="shared" si="272"/>
        <v>0</v>
      </c>
      <c r="K167" s="117">
        <f t="shared" si="272"/>
        <v>0</v>
      </c>
      <c r="L167" s="117">
        <f t="shared" si="272"/>
        <v>0</v>
      </c>
      <c r="M167" s="117">
        <f t="shared" si="272"/>
        <v>0</v>
      </c>
      <c r="N167" s="117">
        <f t="shared" si="272"/>
        <v>0</v>
      </c>
      <c r="O167" s="117">
        <f t="shared" si="272"/>
        <v>0</v>
      </c>
      <c r="P167" s="117">
        <f t="shared" si="272"/>
        <v>0</v>
      </c>
      <c r="Q167" s="117">
        <f t="shared" si="272"/>
        <v>0</v>
      </c>
      <c r="R167" s="117">
        <f t="shared" si="272"/>
        <v>0.2</v>
      </c>
      <c r="S167" s="117">
        <f t="shared" si="272"/>
        <v>0</v>
      </c>
      <c r="T167" s="117">
        <f t="shared" si="272"/>
        <v>0</v>
      </c>
      <c r="U167" s="117">
        <f t="shared" si="272"/>
        <v>0</v>
      </c>
      <c r="V167" s="117">
        <f t="shared" si="272"/>
        <v>0</v>
      </c>
      <c r="W167" s="117">
        <f t="shared" si="272"/>
        <v>0.5</v>
      </c>
      <c r="X167" s="117">
        <f t="shared" si="272"/>
        <v>4.6500000000000004</v>
      </c>
      <c r="Y167" s="117">
        <f t="shared" si="272"/>
        <v>0.02</v>
      </c>
      <c r="Z167" s="117">
        <f>SUM(B167:Y167)</f>
        <v>5.87</v>
      </c>
      <c r="AA167" s="185">
        <f t="shared" si="230"/>
        <v>1.9285104146133155E-3</v>
      </c>
      <c r="AC167" s="117">
        <f t="shared" si="246"/>
        <v>0.7</v>
      </c>
      <c r="AD167" s="117">
        <f>SUM(U167:X167)</f>
        <v>5.15</v>
      </c>
      <c r="AE167" s="117">
        <f t="shared" si="227"/>
        <v>0.02</v>
      </c>
      <c r="AF167" s="117">
        <f>SUM(AC167:AE167)</f>
        <v>5.87</v>
      </c>
      <c r="AG167" s="185">
        <f>AD167/AF167</f>
        <v>0.87734241908006816</v>
      </c>
    </row>
    <row r="168" spans="1:33" x14ac:dyDescent="0.35">
      <c r="A168" s="6" t="s">
        <v>23</v>
      </c>
      <c r="B168" s="12">
        <v>0.5</v>
      </c>
      <c r="C168" s="12"/>
      <c r="D168" s="12"/>
      <c r="E168" s="12"/>
      <c r="F168" s="12"/>
      <c r="G168" s="12"/>
      <c r="H168" s="12"/>
      <c r="I168" s="12"/>
      <c r="J168" s="12"/>
      <c r="K168" s="12"/>
      <c r="L168" s="12"/>
      <c r="M168" s="12"/>
      <c r="N168" s="12"/>
      <c r="O168" s="12"/>
      <c r="P168" s="12"/>
      <c r="Q168" s="12"/>
      <c r="R168" s="12">
        <v>0.2</v>
      </c>
      <c r="S168" s="12"/>
      <c r="T168" s="12"/>
      <c r="U168" s="12"/>
      <c r="V168" s="12"/>
      <c r="W168" s="12">
        <v>0.5</v>
      </c>
      <c r="X168" s="12">
        <v>4.6500000000000004</v>
      </c>
      <c r="Y168" s="12">
        <v>0.02</v>
      </c>
      <c r="Z168" s="12">
        <f t="shared" si="250"/>
        <v>5.87</v>
      </c>
      <c r="AA168" s="24">
        <f t="shared" si="230"/>
        <v>1.9285104146133155E-3</v>
      </c>
      <c r="AC168" s="89">
        <f t="shared" si="246"/>
        <v>0.7</v>
      </c>
      <c r="AD168" s="89">
        <f t="shared" ref="AD168" si="273">SUM(U168:X168)</f>
        <v>5.15</v>
      </c>
      <c r="AE168" s="89">
        <f t="shared" si="227"/>
        <v>0.02</v>
      </c>
      <c r="AF168" s="89">
        <f t="shared" ref="AF168" si="274">SUM(AC168:AE168)</f>
        <v>5.87</v>
      </c>
      <c r="AG168" s="24">
        <f>AD168/AF168</f>
        <v>0.87734241908006816</v>
      </c>
    </row>
    <row r="169" spans="1:33" x14ac:dyDescent="0.35">
      <c r="A169" s="116" t="s">
        <v>24</v>
      </c>
      <c r="B169" s="117">
        <f>SUM(B170:B172)</f>
        <v>3.6600000000000006</v>
      </c>
      <c r="C169" s="117">
        <f t="shared" ref="C169:Y169" si="275">SUM(C170:C172)</f>
        <v>7.0000000000000007E-2</v>
      </c>
      <c r="D169" s="117">
        <f t="shared" si="275"/>
        <v>0</v>
      </c>
      <c r="E169" s="117">
        <f t="shared" si="275"/>
        <v>0</v>
      </c>
      <c r="F169" s="117">
        <f t="shared" si="275"/>
        <v>0</v>
      </c>
      <c r="G169" s="117">
        <f t="shared" si="275"/>
        <v>0.13</v>
      </c>
      <c r="H169" s="117">
        <f t="shared" si="275"/>
        <v>0.29000000000000004</v>
      </c>
      <c r="I169" s="117">
        <f t="shared" si="275"/>
        <v>0</v>
      </c>
      <c r="J169" s="117">
        <f t="shared" si="275"/>
        <v>0</v>
      </c>
      <c r="K169" s="117">
        <f t="shared" si="275"/>
        <v>0</v>
      </c>
      <c r="L169" s="117">
        <f t="shared" si="275"/>
        <v>0</v>
      </c>
      <c r="M169" s="117">
        <f t="shared" si="275"/>
        <v>0</v>
      </c>
      <c r="N169" s="117">
        <f t="shared" si="275"/>
        <v>0</v>
      </c>
      <c r="O169" s="117">
        <f t="shared" si="275"/>
        <v>0</v>
      </c>
      <c r="P169" s="117">
        <f t="shared" si="275"/>
        <v>0.04</v>
      </c>
      <c r="Q169" s="117">
        <f t="shared" si="275"/>
        <v>0.45</v>
      </c>
      <c r="R169" s="117">
        <f t="shared" si="275"/>
        <v>0</v>
      </c>
      <c r="S169" s="117">
        <f t="shared" si="275"/>
        <v>0</v>
      </c>
      <c r="T169" s="117">
        <f t="shared" si="275"/>
        <v>0</v>
      </c>
      <c r="U169" s="117">
        <f t="shared" si="275"/>
        <v>0</v>
      </c>
      <c r="V169" s="117">
        <f t="shared" si="275"/>
        <v>0.02</v>
      </c>
      <c r="W169" s="117">
        <f t="shared" si="275"/>
        <v>0</v>
      </c>
      <c r="X169" s="117">
        <f t="shared" si="275"/>
        <v>0</v>
      </c>
      <c r="Y169" s="117">
        <f t="shared" si="275"/>
        <v>7.0000000000000007E-2</v>
      </c>
      <c r="Z169" s="117">
        <f>SUM(B169:Y169)</f>
        <v>4.7300000000000004</v>
      </c>
      <c r="AA169" s="185">
        <f t="shared" si="230"/>
        <v>1.5539785794073224E-3</v>
      </c>
      <c r="AC169" s="117">
        <f t="shared" si="246"/>
        <v>4.6400000000000006</v>
      </c>
      <c r="AD169" s="117">
        <f>SUM(U169:X169)</f>
        <v>0.02</v>
      </c>
      <c r="AE169" s="117">
        <f t="shared" si="227"/>
        <v>7.0000000000000007E-2</v>
      </c>
      <c r="AF169" s="117">
        <f>SUM(AC169:AE169)</f>
        <v>4.7300000000000004</v>
      </c>
      <c r="AG169" s="185">
        <f>AD169/AF169</f>
        <v>4.2283298097251579E-3</v>
      </c>
    </row>
    <row r="170" spans="1:33" x14ac:dyDescent="0.35">
      <c r="A170" s="6" t="s">
        <v>59</v>
      </c>
      <c r="B170" s="12">
        <v>0.02</v>
      </c>
      <c r="C170" s="12"/>
      <c r="D170" s="12"/>
      <c r="E170" s="12"/>
      <c r="F170" s="12"/>
      <c r="G170" s="12">
        <v>0.13</v>
      </c>
      <c r="H170" s="12"/>
      <c r="I170" s="12"/>
      <c r="J170" s="12"/>
      <c r="K170" s="12"/>
      <c r="L170" s="12"/>
      <c r="M170" s="12"/>
      <c r="N170" s="12"/>
      <c r="O170" s="12"/>
      <c r="P170" s="12"/>
      <c r="Q170" s="12"/>
      <c r="R170" s="12"/>
      <c r="S170" s="12"/>
      <c r="T170" s="12"/>
      <c r="U170" s="12"/>
      <c r="V170" s="12">
        <v>0.02</v>
      </c>
      <c r="W170" s="12"/>
      <c r="X170" s="12"/>
      <c r="Y170" s="12"/>
      <c r="Z170" s="12">
        <f t="shared" si="250"/>
        <v>0.16999999999999998</v>
      </c>
      <c r="AA170" s="24">
        <f t="shared" si="230"/>
        <v>5.5851238583349845E-5</v>
      </c>
      <c r="AC170" s="89">
        <f t="shared" si="246"/>
        <v>0.15</v>
      </c>
      <c r="AD170" s="89">
        <f t="shared" ref="AD170:AD172" si="276">SUM(U170:X170)</f>
        <v>0.02</v>
      </c>
      <c r="AE170" s="89">
        <f t="shared" si="227"/>
        <v>0</v>
      </c>
      <c r="AF170" s="89">
        <f t="shared" ref="AF170:AF172" si="277">SUM(AC170:AE170)</f>
        <v>0.16999999999999998</v>
      </c>
      <c r="AG170" s="24">
        <f>AD170/AF170</f>
        <v>0.11764705882352942</v>
      </c>
    </row>
    <row r="171" spans="1:33" x14ac:dyDescent="0.35">
      <c r="A171" s="6" t="s">
        <v>73</v>
      </c>
      <c r="B171" s="12">
        <v>3.0000000000000004</v>
      </c>
      <c r="C171" s="12">
        <v>7.0000000000000007E-2</v>
      </c>
      <c r="D171" s="12"/>
      <c r="E171" s="12"/>
      <c r="F171" s="12"/>
      <c r="G171" s="12"/>
      <c r="H171" s="12">
        <v>0.03</v>
      </c>
      <c r="I171" s="12"/>
      <c r="J171" s="12"/>
      <c r="K171" s="12"/>
      <c r="L171" s="12"/>
      <c r="M171" s="12"/>
      <c r="N171" s="12"/>
      <c r="O171" s="12"/>
      <c r="P171" s="12">
        <v>0.04</v>
      </c>
      <c r="Q171" s="12"/>
      <c r="R171" s="12"/>
      <c r="S171" s="12"/>
      <c r="T171" s="12"/>
      <c r="U171" s="12"/>
      <c r="V171" s="12"/>
      <c r="W171" s="12"/>
      <c r="X171" s="12"/>
      <c r="Y171" s="12">
        <v>0.05</v>
      </c>
      <c r="Z171" s="12">
        <f t="shared" si="250"/>
        <v>3.19</v>
      </c>
      <c r="AA171" s="24">
        <f t="shared" si="230"/>
        <v>1.0480320651816825E-3</v>
      </c>
      <c r="AC171" s="89">
        <f t="shared" si="246"/>
        <v>3.14</v>
      </c>
      <c r="AD171" s="89">
        <f t="shared" si="276"/>
        <v>0</v>
      </c>
      <c r="AE171" s="89">
        <f t="shared" si="227"/>
        <v>0.05</v>
      </c>
      <c r="AF171" s="89">
        <f t="shared" si="277"/>
        <v>3.19</v>
      </c>
      <c r="AG171" s="24">
        <f t="shared" ref="AG171" si="278">AD171/AF171</f>
        <v>0</v>
      </c>
    </row>
    <row r="172" spans="1:33" x14ac:dyDescent="0.35">
      <c r="A172" s="178" t="s">
        <v>74</v>
      </c>
      <c r="B172" s="12">
        <v>0.64</v>
      </c>
      <c r="C172" s="12"/>
      <c r="D172" s="12"/>
      <c r="E172" s="12"/>
      <c r="F172" s="12"/>
      <c r="G172" s="12"/>
      <c r="H172" s="12">
        <v>0.26</v>
      </c>
      <c r="I172" s="12"/>
      <c r="J172" s="12"/>
      <c r="K172" s="12"/>
      <c r="L172" s="12"/>
      <c r="M172" s="12"/>
      <c r="N172" s="12"/>
      <c r="O172" s="12"/>
      <c r="P172" s="12"/>
      <c r="Q172" s="12">
        <v>0.45</v>
      </c>
      <c r="R172" s="12"/>
      <c r="S172" s="12"/>
      <c r="T172" s="12"/>
      <c r="U172" s="12"/>
      <c r="V172" s="12"/>
      <c r="W172" s="12"/>
      <c r="X172" s="12"/>
      <c r="Y172" s="12">
        <v>0.02</v>
      </c>
      <c r="Z172" s="12">
        <f t="shared" si="250"/>
        <v>1.37</v>
      </c>
      <c r="AA172" s="24">
        <f t="shared" si="230"/>
        <v>4.5009527564228999E-4</v>
      </c>
      <c r="AC172" s="89">
        <f t="shared" si="246"/>
        <v>1.35</v>
      </c>
      <c r="AD172" s="89">
        <f t="shared" si="276"/>
        <v>0</v>
      </c>
      <c r="AE172" s="89">
        <f t="shared" si="227"/>
        <v>0.02</v>
      </c>
      <c r="AF172" s="89">
        <f t="shared" si="277"/>
        <v>1.37</v>
      </c>
      <c r="AG172" s="24">
        <f>AD172/AF172</f>
        <v>0</v>
      </c>
    </row>
    <row r="173" spans="1:33" ht="15.5" x14ac:dyDescent="0.35">
      <c r="A173" s="179" t="s">
        <v>25</v>
      </c>
      <c r="B173" s="213">
        <f>SUM(B169,B167,B165,B160,B157,B152,B150,B145,B141,B137,B135,B131,B128)</f>
        <v>2723.2299999999959</v>
      </c>
      <c r="C173" s="213">
        <f t="shared" ref="C173:AA173" si="279">SUM(C169,C167,C165,C160,C157,C152,C150,C145,C141,C137,C135,C131,C128)</f>
        <v>97.03</v>
      </c>
      <c r="D173" s="213">
        <f t="shared" si="279"/>
        <v>16.849999999999998</v>
      </c>
      <c r="E173" s="213">
        <f t="shared" si="279"/>
        <v>2.96</v>
      </c>
      <c r="F173" s="213">
        <f t="shared" si="279"/>
        <v>3.7100000000000004</v>
      </c>
      <c r="G173" s="213">
        <f t="shared" si="279"/>
        <v>8.7899999999999991</v>
      </c>
      <c r="H173" s="213">
        <f t="shared" si="279"/>
        <v>5.9399999999999995</v>
      </c>
      <c r="I173" s="213">
        <f t="shared" si="279"/>
        <v>3.64</v>
      </c>
      <c r="J173" s="213">
        <f t="shared" si="279"/>
        <v>3.4299999999999997</v>
      </c>
      <c r="K173" s="213">
        <f t="shared" si="279"/>
        <v>5.75</v>
      </c>
      <c r="L173" s="213">
        <f t="shared" si="279"/>
        <v>1.74</v>
      </c>
      <c r="M173" s="213">
        <f t="shared" si="279"/>
        <v>8.2800000000000011</v>
      </c>
      <c r="N173" s="213">
        <f t="shared" si="279"/>
        <v>2.35</v>
      </c>
      <c r="O173" s="213">
        <f t="shared" si="279"/>
        <v>11.869999999999997</v>
      </c>
      <c r="P173" s="213">
        <f t="shared" si="279"/>
        <v>5.9999999999999991</v>
      </c>
      <c r="Q173" s="213">
        <f t="shared" si="279"/>
        <v>8.0500000000000007</v>
      </c>
      <c r="R173" s="213">
        <f t="shared" si="279"/>
        <v>13.229999999999999</v>
      </c>
      <c r="S173" s="213">
        <f t="shared" si="279"/>
        <v>24.099999999999994</v>
      </c>
      <c r="T173" s="213">
        <f t="shared" si="279"/>
        <v>17.13</v>
      </c>
      <c r="U173" s="213">
        <f t="shared" si="279"/>
        <v>25.430000000000003</v>
      </c>
      <c r="V173" s="213">
        <f t="shared" si="279"/>
        <v>18.849999999999998</v>
      </c>
      <c r="W173" s="213">
        <f t="shared" si="279"/>
        <v>21.43</v>
      </c>
      <c r="X173" s="213">
        <f t="shared" si="279"/>
        <v>13.2</v>
      </c>
      <c r="Y173" s="213">
        <f t="shared" si="279"/>
        <v>0.81</v>
      </c>
      <c r="Z173" s="213">
        <f>SUM(B173:Y173)</f>
        <v>3043.7999999999952</v>
      </c>
      <c r="AA173" s="213">
        <f t="shared" si="279"/>
        <v>1.0000000000000002</v>
      </c>
      <c r="AC173" s="213">
        <f t="shared" si="246"/>
        <v>2964.0799999999958</v>
      </c>
      <c r="AD173" s="213">
        <f>SUM(U173:X173)</f>
        <v>78.910000000000011</v>
      </c>
      <c r="AE173" s="213">
        <f t="shared" si="227"/>
        <v>0.81</v>
      </c>
      <c r="AF173" s="213">
        <f>SUM(AC173:AE173)</f>
        <v>3043.7999999999956</v>
      </c>
      <c r="AG173" s="204">
        <f>AD173/AF173</f>
        <v>2.5924830803600803E-2</v>
      </c>
    </row>
    <row r="174" spans="1:33" x14ac:dyDescent="0.35">
      <c r="A174" s="378" t="s">
        <v>253</v>
      </c>
      <c r="B174" s="379"/>
      <c r="C174" s="379">
        <f>C173+B173</f>
        <v>2820.2599999999961</v>
      </c>
      <c r="D174" s="379">
        <f>D173+C174</f>
        <v>2837.109999999996</v>
      </c>
      <c r="E174" s="379">
        <f>E173+D174</f>
        <v>2840.0699999999961</v>
      </c>
      <c r="F174" s="379">
        <f t="shared" ref="F174" si="280">F173+E174</f>
        <v>2843.7799999999961</v>
      </c>
      <c r="G174" s="379">
        <f t="shared" ref="G174" si="281">G173+F174</f>
        <v>2852.5699999999961</v>
      </c>
      <c r="H174" s="379">
        <f t="shared" ref="H174" si="282">H173+G174</f>
        <v>2858.5099999999961</v>
      </c>
      <c r="I174" s="379">
        <f t="shared" ref="I174" si="283">I173+H174</f>
        <v>2862.149999999996</v>
      </c>
      <c r="J174" s="379">
        <f t="shared" ref="J174" si="284">J173+I174</f>
        <v>2865.5799999999958</v>
      </c>
      <c r="K174" s="379">
        <f t="shared" ref="K174" si="285">K173+J174</f>
        <v>2871.3299999999958</v>
      </c>
      <c r="L174" s="379">
        <f t="shared" ref="L174" si="286">L173+K174</f>
        <v>2873.0699999999956</v>
      </c>
      <c r="M174" s="379">
        <f t="shared" ref="M174" si="287">M173+L174</f>
        <v>2881.3499999999958</v>
      </c>
      <c r="N174" s="379">
        <f t="shared" ref="N174" si="288">N173+M174</f>
        <v>2883.6999999999957</v>
      </c>
      <c r="O174" s="379">
        <f t="shared" ref="O174" si="289">O173+N174</f>
        <v>2895.5699999999956</v>
      </c>
      <c r="P174" s="379">
        <f t="shared" ref="P174" si="290">P173+O174</f>
        <v>2901.5699999999956</v>
      </c>
      <c r="Q174" s="379">
        <f t="shared" ref="Q174" si="291">Q173+P174</f>
        <v>2909.6199999999958</v>
      </c>
      <c r="R174" s="379">
        <f t="shared" ref="R174" si="292">R173+Q174</f>
        <v>2922.8499999999958</v>
      </c>
      <c r="S174" s="379">
        <f t="shared" ref="S174" si="293">S173+R174</f>
        <v>2946.9499999999957</v>
      </c>
      <c r="T174" s="379">
        <f t="shared" ref="T174" si="294">T173+S174</f>
        <v>2964.0799999999958</v>
      </c>
      <c r="U174" s="379">
        <f t="shared" ref="U174" si="295">U173+T174</f>
        <v>2989.5099999999957</v>
      </c>
      <c r="V174" s="379">
        <f t="shared" ref="V174" si="296">V173+U174</f>
        <v>3008.3599999999956</v>
      </c>
      <c r="W174" s="379">
        <f t="shared" ref="W174" si="297">W173+V174</f>
        <v>3029.7899999999954</v>
      </c>
      <c r="X174" s="379">
        <f t="shared" ref="X174" si="298">X173+W174</f>
        <v>3042.9899999999952</v>
      </c>
    </row>
    <row r="175" spans="1:33" x14ac:dyDescent="0.35">
      <c r="A175" s="380" t="s">
        <v>254</v>
      </c>
      <c r="B175" s="379"/>
      <c r="C175" s="381"/>
      <c r="D175" s="381">
        <f>D174/C174-1</f>
        <v>5.9746264528801607E-3</v>
      </c>
      <c r="E175" s="381">
        <f t="shared" ref="E175" si="299">E174/D174-1</f>
        <v>1.043315204556805E-3</v>
      </c>
      <c r="F175" s="381">
        <f t="shared" ref="F175" si="300">F174/E174-1</f>
        <v>1.3063058304900732E-3</v>
      </c>
      <c r="G175" s="381">
        <f t="shared" ref="G175" si="301">G174/F174-1</f>
        <v>3.0909564030972003E-3</v>
      </c>
      <c r="H175" s="381">
        <f t="shared" ref="H175" si="302">H174/G174-1</f>
        <v>2.0823327736041453E-3</v>
      </c>
      <c r="I175" s="381">
        <f t="shared" ref="I175" si="303">I174/H174-1</f>
        <v>1.2733906825583841E-3</v>
      </c>
      <c r="J175" s="381">
        <f t="shared" ref="J175" si="304">J174/I174-1</f>
        <v>1.1983998043427757E-3</v>
      </c>
      <c r="K175" s="381">
        <f t="shared" ref="K175" si="305">K174/J174-1</f>
        <v>2.0065745852497763E-3</v>
      </c>
      <c r="L175" s="381">
        <f t="shared" ref="L175" si="306">L174/K174-1</f>
        <v>6.0599095192803709E-4</v>
      </c>
      <c r="M175" s="381">
        <f t="shared" ref="M175" si="307">M174/L174-1</f>
        <v>2.8819346552642067E-3</v>
      </c>
      <c r="N175" s="381">
        <f t="shared" ref="N175" si="308">N174/M174-1</f>
        <v>8.155899144497436E-4</v>
      </c>
      <c r="O175" s="381">
        <f t="shared" ref="O175" si="309">O174/N174-1</f>
        <v>4.1162395533516083E-3</v>
      </c>
      <c r="P175" s="381">
        <f t="shared" ref="P175" si="310">P174/O174-1</f>
        <v>2.0721308757860601E-3</v>
      </c>
      <c r="Q175" s="381">
        <f t="shared" ref="Q175" si="311">Q174/P174-1</f>
        <v>2.7743600878145092E-3</v>
      </c>
      <c r="R175" s="381">
        <f t="shared" ref="R175" si="312">R174/Q174-1</f>
        <v>4.5469855170090501E-3</v>
      </c>
      <c r="S175" s="381">
        <f t="shared" ref="S175" si="313">S174/R174-1</f>
        <v>8.2453769437365043E-3</v>
      </c>
      <c r="T175" s="381">
        <f t="shared" ref="T175" si="314">T174/S174-1</f>
        <v>5.8127894942228142E-3</v>
      </c>
      <c r="U175" s="381">
        <f t="shared" ref="U175" si="315">U174/T174-1</f>
        <v>8.5793905697550965E-3</v>
      </c>
      <c r="V175" s="381">
        <f t="shared" ref="V175" si="316">V174/U174-1</f>
        <v>6.3053811494191425E-3</v>
      </c>
      <c r="W175" s="381">
        <f t="shared" ref="W175" si="317">W174/V174-1</f>
        <v>7.1234825619272968E-3</v>
      </c>
      <c r="X175" s="381">
        <f t="shared" ref="X175" si="318">X174/W174-1</f>
        <v>4.3567375956747867E-3</v>
      </c>
    </row>
    <row r="176" spans="1:33" ht="15.5" x14ac:dyDescent="0.35">
      <c r="A176" s="179" t="s">
        <v>99</v>
      </c>
      <c r="B176" s="122" t="s">
        <v>100</v>
      </c>
      <c r="C176" s="122">
        <v>2000</v>
      </c>
      <c r="D176" s="122">
        <v>2001</v>
      </c>
      <c r="E176" s="122">
        <v>2002</v>
      </c>
      <c r="F176" s="122">
        <v>2003</v>
      </c>
      <c r="G176" s="122">
        <v>2004</v>
      </c>
      <c r="H176" s="122">
        <v>2005</v>
      </c>
      <c r="I176" s="122">
        <v>2006</v>
      </c>
      <c r="J176" s="122">
        <v>2007</v>
      </c>
      <c r="K176" s="122">
        <v>2008</v>
      </c>
      <c r="L176" s="122">
        <v>2009</v>
      </c>
      <c r="M176" s="122">
        <v>2010</v>
      </c>
      <c r="N176" s="122">
        <v>2011</v>
      </c>
      <c r="O176" s="122">
        <v>2012</v>
      </c>
      <c r="P176" s="122">
        <v>2013</v>
      </c>
      <c r="Q176" s="122">
        <v>2014</v>
      </c>
      <c r="R176" s="122">
        <v>2015</v>
      </c>
      <c r="S176" s="122">
        <v>2016</v>
      </c>
      <c r="T176" s="122">
        <v>2017</v>
      </c>
      <c r="U176" s="122">
        <v>2018</v>
      </c>
      <c r="V176" s="122">
        <v>2019</v>
      </c>
      <c r="W176" s="122">
        <v>2020</v>
      </c>
      <c r="X176" s="123">
        <v>2021</v>
      </c>
      <c r="Y176" s="123" t="s">
        <v>90</v>
      </c>
    </row>
    <row r="177" spans="1:25" x14ac:dyDescent="0.35">
      <c r="A177" s="116" t="s">
        <v>5</v>
      </c>
      <c r="B177" s="22">
        <f t="shared" ref="B177:Y177" si="319">B128/$Z$128</f>
        <v>0</v>
      </c>
      <c r="C177" s="22">
        <f t="shared" si="319"/>
        <v>0</v>
      </c>
      <c r="D177" s="22">
        <f t="shared" si="319"/>
        <v>0</v>
      </c>
      <c r="E177" s="22">
        <f t="shared" si="319"/>
        <v>0</v>
      </c>
      <c r="F177" s="22">
        <f t="shared" si="319"/>
        <v>0</v>
      </c>
      <c r="G177" s="22">
        <f t="shared" si="319"/>
        <v>0.2</v>
      </c>
      <c r="H177" s="22">
        <f t="shared" si="319"/>
        <v>0</v>
      </c>
      <c r="I177" s="22">
        <f t="shared" si="319"/>
        <v>0</v>
      </c>
      <c r="J177" s="22">
        <f t="shared" si="319"/>
        <v>0</v>
      </c>
      <c r="K177" s="22">
        <f t="shared" si="319"/>
        <v>0</v>
      </c>
      <c r="L177" s="22">
        <f t="shared" si="319"/>
        <v>0</v>
      </c>
      <c r="M177" s="22">
        <f t="shared" si="319"/>
        <v>0</v>
      </c>
      <c r="N177" s="22">
        <f t="shared" si="319"/>
        <v>0</v>
      </c>
      <c r="O177" s="22">
        <f t="shared" si="319"/>
        <v>0</v>
      </c>
      <c r="P177" s="22">
        <f t="shared" si="319"/>
        <v>0</v>
      </c>
      <c r="Q177" s="22">
        <f t="shared" si="319"/>
        <v>0</v>
      </c>
      <c r="R177" s="22">
        <f t="shared" si="319"/>
        <v>0</v>
      </c>
      <c r="S177" s="22">
        <f t="shared" si="319"/>
        <v>0</v>
      </c>
      <c r="T177" s="22">
        <f t="shared" si="319"/>
        <v>0</v>
      </c>
      <c r="U177" s="22">
        <f t="shared" si="319"/>
        <v>0</v>
      </c>
      <c r="V177" s="22">
        <f t="shared" si="319"/>
        <v>0</v>
      </c>
      <c r="W177" s="22">
        <f t="shared" si="319"/>
        <v>0.8</v>
      </c>
      <c r="X177" s="22">
        <f t="shared" si="319"/>
        <v>0</v>
      </c>
      <c r="Y177" s="385">
        <f t="shared" si="319"/>
        <v>0</v>
      </c>
    </row>
    <row r="178" spans="1:25" x14ac:dyDescent="0.35">
      <c r="A178" s="116" t="s">
        <v>12</v>
      </c>
      <c r="B178" s="22">
        <f t="shared" ref="B178:Y178" si="320">B131/$Z$131</f>
        <v>0.88264984227129328</v>
      </c>
      <c r="C178" s="22">
        <f t="shared" si="320"/>
        <v>4.0378548895899057E-2</v>
      </c>
      <c r="D178" s="22">
        <f t="shared" si="320"/>
        <v>0</v>
      </c>
      <c r="E178" s="22">
        <f t="shared" si="320"/>
        <v>0</v>
      </c>
      <c r="F178" s="22">
        <f t="shared" si="320"/>
        <v>1.3880126182965302E-2</v>
      </c>
      <c r="G178" s="22">
        <f t="shared" si="320"/>
        <v>0</v>
      </c>
      <c r="H178" s="22">
        <f t="shared" si="320"/>
        <v>1.0094637223974764E-2</v>
      </c>
      <c r="I178" s="22">
        <f t="shared" si="320"/>
        <v>0</v>
      </c>
      <c r="J178" s="22">
        <f t="shared" si="320"/>
        <v>0</v>
      </c>
      <c r="K178" s="22">
        <f t="shared" si="320"/>
        <v>0</v>
      </c>
      <c r="L178" s="22">
        <f t="shared" si="320"/>
        <v>2.0189274447949528E-2</v>
      </c>
      <c r="M178" s="22">
        <f t="shared" si="320"/>
        <v>4.4164037854889596E-3</v>
      </c>
      <c r="N178" s="22">
        <f t="shared" si="320"/>
        <v>0</v>
      </c>
      <c r="O178" s="22">
        <f t="shared" si="320"/>
        <v>1.829652996845426E-2</v>
      </c>
      <c r="P178" s="22">
        <f t="shared" si="320"/>
        <v>0</v>
      </c>
      <c r="Q178" s="22">
        <f t="shared" si="320"/>
        <v>0</v>
      </c>
      <c r="R178" s="22">
        <f t="shared" si="320"/>
        <v>1.0094637223974764E-2</v>
      </c>
      <c r="S178" s="22">
        <f t="shared" si="320"/>
        <v>0</v>
      </c>
      <c r="T178" s="22">
        <f t="shared" si="320"/>
        <v>0</v>
      </c>
      <c r="U178" s="22">
        <f t="shared" si="320"/>
        <v>0</v>
      </c>
      <c r="V178" s="22">
        <f t="shared" si="320"/>
        <v>0</v>
      </c>
      <c r="W178" s="22">
        <f t="shared" si="320"/>
        <v>0</v>
      </c>
      <c r="X178" s="22">
        <f t="shared" si="320"/>
        <v>0</v>
      </c>
      <c r="Y178" s="385">
        <f t="shared" si="320"/>
        <v>0</v>
      </c>
    </row>
    <row r="179" spans="1:25" x14ac:dyDescent="0.35">
      <c r="A179" s="116" t="s">
        <v>69</v>
      </c>
      <c r="B179" s="22">
        <f t="shared" ref="B179:Y179" si="321">B135/$Z$135</f>
        <v>1.0869565217391306E-2</v>
      </c>
      <c r="C179" s="22">
        <f t="shared" si="321"/>
        <v>0.32608695652173914</v>
      </c>
      <c r="D179" s="22">
        <f t="shared" si="321"/>
        <v>0</v>
      </c>
      <c r="E179" s="22">
        <f t="shared" si="321"/>
        <v>0</v>
      </c>
      <c r="F179" s="22">
        <f t="shared" si="321"/>
        <v>0</v>
      </c>
      <c r="G179" s="22">
        <f t="shared" si="321"/>
        <v>0</v>
      </c>
      <c r="H179" s="22">
        <f t="shared" si="321"/>
        <v>0</v>
      </c>
      <c r="I179" s="22">
        <f t="shared" si="321"/>
        <v>0</v>
      </c>
      <c r="J179" s="22">
        <f t="shared" si="321"/>
        <v>0</v>
      </c>
      <c r="K179" s="22">
        <f t="shared" si="321"/>
        <v>0</v>
      </c>
      <c r="L179" s="22">
        <f t="shared" si="321"/>
        <v>0</v>
      </c>
      <c r="M179" s="22">
        <f t="shared" si="321"/>
        <v>0</v>
      </c>
      <c r="N179" s="22">
        <f t="shared" si="321"/>
        <v>0</v>
      </c>
      <c r="O179" s="22">
        <f t="shared" si="321"/>
        <v>0</v>
      </c>
      <c r="P179" s="22">
        <f t="shared" si="321"/>
        <v>0.22826086956521741</v>
      </c>
      <c r="Q179" s="22">
        <f t="shared" si="321"/>
        <v>0</v>
      </c>
      <c r="R179" s="22">
        <f t="shared" si="321"/>
        <v>0</v>
      </c>
      <c r="S179" s="22">
        <f t="shared" si="321"/>
        <v>0</v>
      </c>
      <c r="T179" s="22">
        <f t="shared" si="321"/>
        <v>0.25000000000000006</v>
      </c>
      <c r="U179" s="22">
        <f t="shared" si="321"/>
        <v>0</v>
      </c>
      <c r="V179" s="22">
        <f t="shared" si="321"/>
        <v>0</v>
      </c>
      <c r="W179" s="22">
        <f t="shared" si="321"/>
        <v>0</v>
      </c>
      <c r="X179" s="22">
        <f t="shared" si="321"/>
        <v>0</v>
      </c>
      <c r="Y179" s="384">
        <f t="shared" si="321"/>
        <v>0.18478260869565216</v>
      </c>
    </row>
    <row r="180" spans="1:25" x14ac:dyDescent="0.35">
      <c r="A180" s="116" t="s">
        <v>13</v>
      </c>
      <c r="B180" s="22">
        <f t="shared" ref="B180:Y180" si="322">B137/$Z$137</f>
        <v>0.94510482495736803</v>
      </c>
      <c r="C180" s="22">
        <f t="shared" si="322"/>
        <v>1.5849132310161503E-2</v>
      </c>
      <c r="D180" s="22">
        <f t="shared" si="322"/>
        <v>0</v>
      </c>
      <c r="E180" s="22">
        <f t="shared" si="322"/>
        <v>0</v>
      </c>
      <c r="F180" s="22">
        <f t="shared" si="322"/>
        <v>0</v>
      </c>
      <c r="G180" s="22">
        <f t="shared" si="322"/>
        <v>0</v>
      </c>
      <c r="H180" s="22">
        <f t="shared" si="322"/>
        <v>0</v>
      </c>
      <c r="I180" s="22">
        <f t="shared" si="322"/>
        <v>0</v>
      </c>
      <c r="J180" s="22">
        <f t="shared" si="322"/>
        <v>6.018657839301835E-4</v>
      </c>
      <c r="K180" s="22">
        <f t="shared" si="322"/>
        <v>0</v>
      </c>
      <c r="L180" s="22">
        <f t="shared" si="322"/>
        <v>0</v>
      </c>
      <c r="M180" s="22">
        <f t="shared" si="322"/>
        <v>2.0062192797672784E-3</v>
      </c>
      <c r="N180" s="22">
        <f t="shared" si="322"/>
        <v>0</v>
      </c>
      <c r="O180" s="22">
        <f t="shared" si="322"/>
        <v>1.6551309058080044E-2</v>
      </c>
      <c r="P180" s="22">
        <f t="shared" si="322"/>
        <v>7.7490219681011123E-3</v>
      </c>
      <c r="Q180" s="22">
        <f t="shared" si="322"/>
        <v>7.0217674791854751E-4</v>
      </c>
      <c r="R180" s="22">
        <f t="shared" si="322"/>
        <v>2.256996689738188E-4</v>
      </c>
      <c r="S180" s="22">
        <f t="shared" si="322"/>
        <v>0</v>
      </c>
      <c r="T180" s="22">
        <f t="shared" si="322"/>
        <v>2.9842511786538264E-3</v>
      </c>
      <c r="U180" s="22">
        <f t="shared" si="322"/>
        <v>7.2474671481592935E-3</v>
      </c>
      <c r="V180" s="22">
        <f t="shared" si="322"/>
        <v>2.0062192797672782E-4</v>
      </c>
      <c r="W180" s="22">
        <f t="shared" si="322"/>
        <v>0</v>
      </c>
      <c r="X180" s="22">
        <f t="shared" si="322"/>
        <v>0</v>
      </c>
      <c r="Y180" s="384">
        <f t="shared" si="322"/>
        <v>7.7740997090982038E-4</v>
      </c>
    </row>
    <row r="181" spans="1:25" x14ac:dyDescent="0.35">
      <c r="A181" s="116" t="s">
        <v>16</v>
      </c>
      <c r="B181" s="22">
        <f t="shared" ref="B181:Y181" si="323">B141/$Z$141</f>
        <v>0</v>
      </c>
      <c r="C181" s="22">
        <f t="shared" si="323"/>
        <v>0</v>
      </c>
      <c r="D181" s="22">
        <f t="shared" si="323"/>
        <v>0</v>
      </c>
      <c r="E181" s="22">
        <f t="shared" si="323"/>
        <v>1.5624999999999998E-2</v>
      </c>
      <c r="F181" s="22">
        <f t="shared" si="323"/>
        <v>0</v>
      </c>
      <c r="G181" s="22">
        <f t="shared" si="323"/>
        <v>0</v>
      </c>
      <c r="H181" s="22">
        <f t="shared" si="323"/>
        <v>0</v>
      </c>
      <c r="I181" s="22">
        <f t="shared" si="323"/>
        <v>0</v>
      </c>
      <c r="J181" s="22">
        <f t="shared" si="323"/>
        <v>0</v>
      </c>
      <c r="K181" s="22">
        <f t="shared" si="323"/>
        <v>0</v>
      </c>
      <c r="L181" s="22">
        <f t="shared" si="323"/>
        <v>0</v>
      </c>
      <c r="M181" s="22">
        <f t="shared" si="323"/>
        <v>0</v>
      </c>
      <c r="N181" s="22">
        <f t="shared" si="323"/>
        <v>0</v>
      </c>
      <c r="O181" s="22">
        <f t="shared" si="323"/>
        <v>0</v>
      </c>
      <c r="P181" s="22">
        <f t="shared" si="323"/>
        <v>0</v>
      </c>
      <c r="Q181" s="22">
        <f t="shared" si="323"/>
        <v>3.2986111111111105E-2</v>
      </c>
      <c r="R181" s="22">
        <f t="shared" si="323"/>
        <v>0</v>
      </c>
      <c r="S181" s="22">
        <f t="shared" si="323"/>
        <v>0</v>
      </c>
      <c r="T181" s="22">
        <f t="shared" si="323"/>
        <v>0</v>
      </c>
      <c r="U181" s="22">
        <f t="shared" si="323"/>
        <v>0</v>
      </c>
      <c r="V181" s="22">
        <f t="shared" si="323"/>
        <v>0.21006944444444442</v>
      </c>
      <c r="W181" s="22">
        <f t="shared" si="323"/>
        <v>0.375</v>
      </c>
      <c r="X181" s="22">
        <f t="shared" si="323"/>
        <v>0.34027777777777773</v>
      </c>
      <c r="Y181" s="384">
        <f t="shared" si="323"/>
        <v>2.6041666666666664E-2</v>
      </c>
    </row>
    <row r="182" spans="1:25" x14ac:dyDescent="0.35">
      <c r="A182" s="116" t="s">
        <v>15</v>
      </c>
      <c r="B182" s="22">
        <f t="shared" ref="B182:Y182" si="324">B145/$Z$145</f>
        <v>0.26153846153846155</v>
      </c>
      <c r="C182" s="22">
        <f t="shared" si="324"/>
        <v>0</v>
      </c>
      <c r="D182" s="22">
        <f t="shared" si="324"/>
        <v>0</v>
      </c>
      <c r="E182" s="22">
        <f t="shared" si="324"/>
        <v>0</v>
      </c>
      <c r="F182" s="22">
        <f t="shared" si="324"/>
        <v>0</v>
      </c>
      <c r="G182" s="22">
        <f t="shared" si="324"/>
        <v>0</v>
      </c>
      <c r="H182" s="22">
        <f t="shared" si="324"/>
        <v>0</v>
      </c>
      <c r="I182" s="22">
        <f t="shared" si="324"/>
        <v>0</v>
      </c>
      <c r="J182" s="22">
        <f t="shared" si="324"/>
        <v>0</v>
      </c>
      <c r="K182" s="22">
        <f t="shared" si="324"/>
        <v>0</v>
      </c>
      <c r="L182" s="22">
        <f t="shared" si="324"/>
        <v>0</v>
      </c>
      <c r="M182" s="22">
        <f t="shared" si="324"/>
        <v>0.48461538461538461</v>
      </c>
      <c r="N182" s="22">
        <f t="shared" si="324"/>
        <v>2.3076923076923075E-2</v>
      </c>
      <c r="O182" s="22">
        <f t="shared" si="324"/>
        <v>0</v>
      </c>
      <c r="P182" s="22">
        <f t="shared" si="324"/>
        <v>0</v>
      </c>
      <c r="Q182" s="22">
        <f t="shared" si="324"/>
        <v>0</v>
      </c>
      <c r="R182" s="22">
        <f t="shared" si="324"/>
        <v>0.1846153846153846</v>
      </c>
      <c r="S182" s="22">
        <f t="shared" si="324"/>
        <v>0</v>
      </c>
      <c r="T182" s="22">
        <f t="shared" si="324"/>
        <v>0</v>
      </c>
      <c r="U182" s="22">
        <f t="shared" si="324"/>
        <v>0</v>
      </c>
      <c r="V182" s="22">
        <f t="shared" si="324"/>
        <v>0</v>
      </c>
      <c r="W182" s="22">
        <f t="shared" si="324"/>
        <v>0</v>
      </c>
      <c r="X182" s="22">
        <f t="shared" si="324"/>
        <v>4.6153846153846149E-2</v>
      </c>
      <c r="Y182" s="385">
        <f t="shared" si="324"/>
        <v>0</v>
      </c>
    </row>
    <row r="183" spans="1:25" x14ac:dyDescent="0.35">
      <c r="A183" s="116" t="s">
        <v>70</v>
      </c>
      <c r="B183" s="22">
        <f t="shared" ref="B183:Y183" si="325">B150/$Z$150</f>
        <v>0</v>
      </c>
      <c r="C183" s="22">
        <f t="shared" si="325"/>
        <v>0</v>
      </c>
      <c r="D183" s="22">
        <f t="shared" si="325"/>
        <v>0</v>
      </c>
      <c r="E183" s="22">
        <f t="shared" si="325"/>
        <v>0</v>
      </c>
      <c r="F183" s="22">
        <f t="shared" si="325"/>
        <v>0</v>
      </c>
      <c r="G183" s="22">
        <f t="shared" si="325"/>
        <v>0</v>
      </c>
      <c r="H183" s="22">
        <f t="shared" si="325"/>
        <v>0</v>
      </c>
      <c r="I183" s="22">
        <f t="shared" si="325"/>
        <v>0</v>
      </c>
      <c r="J183" s="22">
        <f t="shared" si="325"/>
        <v>0</v>
      </c>
      <c r="K183" s="22">
        <f t="shared" si="325"/>
        <v>0</v>
      </c>
      <c r="L183" s="22">
        <f t="shared" si="325"/>
        <v>0</v>
      </c>
      <c r="M183" s="22">
        <f t="shared" si="325"/>
        <v>0</v>
      </c>
      <c r="N183" s="22">
        <f t="shared" si="325"/>
        <v>0</v>
      </c>
      <c r="O183" s="22">
        <f t="shared" si="325"/>
        <v>0</v>
      </c>
      <c r="P183" s="22">
        <f t="shared" si="325"/>
        <v>0</v>
      </c>
      <c r="Q183" s="22">
        <f t="shared" si="325"/>
        <v>0</v>
      </c>
      <c r="R183" s="22">
        <f t="shared" si="325"/>
        <v>0</v>
      </c>
      <c r="S183" s="22">
        <f t="shared" si="325"/>
        <v>0</v>
      </c>
      <c r="T183" s="22">
        <f t="shared" si="325"/>
        <v>0</v>
      </c>
      <c r="U183" s="22">
        <f t="shared" si="325"/>
        <v>0</v>
      </c>
      <c r="V183" s="22">
        <f t="shared" si="325"/>
        <v>0</v>
      </c>
      <c r="W183" s="22">
        <f t="shared" si="325"/>
        <v>0</v>
      </c>
      <c r="X183" s="22">
        <f t="shared" si="325"/>
        <v>0</v>
      </c>
      <c r="Y183" s="385">
        <f t="shared" si="325"/>
        <v>1</v>
      </c>
    </row>
    <row r="184" spans="1:25" x14ac:dyDescent="0.35">
      <c r="A184" s="116" t="s">
        <v>14</v>
      </c>
      <c r="B184" s="22">
        <f t="shared" ref="B184:Y184" si="326">B152/$Z$152</f>
        <v>0.89272711229105339</v>
      </c>
      <c r="C184" s="22">
        <f t="shared" si="326"/>
        <v>3.4413568997863117E-2</v>
      </c>
      <c r="D184" s="22">
        <f t="shared" si="326"/>
        <v>6.464533306733483E-3</v>
      </c>
      <c r="E184" s="22">
        <f t="shared" si="326"/>
        <v>1.1010807472003027E-3</v>
      </c>
      <c r="F184" s="22">
        <f t="shared" si="326"/>
        <v>1.3389448807418316E-3</v>
      </c>
      <c r="G184" s="22">
        <f t="shared" si="326"/>
        <v>3.3109152781667633E-3</v>
      </c>
      <c r="H184" s="22">
        <f t="shared" si="326"/>
        <v>2.1062485373274081E-3</v>
      </c>
      <c r="I184" s="22">
        <f t="shared" si="326"/>
        <v>1.3964926549857497E-3</v>
      </c>
      <c r="J184" s="22">
        <f t="shared" si="326"/>
        <v>1.2238493322539949E-3</v>
      </c>
      <c r="K184" s="22">
        <f t="shared" si="326"/>
        <v>2.1369406835908314E-3</v>
      </c>
      <c r="L184" s="22">
        <f t="shared" si="326"/>
        <v>5.4478559617575947E-4</v>
      </c>
      <c r="M184" s="22">
        <f t="shared" si="326"/>
        <v>2.3594587440006485E-3</v>
      </c>
      <c r="N184" s="22">
        <f t="shared" si="326"/>
        <v>8.7856268679048543E-4</v>
      </c>
      <c r="O184" s="22">
        <f t="shared" si="326"/>
        <v>1.8568748489370956E-3</v>
      </c>
      <c r="P184" s="22">
        <f t="shared" si="326"/>
        <v>1.0205138632588169E-3</v>
      </c>
      <c r="Q184" s="22">
        <f t="shared" si="326"/>
        <v>2.7354375357275815E-3</v>
      </c>
      <c r="R184" s="22">
        <f t="shared" si="326"/>
        <v>4.703571414869585E-3</v>
      </c>
      <c r="S184" s="22">
        <f t="shared" si="326"/>
        <v>9.2114803973098458E-3</v>
      </c>
      <c r="T184" s="22">
        <f t="shared" si="326"/>
        <v>6.004151112782137E-3</v>
      </c>
      <c r="U184" s="22">
        <f t="shared" si="326"/>
        <v>8.4211576310267051E-3</v>
      </c>
      <c r="V184" s="22">
        <f t="shared" si="326"/>
        <v>6.4837158981481229E-3</v>
      </c>
      <c r="W184" s="22">
        <f t="shared" si="326"/>
        <v>7.1551065976605023E-3</v>
      </c>
      <c r="X184" s="22">
        <f t="shared" si="326"/>
        <v>2.4054969633957829E-3</v>
      </c>
      <c r="Y184" s="385">
        <f t="shared" si="326"/>
        <v>0</v>
      </c>
    </row>
    <row r="185" spans="1:25" x14ac:dyDescent="0.35">
      <c r="A185" s="116" t="s">
        <v>17</v>
      </c>
      <c r="B185" s="22">
        <f t="shared" ref="B185:Y185" si="327">B157/$Z$157</f>
        <v>0</v>
      </c>
      <c r="C185" s="22">
        <f t="shared" si="327"/>
        <v>0</v>
      </c>
      <c r="D185" s="22">
        <f t="shared" si="327"/>
        <v>0</v>
      </c>
      <c r="E185" s="22">
        <f t="shared" si="327"/>
        <v>0</v>
      </c>
      <c r="F185" s="22">
        <f t="shared" si="327"/>
        <v>0</v>
      </c>
      <c r="G185" s="22">
        <f t="shared" si="327"/>
        <v>0</v>
      </c>
      <c r="H185" s="22">
        <f t="shared" si="327"/>
        <v>0</v>
      </c>
      <c r="I185" s="22">
        <f t="shared" si="327"/>
        <v>0</v>
      </c>
      <c r="J185" s="22">
        <f t="shared" si="327"/>
        <v>0</v>
      </c>
      <c r="K185" s="22">
        <f t="shared" si="327"/>
        <v>0</v>
      </c>
      <c r="L185" s="22">
        <f t="shared" si="327"/>
        <v>0</v>
      </c>
      <c r="M185" s="22">
        <f t="shared" si="327"/>
        <v>0</v>
      </c>
      <c r="N185" s="22">
        <f t="shared" si="327"/>
        <v>0</v>
      </c>
      <c r="O185" s="22">
        <f t="shared" si="327"/>
        <v>0.77777777777777779</v>
      </c>
      <c r="P185" s="22">
        <f t="shared" si="327"/>
        <v>0</v>
      </c>
      <c r="Q185" s="22">
        <f t="shared" si="327"/>
        <v>0</v>
      </c>
      <c r="R185" s="22">
        <f t="shared" si="327"/>
        <v>0.22222222222222221</v>
      </c>
      <c r="S185" s="22">
        <f t="shared" si="327"/>
        <v>0</v>
      </c>
      <c r="T185" s="22">
        <f t="shared" si="327"/>
        <v>0</v>
      </c>
      <c r="U185" s="22">
        <f t="shared" si="327"/>
        <v>0</v>
      </c>
      <c r="V185" s="22">
        <f t="shared" si="327"/>
        <v>0</v>
      </c>
      <c r="W185" s="22">
        <f t="shared" si="327"/>
        <v>0</v>
      </c>
      <c r="X185" s="22">
        <f t="shared" si="327"/>
        <v>0</v>
      </c>
      <c r="Y185" s="385">
        <f t="shared" si="327"/>
        <v>0</v>
      </c>
    </row>
    <row r="186" spans="1:25" x14ac:dyDescent="0.35">
      <c r="A186" s="116" t="s">
        <v>64</v>
      </c>
      <c r="B186" s="22">
        <f t="shared" ref="B186:Y186" si="328">B160/$Z$160</f>
        <v>0.12</v>
      </c>
      <c r="C186" s="22">
        <f t="shared" si="328"/>
        <v>0</v>
      </c>
      <c r="D186" s="22">
        <f t="shared" si="328"/>
        <v>0</v>
      </c>
      <c r="E186" s="22">
        <f t="shared" si="328"/>
        <v>0</v>
      </c>
      <c r="F186" s="22">
        <f t="shared" si="328"/>
        <v>0</v>
      </c>
      <c r="G186" s="22">
        <f t="shared" si="328"/>
        <v>0</v>
      </c>
      <c r="H186" s="22">
        <f t="shared" si="328"/>
        <v>0</v>
      </c>
      <c r="I186" s="22">
        <f t="shared" si="328"/>
        <v>0</v>
      </c>
      <c r="J186" s="22">
        <f t="shared" si="328"/>
        <v>0</v>
      </c>
      <c r="K186" s="22">
        <f t="shared" si="328"/>
        <v>0.12</v>
      </c>
      <c r="L186" s="22">
        <f t="shared" si="328"/>
        <v>0</v>
      </c>
      <c r="M186" s="22">
        <f t="shared" si="328"/>
        <v>0</v>
      </c>
      <c r="N186" s="22">
        <f t="shared" si="328"/>
        <v>0</v>
      </c>
      <c r="O186" s="22">
        <f t="shared" si="328"/>
        <v>0</v>
      </c>
      <c r="P186" s="22">
        <f t="shared" si="328"/>
        <v>0</v>
      </c>
      <c r="Q186" s="22">
        <f t="shared" si="328"/>
        <v>0</v>
      </c>
      <c r="R186" s="22">
        <f t="shared" si="328"/>
        <v>0</v>
      </c>
      <c r="S186" s="22">
        <f t="shared" si="328"/>
        <v>0.06</v>
      </c>
      <c r="T186" s="22">
        <f t="shared" si="328"/>
        <v>0.04</v>
      </c>
      <c r="U186" s="22">
        <f t="shared" si="328"/>
        <v>0.39333333333333331</v>
      </c>
      <c r="V186" s="22">
        <f t="shared" si="328"/>
        <v>0.12</v>
      </c>
      <c r="W186" s="22">
        <f t="shared" si="328"/>
        <v>0</v>
      </c>
      <c r="X186" s="22">
        <f t="shared" si="328"/>
        <v>0.13333333333333333</v>
      </c>
      <c r="Y186" s="384">
        <f t="shared" si="328"/>
        <v>1.3333333333333334E-2</v>
      </c>
    </row>
    <row r="187" spans="1:25" x14ac:dyDescent="0.35">
      <c r="A187" s="116" t="s">
        <v>20</v>
      </c>
      <c r="B187" s="22">
        <f t="shared" ref="B187:Y187" si="329">B165/$Z$165</f>
        <v>0.47727272727272724</v>
      </c>
      <c r="C187" s="22">
        <f t="shared" si="329"/>
        <v>0</v>
      </c>
      <c r="D187" s="22">
        <f t="shared" si="329"/>
        <v>0</v>
      </c>
      <c r="E187" s="22">
        <f t="shared" si="329"/>
        <v>0</v>
      </c>
      <c r="F187" s="22">
        <f t="shared" si="329"/>
        <v>0</v>
      </c>
      <c r="G187" s="22">
        <f t="shared" si="329"/>
        <v>0</v>
      </c>
      <c r="H187" s="22">
        <f t="shared" si="329"/>
        <v>0</v>
      </c>
      <c r="I187" s="22">
        <f t="shared" si="329"/>
        <v>0</v>
      </c>
      <c r="J187" s="22">
        <f t="shared" si="329"/>
        <v>0</v>
      </c>
      <c r="K187" s="22">
        <f t="shared" si="329"/>
        <v>0</v>
      </c>
      <c r="L187" s="22">
        <f t="shared" si="329"/>
        <v>0</v>
      </c>
      <c r="M187" s="22">
        <f t="shared" si="329"/>
        <v>0</v>
      </c>
      <c r="N187" s="22">
        <f t="shared" si="329"/>
        <v>0</v>
      </c>
      <c r="O187" s="22">
        <f t="shared" si="329"/>
        <v>0</v>
      </c>
      <c r="P187" s="22">
        <f t="shared" si="329"/>
        <v>0</v>
      </c>
      <c r="Q187" s="22">
        <f t="shared" si="329"/>
        <v>0</v>
      </c>
      <c r="R187" s="22">
        <f t="shared" si="329"/>
        <v>0</v>
      </c>
      <c r="S187" s="22">
        <f t="shared" si="329"/>
        <v>0</v>
      </c>
      <c r="T187" s="22">
        <f t="shared" si="329"/>
        <v>0</v>
      </c>
      <c r="U187" s="22">
        <f t="shared" si="329"/>
        <v>0</v>
      </c>
      <c r="V187" s="22">
        <f t="shared" si="329"/>
        <v>0.52272727272727271</v>
      </c>
      <c r="W187" s="22">
        <f t="shared" si="329"/>
        <v>0</v>
      </c>
      <c r="X187" s="22">
        <f t="shared" si="329"/>
        <v>0</v>
      </c>
      <c r="Y187" s="385">
        <f t="shared" si="329"/>
        <v>0</v>
      </c>
    </row>
    <row r="188" spans="1:25" x14ac:dyDescent="0.35">
      <c r="A188" s="116" t="s">
        <v>23</v>
      </c>
      <c r="B188" s="22">
        <f t="shared" ref="B188:Y188" si="330">B167/$Z$167</f>
        <v>8.5178875638841564E-2</v>
      </c>
      <c r="C188" s="22">
        <f t="shared" si="330"/>
        <v>0</v>
      </c>
      <c r="D188" s="22">
        <f t="shared" si="330"/>
        <v>0</v>
      </c>
      <c r="E188" s="22">
        <f t="shared" si="330"/>
        <v>0</v>
      </c>
      <c r="F188" s="22">
        <f t="shared" si="330"/>
        <v>0</v>
      </c>
      <c r="G188" s="22">
        <f t="shared" si="330"/>
        <v>0</v>
      </c>
      <c r="H188" s="22">
        <f t="shared" si="330"/>
        <v>0</v>
      </c>
      <c r="I188" s="22">
        <f t="shared" si="330"/>
        <v>0</v>
      </c>
      <c r="J188" s="22">
        <f t="shared" si="330"/>
        <v>0</v>
      </c>
      <c r="K188" s="22">
        <f t="shared" si="330"/>
        <v>0</v>
      </c>
      <c r="L188" s="22">
        <f t="shared" si="330"/>
        <v>0</v>
      </c>
      <c r="M188" s="22">
        <f t="shared" si="330"/>
        <v>0</v>
      </c>
      <c r="N188" s="22">
        <f t="shared" si="330"/>
        <v>0</v>
      </c>
      <c r="O188" s="22">
        <f t="shared" si="330"/>
        <v>0</v>
      </c>
      <c r="P188" s="22">
        <f t="shared" si="330"/>
        <v>0</v>
      </c>
      <c r="Q188" s="22">
        <f t="shared" si="330"/>
        <v>0</v>
      </c>
      <c r="R188" s="22">
        <f t="shared" si="330"/>
        <v>3.4071550255536626E-2</v>
      </c>
      <c r="S188" s="22">
        <f t="shared" si="330"/>
        <v>0</v>
      </c>
      <c r="T188" s="22">
        <f t="shared" si="330"/>
        <v>0</v>
      </c>
      <c r="U188" s="22">
        <f t="shared" si="330"/>
        <v>0</v>
      </c>
      <c r="V188" s="22">
        <f t="shared" si="330"/>
        <v>0</v>
      </c>
      <c r="W188" s="22">
        <f t="shared" si="330"/>
        <v>8.5178875638841564E-2</v>
      </c>
      <c r="X188" s="22">
        <f t="shared" si="330"/>
        <v>0.79216354344122664</v>
      </c>
      <c r="Y188" s="384">
        <f t="shared" si="330"/>
        <v>3.4071550255536627E-3</v>
      </c>
    </row>
    <row r="189" spans="1:25" x14ac:dyDescent="0.35">
      <c r="A189" s="116" t="s">
        <v>24</v>
      </c>
      <c r="B189" s="22">
        <f t="shared" ref="B189:Y189" si="331">B169/$Z$169</f>
        <v>0.77378435517970412</v>
      </c>
      <c r="C189" s="22">
        <f t="shared" si="331"/>
        <v>1.4799154334038054E-2</v>
      </c>
      <c r="D189" s="22">
        <f t="shared" si="331"/>
        <v>0</v>
      </c>
      <c r="E189" s="22">
        <f t="shared" si="331"/>
        <v>0</v>
      </c>
      <c r="F189" s="22">
        <f t="shared" si="331"/>
        <v>0</v>
      </c>
      <c r="G189" s="22">
        <f t="shared" si="331"/>
        <v>2.748414376321353E-2</v>
      </c>
      <c r="H189" s="22">
        <f t="shared" si="331"/>
        <v>6.13107822410148E-2</v>
      </c>
      <c r="I189" s="22">
        <f t="shared" si="331"/>
        <v>0</v>
      </c>
      <c r="J189" s="22">
        <f t="shared" si="331"/>
        <v>0</v>
      </c>
      <c r="K189" s="22">
        <f t="shared" si="331"/>
        <v>0</v>
      </c>
      <c r="L189" s="22">
        <f t="shared" si="331"/>
        <v>0</v>
      </c>
      <c r="M189" s="22">
        <f t="shared" si="331"/>
        <v>0</v>
      </c>
      <c r="N189" s="22">
        <f t="shared" si="331"/>
        <v>0</v>
      </c>
      <c r="O189" s="22">
        <f t="shared" si="331"/>
        <v>0</v>
      </c>
      <c r="P189" s="22">
        <f t="shared" si="331"/>
        <v>8.4566596194503157E-3</v>
      </c>
      <c r="Q189" s="22">
        <f t="shared" si="331"/>
        <v>9.5137420718816063E-2</v>
      </c>
      <c r="R189" s="22">
        <f t="shared" si="331"/>
        <v>0</v>
      </c>
      <c r="S189" s="22">
        <f t="shared" si="331"/>
        <v>0</v>
      </c>
      <c r="T189" s="22">
        <f t="shared" si="331"/>
        <v>0</v>
      </c>
      <c r="U189" s="22">
        <f t="shared" si="331"/>
        <v>0</v>
      </c>
      <c r="V189" s="22">
        <f t="shared" si="331"/>
        <v>4.2283298097251579E-3</v>
      </c>
      <c r="W189" s="22">
        <f t="shared" si="331"/>
        <v>0</v>
      </c>
      <c r="X189" s="22">
        <f t="shared" si="331"/>
        <v>0</v>
      </c>
      <c r="Y189" s="384">
        <f t="shared" si="331"/>
        <v>1.4799154334038054E-2</v>
      </c>
    </row>
    <row r="190" spans="1:25" x14ac:dyDescent="0.35">
      <c r="A190" s="116" t="s">
        <v>25</v>
      </c>
      <c r="B190" s="22">
        <f t="shared" ref="B190:Y190" si="332">B173/$Z$173</f>
        <v>0.89468099086667985</v>
      </c>
      <c r="C190" s="22">
        <f t="shared" si="332"/>
        <v>3.1877915763190802E-2</v>
      </c>
      <c r="D190" s="22">
        <f t="shared" si="332"/>
        <v>5.535843353702617E-3</v>
      </c>
      <c r="E190" s="22">
        <f t="shared" si="332"/>
        <v>9.7246862474538562E-4</v>
      </c>
      <c r="F190" s="22">
        <f t="shared" si="332"/>
        <v>1.2188711479072232E-3</v>
      </c>
      <c r="G190" s="22">
        <f t="shared" si="332"/>
        <v>2.887837571456736E-3</v>
      </c>
      <c r="H190" s="22">
        <f t="shared" si="332"/>
        <v>1.9515079834417533E-3</v>
      </c>
      <c r="I190" s="22">
        <f t="shared" si="332"/>
        <v>1.195873579078785E-3</v>
      </c>
      <c r="J190" s="22">
        <f t="shared" si="332"/>
        <v>1.1268808725934704E-3</v>
      </c>
      <c r="K190" s="22">
        <f t="shared" si="332"/>
        <v>1.8890860109074213E-3</v>
      </c>
      <c r="L190" s="22">
        <f t="shared" si="332"/>
        <v>5.7165385373546317E-4</v>
      </c>
      <c r="M190" s="22">
        <f t="shared" si="332"/>
        <v>2.7202838557066869E-3</v>
      </c>
      <c r="N190" s="22">
        <f t="shared" si="332"/>
        <v>7.7206123924042445E-4</v>
      </c>
      <c r="O190" s="22">
        <f t="shared" si="332"/>
        <v>3.8997305999080149E-3</v>
      </c>
      <c r="P190" s="22">
        <f t="shared" si="332"/>
        <v>1.9712201852947002E-3</v>
      </c>
      <c r="Q190" s="22">
        <f t="shared" si="332"/>
        <v>2.6447204152703903E-3</v>
      </c>
      <c r="R190" s="22">
        <f t="shared" si="332"/>
        <v>4.3465405085748145E-3</v>
      </c>
      <c r="S190" s="22">
        <f t="shared" si="332"/>
        <v>7.9177344109337116E-3</v>
      </c>
      <c r="T190" s="22">
        <f t="shared" si="332"/>
        <v>5.6278336290163699E-3</v>
      </c>
      <c r="U190" s="22">
        <f t="shared" si="332"/>
        <v>8.3546882186740397E-3</v>
      </c>
      <c r="V190" s="22">
        <f t="shared" si="332"/>
        <v>6.19291674880085E-3</v>
      </c>
      <c r="W190" s="22">
        <f t="shared" si="332"/>
        <v>7.040541428477572E-3</v>
      </c>
      <c r="X190" s="22">
        <f t="shared" si="332"/>
        <v>4.3366844076483408E-3</v>
      </c>
      <c r="Y190" s="384">
        <f t="shared" si="332"/>
        <v>2.6611472501478461E-4</v>
      </c>
    </row>
    <row r="193" spans="1:33" ht="18.5" x14ac:dyDescent="0.45">
      <c r="A193" s="284" t="s">
        <v>75</v>
      </c>
      <c r="B193" s="223"/>
    </row>
    <row r="194" spans="1:33" ht="15.5" x14ac:dyDescent="0.35">
      <c r="A194" s="290" t="s">
        <v>109</v>
      </c>
    </row>
    <row r="196" spans="1:33" ht="52" x14ac:dyDescent="0.35">
      <c r="A196" s="214" t="s">
        <v>88</v>
      </c>
      <c r="B196" s="198" t="s">
        <v>89</v>
      </c>
      <c r="C196" s="198">
        <v>2000</v>
      </c>
      <c r="D196" s="198">
        <v>2001</v>
      </c>
      <c r="E196" s="198">
        <v>2002</v>
      </c>
      <c r="F196" s="198">
        <v>2003</v>
      </c>
      <c r="G196" s="198">
        <v>2004</v>
      </c>
      <c r="H196" s="198">
        <v>2005</v>
      </c>
      <c r="I196" s="198">
        <v>2006</v>
      </c>
      <c r="J196" s="198">
        <v>2007</v>
      </c>
      <c r="K196" s="198">
        <v>2008</v>
      </c>
      <c r="L196" s="198">
        <v>2009</v>
      </c>
      <c r="M196" s="198">
        <v>2010</v>
      </c>
      <c r="N196" s="198">
        <v>2011</v>
      </c>
      <c r="O196" s="198">
        <v>2012</v>
      </c>
      <c r="P196" s="198">
        <v>2013</v>
      </c>
      <c r="Q196" s="198">
        <v>2014</v>
      </c>
      <c r="R196" s="198">
        <v>2015</v>
      </c>
      <c r="S196" s="198">
        <v>2016</v>
      </c>
      <c r="T196" s="198">
        <v>2017</v>
      </c>
      <c r="U196" s="198">
        <v>2018</v>
      </c>
      <c r="V196" s="198">
        <v>2019</v>
      </c>
      <c r="W196" s="198">
        <v>2020</v>
      </c>
      <c r="X196" s="198">
        <v>2021</v>
      </c>
      <c r="Y196" s="198" t="s">
        <v>90</v>
      </c>
      <c r="Z196" s="198" t="s">
        <v>91</v>
      </c>
      <c r="AA196" s="199" t="s">
        <v>92</v>
      </c>
      <c r="AC196" s="127" t="s">
        <v>110</v>
      </c>
      <c r="AD196" s="127" t="s">
        <v>108</v>
      </c>
      <c r="AE196" s="127" t="s">
        <v>94</v>
      </c>
      <c r="AF196" s="127" t="s">
        <v>96</v>
      </c>
      <c r="AG196" s="127" t="s">
        <v>97</v>
      </c>
    </row>
    <row r="197" spans="1:33" x14ac:dyDescent="0.35">
      <c r="A197" s="11" t="s">
        <v>5</v>
      </c>
      <c r="B197" s="119"/>
      <c r="C197" s="119"/>
      <c r="D197" s="119"/>
      <c r="E197" s="119"/>
      <c r="F197" s="119"/>
      <c r="G197" s="119"/>
      <c r="H197" s="119"/>
      <c r="I197" s="119"/>
      <c r="J197" s="119"/>
      <c r="K197" s="119"/>
      <c r="L197" s="119"/>
      <c r="M197" s="119"/>
      <c r="N197" s="119"/>
      <c r="O197" s="119"/>
      <c r="P197" s="119"/>
      <c r="Q197" s="119"/>
      <c r="R197" s="119"/>
      <c r="S197" s="119"/>
      <c r="T197" s="119"/>
      <c r="U197" s="119">
        <v>0.43</v>
      </c>
      <c r="V197" s="119"/>
      <c r="W197" s="119"/>
      <c r="X197" s="119"/>
      <c r="Y197" s="119"/>
      <c r="Z197" s="119">
        <f>SUM(B197:Y197)</f>
        <v>0.43</v>
      </c>
      <c r="AA197" s="143">
        <f>Z197/$Z$224</f>
        <v>6.6224247623242422E-5</v>
      </c>
      <c r="AC197" s="119">
        <f t="shared" ref="AC197:AC224" si="333">SUM(B197:U197)</f>
        <v>0.43</v>
      </c>
      <c r="AD197" s="119">
        <f t="shared" ref="AD197:AD224" si="334">SUM(V197:X197)</f>
        <v>0</v>
      </c>
      <c r="AE197" s="119">
        <f>Y197</f>
        <v>0</v>
      </c>
      <c r="AF197" s="119">
        <f t="shared" ref="AF197:AF224" si="335">SUM(AC197:AE197)</f>
        <v>0.43</v>
      </c>
      <c r="AG197" s="143">
        <f>AD197/AF197</f>
        <v>0</v>
      </c>
    </row>
    <row r="198" spans="1:33" x14ac:dyDescent="0.35">
      <c r="A198" s="6" t="s">
        <v>8</v>
      </c>
      <c r="B198" s="12"/>
      <c r="C198" s="12"/>
      <c r="D198" s="12"/>
      <c r="E198" s="12"/>
      <c r="F198" s="12"/>
      <c r="G198" s="12"/>
      <c r="H198" s="12"/>
      <c r="I198" s="12"/>
      <c r="J198" s="12"/>
      <c r="K198" s="12"/>
      <c r="L198" s="12"/>
      <c r="M198" s="12"/>
      <c r="N198" s="12"/>
      <c r="O198" s="12"/>
      <c r="P198" s="12"/>
      <c r="Q198" s="12"/>
      <c r="R198" s="12"/>
      <c r="S198" s="12"/>
      <c r="T198" s="12"/>
      <c r="U198" s="12">
        <v>0.43</v>
      </c>
      <c r="V198" s="12"/>
      <c r="W198" s="12"/>
      <c r="X198" s="12"/>
      <c r="Y198" s="12"/>
      <c r="Z198" s="12">
        <f>SUM(B198:Y198)</f>
        <v>0.43</v>
      </c>
      <c r="AA198" s="24">
        <f>Z198/$Z$224</f>
        <v>6.6224247623242422E-5</v>
      </c>
      <c r="AC198" s="12">
        <f t="shared" si="333"/>
        <v>0.43</v>
      </c>
      <c r="AD198" s="12">
        <f t="shared" si="334"/>
        <v>0</v>
      </c>
      <c r="AE198" s="12">
        <f t="shared" ref="AE198:AE224" si="336">Y198</f>
        <v>0</v>
      </c>
      <c r="AF198" s="12">
        <f t="shared" si="335"/>
        <v>0.43</v>
      </c>
      <c r="AG198" s="22">
        <f>AD198/AF198</f>
        <v>0</v>
      </c>
    </row>
    <row r="199" spans="1:33" x14ac:dyDescent="0.35">
      <c r="A199" s="11" t="s">
        <v>12</v>
      </c>
      <c r="B199" s="119">
        <f>SUM(B200:B202)</f>
        <v>0.02</v>
      </c>
      <c r="C199" s="119">
        <f t="shared" ref="C199:Y199" si="337">SUM(C200:C202)</f>
        <v>0</v>
      </c>
      <c r="D199" s="119">
        <f t="shared" si="337"/>
        <v>6.51</v>
      </c>
      <c r="E199" s="119">
        <f t="shared" si="337"/>
        <v>0</v>
      </c>
      <c r="F199" s="119">
        <f t="shared" si="337"/>
        <v>0</v>
      </c>
      <c r="G199" s="119">
        <f t="shared" si="337"/>
        <v>0.47</v>
      </c>
      <c r="H199" s="119">
        <f t="shared" si="337"/>
        <v>0.09</v>
      </c>
      <c r="I199" s="119">
        <f t="shared" si="337"/>
        <v>0</v>
      </c>
      <c r="J199" s="119">
        <f t="shared" si="337"/>
        <v>0</v>
      </c>
      <c r="K199" s="119">
        <f t="shared" si="337"/>
        <v>0.28000000000000003</v>
      </c>
      <c r="L199" s="119">
        <f t="shared" si="337"/>
        <v>0</v>
      </c>
      <c r="M199" s="119">
        <f t="shared" si="337"/>
        <v>0</v>
      </c>
      <c r="N199" s="119">
        <f t="shared" si="337"/>
        <v>0</v>
      </c>
      <c r="O199" s="119">
        <f t="shared" si="337"/>
        <v>0</v>
      </c>
      <c r="P199" s="119">
        <f t="shared" si="337"/>
        <v>0</v>
      </c>
      <c r="Q199" s="119">
        <f t="shared" si="337"/>
        <v>0</v>
      </c>
      <c r="R199" s="119">
        <f t="shared" si="337"/>
        <v>0</v>
      </c>
      <c r="S199" s="119">
        <f t="shared" si="337"/>
        <v>0</v>
      </c>
      <c r="T199" s="119">
        <f t="shared" si="337"/>
        <v>0.33</v>
      </c>
      <c r="U199" s="119">
        <f t="shared" si="337"/>
        <v>0</v>
      </c>
      <c r="V199" s="119">
        <f t="shared" si="337"/>
        <v>0</v>
      </c>
      <c r="W199" s="119">
        <f t="shared" si="337"/>
        <v>1.32</v>
      </c>
      <c r="X199" s="119">
        <f t="shared" si="337"/>
        <v>0.26</v>
      </c>
      <c r="Y199" s="119">
        <f t="shared" si="337"/>
        <v>0.01</v>
      </c>
      <c r="Z199" s="119">
        <f>SUM(B199:Y199)</f>
        <v>9.2899999999999991</v>
      </c>
      <c r="AA199" s="143">
        <f t="shared" ref="AA199:AA223" si="338">Z199/$Z$224</f>
        <v>1.4307517684184234E-3</v>
      </c>
      <c r="AC199" s="119">
        <f t="shared" si="333"/>
        <v>7.6999999999999993</v>
      </c>
      <c r="AD199" s="119">
        <f t="shared" si="334"/>
        <v>1.58</v>
      </c>
      <c r="AE199" s="119">
        <f t="shared" si="336"/>
        <v>0.01</v>
      </c>
      <c r="AF199" s="119">
        <f t="shared" si="335"/>
        <v>9.2899999999999991</v>
      </c>
      <c r="AG199" s="143">
        <f>AD199/AF199</f>
        <v>0.17007534983853609</v>
      </c>
    </row>
    <row r="200" spans="1:33" x14ac:dyDescent="0.35">
      <c r="A200" s="6" t="s">
        <v>31</v>
      </c>
      <c r="B200" s="12">
        <v>0.01</v>
      </c>
      <c r="C200" s="12"/>
      <c r="D200" s="12"/>
      <c r="E200" s="12"/>
      <c r="F200" s="12"/>
      <c r="G200" s="12">
        <v>0.47</v>
      </c>
      <c r="H200" s="12"/>
      <c r="I200" s="12"/>
      <c r="J200" s="12"/>
      <c r="K200" s="12"/>
      <c r="L200" s="12"/>
      <c r="M200" s="12"/>
      <c r="N200" s="12"/>
      <c r="O200" s="12"/>
      <c r="P200" s="12"/>
      <c r="Q200" s="12"/>
      <c r="R200" s="12"/>
      <c r="S200" s="12"/>
      <c r="T200" s="12"/>
      <c r="U200" s="12"/>
      <c r="V200" s="12"/>
      <c r="W200" s="12">
        <v>1.32</v>
      </c>
      <c r="X200" s="12"/>
      <c r="Y200" s="12">
        <v>0.01</v>
      </c>
      <c r="Z200" s="12">
        <f>SUM(B200:Y200)</f>
        <v>1.81</v>
      </c>
      <c r="AA200" s="24">
        <f t="shared" si="338"/>
        <v>2.7875787953039256E-4</v>
      </c>
      <c r="AC200" s="12">
        <f t="shared" si="333"/>
        <v>0.48</v>
      </c>
      <c r="AD200" s="12">
        <f t="shared" si="334"/>
        <v>1.32</v>
      </c>
      <c r="AE200" s="12">
        <f t="shared" si="336"/>
        <v>0.01</v>
      </c>
      <c r="AF200" s="12">
        <f t="shared" si="335"/>
        <v>1.81</v>
      </c>
      <c r="AG200" s="22">
        <f>AD200/AF200</f>
        <v>0.72928176795580113</v>
      </c>
    </row>
    <row r="201" spans="1:33" x14ac:dyDescent="0.35">
      <c r="A201" s="6" t="s">
        <v>32</v>
      </c>
      <c r="B201" s="54">
        <v>0.01</v>
      </c>
      <c r="C201" s="12"/>
      <c r="D201" s="12">
        <v>6.51</v>
      </c>
      <c r="E201" s="12"/>
      <c r="F201" s="12"/>
      <c r="G201" s="12"/>
      <c r="H201" s="12"/>
      <c r="I201" s="12"/>
      <c r="J201" s="12"/>
      <c r="K201" s="12"/>
      <c r="L201" s="12"/>
      <c r="M201" s="12"/>
      <c r="N201" s="12"/>
      <c r="O201" s="12"/>
      <c r="P201" s="12"/>
      <c r="Q201" s="12"/>
      <c r="R201" s="12"/>
      <c r="S201" s="12"/>
      <c r="T201" s="12"/>
      <c r="U201" s="12"/>
      <c r="V201" s="12"/>
      <c r="W201" s="12"/>
      <c r="X201" s="12"/>
      <c r="Y201" s="12"/>
      <c r="Z201" s="12">
        <f t="shared" ref="Z201:Z202" si="339">SUM(B201:Y201)</f>
        <v>6.52</v>
      </c>
      <c r="AA201" s="24">
        <f t="shared" si="338"/>
        <v>1.0041444058221873E-3</v>
      </c>
      <c r="AC201" s="12">
        <f t="shared" si="333"/>
        <v>6.52</v>
      </c>
      <c r="AD201" s="12">
        <f t="shared" si="334"/>
        <v>0</v>
      </c>
      <c r="AE201" s="12">
        <f t="shared" si="336"/>
        <v>0</v>
      </c>
      <c r="AF201" s="12">
        <f t="shared" si="335"/>
        <v>6.52</v>
      </c>
      <c r="AG201" s="22">
        <f t="shared" ref="AG201:AG223" si="340">AD201/AF201</f>
        <v>0</v>
      </c>
    </row>
    <row r="202" spans="1:33" x14ac:dyDescent="0.35">
      <c r="A202" s="6" t="s">
        <v>33</v>
      </c>
      <c r="B202" s="12"/>
      <c r="C202" s="12"/>
      <c r="D202" s="12"/>
      <c r="E202" s="12"/>
      <c r="F202" s="12"/>
      <c r="G202" s="12"/>
      <c r="H202" s="12">
        <v>0.09</v>
      </c>
      <c r="I202" s="12"/>
      <c r="J202" s="12"/>
      <c r="K202" s="12">
        <v>0.28000000000000003</v>
      </c>
      <c r="L202" s="12"/>
      <c r="M202" s="12"/>
      <c r="N202" s="12"/>
      <c r="O202" s="12"/>
      <c r="P202" s="12"/>
      <c r="Q202" s="12"/>
      <c r="R202" s="12"/>
      <c r="S202" s="12"/>
      <c r="T202" s="12">
        <v>0.33</v>
      </c>
      <c r="U202" s="12"/>
      <c r="V202" s="12"/>
      <c r="W202" s="12"/>
      <c r="X202" s="12">
        <v>0.26</v>
      </c>
      <c r="Y202" s="12"/>
      <c r="Z202" s="12">
        <f t="shared" si="339"/>
        <v>0.96</v>
      </c>
      <c r="AA202" s="24">
        <f t="shared" si="338"/>
        <v>1.4784948306584354E-4</v>
      </c>
      <c r="AC202" s="12">
        <f t="shared" si="333"/>
        <v>0.7</v>
      </c>
      <c r="AD202" s="12">
        <f t="shared" si="334"/>
        <v>0.26</v>
      </c>
      <c r="AE202" s="12">
        <f t="shared" si="336"/>
        <v>0</v>
      </c>
      <c r="AF202" s="12">
        <f t="shared" si="335"/>
        <v>0.96</v>
      </c>
      <c r="AG202" s="22">
        <f t="shared" si="340"/>
        <v>0.27083333333333337</v>
      </c>
    </row>
    <row r="203" spans="1:33" x14ac:dyDescent="0.35">
      <c r="A203" s="11" t="s">
        <v>13</v>
      </c>
      <c r="B203" s="119">
        <f>SUM(B204:B205)</f>
        <v>10.870000000000001</v>
      </c>
      <c r="C203" s="119">
        <f t="shared" ref="C203:Y203" si="341">SUM(C204:C205)</f>
        <v>0</v>
      </c>
      <c r="D203" s="119">
        <f t="shared" si="341"/>
        <v>0</v>
      </c>
      <c r="E203" s="119">
        <f t="shared" si="341"/>
        <v>0</v>
      </c>
      <c r="F203" s="119">
        <f t="shared" si="341"/>
        <v>0</v>
      </c>
      <c r="G203" s="119">
        <f t="shared" si="341"/>
        <v>0</v>
      </c>
      <c r="H203" s="119">
        <f t="shared" si="341"/>
        <v>0</v>
      </c>
      <c r="I203" s="119">
        <f t="shared" si="341"/>
        <v>0</v>
      </c>
      <c r="J203" s="119">
        <f t="shared" si="341"/>
        <v>0</v>
      </c>
      <c r="K203" s="119">
        <f t="shared" si="341"/>
        <v>0</v>
      </c>
      <c r="L203" s="119">
        <f t="shared" si="341"/>
        <v>0</v>
      </c>
      <c r="M203" s="119">
        <f t="shared" si="341"/>
        <v>0</v>
      </c>
      <c r="N203" s="119">
        <f t="shared" si="341"/>
        <v>0</v>
      </c>
      <c r="O203" s="119">
        <f t="shared" si="341"/>
        <v>0</v>
      </c>
      <c r="P203" s="119">
        <f t="shared" si="341"/>
        <v>0</v>
      </c>
      <c r="Q203" s="119">
        <f t="shared" si="341"/>
        <v>0</v>
      </c>
      <c r="R203" s="119">
        <f t="shared" si="341"/>
        <v>0</v>
      </c>
      <c r="S203" s="119">
        <f t="shared" si="341"/>
        <v>0</v>
      </c>
      <c r="T203" s="119">
        <f t="shared" si="341"/>
        <v>0</v>
      </c>
      <c r="U203" s="119">
        <f t="shared" si="341"/>
        <v>0</v>
      </c>
      <c r="V203" s="119">
        <f t="shared" si="341"/>
        <v>0</v>
      </c>
      <c r="W203" s="119">
        <f t="shared" si="341"/>
        <v>0.04</v>
      </c>
      <c r="X203" s="119">
        <f t="shared" si="341"/>
        <v>0</v>
      </c>
      <c r="Y203" s="119">
        <f t="shared" si="341"/>
        <v>0</v>
      </c>
      <c r="Z203" s="119">
        <f>SUM(B203:Y203)</f>
        <v>10.91</v>
      </c>
      <c r="AA203" s="143">
        <f t="shared" si="338"/>
        <v>1.6802477710920346E-3</v>
      </c>
      <c r="AC203" s="119">
        <f t="shared" si="333"/>
        <v>10.870000000000001</v>
      </c>
      <c r="AD203" s="119">
        <f t="shared" si="334"/>
        <v>0.04</v>
      </c>
      <c r="AE203" s="119">
        <f t="shared" si="336"/>
        <v>0</v>
      </c>
      <c r="AF203" s="119">
        <f t="shared" si="335"/>
        <v>10.91</v>
      </c>
      <c r="AG203" s="143">
        <f t="shared" si="340"/>
        <v>3.6663611365719525E-3</v>
      </c>
    </row>
    <row r="204" spans="1:33" x14ac:dyDescent="0.35">
      <c r="A204" s="6" t="s">
        <v>61</v>
      </c>
      <c r="B204" s="12">
        <v>10.870000000000001</v>
      </c>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f t="shared" ref="Z204" si="342">SUM(B204:Y204)</f>
        <v>10.870000000000001</v>
      </c>
      <c r="AA204" s="24">
        <f t="shared" si="338"/>
        <v>1.6740873759642913E-3</v>
      </c>
      <c r="AC204" s="12">
        <f t="shared" si="333"/>
        <v>10.870000000000001</v>
      </c>
      <c r="AD204" s="12">
        <f t="shared" si="334"/>
        <v>0</v>
      </c>
      <c r="AE204" s="12">
        <f t="shared" si="336"/>
        <v>0</v>
      </c>
      <c r="AF204" s="12">
        <f t="shared" si="335"/>
        <v>10.870000000000001</v>
      </c>
      <c r="AG204" s="22">
        <f t="shared" si="340"/>
        <v>0</v>
      </c>
    </row>
    <row r="205" spans="1:33" x14ac:dyDescent="0.35">
      <c r="A205" s="6" t="s">
        <v>36</v>
      </c>
      <c r="B205" s="12"/>
      <c r="C205" s="12"/>
      <c r="D205" s="12"/>
      <c r="E205" s="12"/>
      <c r="F205" s="12"/>
      <c r="G205" s="12"/>
      <c r="H205" s="12"/>
      <c r="I205" s="12"/>
      <c r="J205" s="12"/>
      <c r="K205" s="12"/>
      <c r="L205" s="12"/>
      <c r="M205" s="12"/>
      <c r="N205" s="12"/>
      <c r="O205" s="12"/>
      <c r="P205" s="12"/>
      <c r="Q205" s="12"/>
      <c r="R205" s="12"/>
      <c r="S205" s="12"/>
      <c r="T205" s="12"/>
      <c r="U205" s="12"/>
      <c r="V205" s="12"/>
      <c r="W205" s="12">
        <v>0.04</v>
      </c>
      <c r="X205" s="12"/>
      <c r="Y205" s="12"/>
      <c r="Z205" s="12">
        <f t="shared" ref="Z205" si="343">SUM(B205:Y205)</f>
        <v>0.04</v>
      </c>
      <c r="AA205" s="24">
        <f t="shared" si="338"/>
        <v>6.1603951277434816E-6</v>
      </c>
      <c r="AC205" s="12">
        <f t="shared" si="333"/>
        <v>0</v>
      </c>
      <c r="AD205" s="12">
        <f t="shared" si="334"/>
        <v>0.04</v>
      </c>
      <c r="AE205" s="12">
        <f t="shared" si="336"/>
        <v>0</v>
      </c>
      <c r="AF205" s="12">
        <f t="shared" si="335"/>
        <v>0.04</v>
      </c>
      <c r="AG205" s="22">
        <f t="shared" si="340"/>
        <v>1</v>
      </c>
    </row>
    <row r="206" spans="1:33" x14ac:dyDescent="0.35">
      <c r="A206" s="11" t="s">
        <v>14</v>
      </c>
      <c r="B206" s="119">
        <f>SUM(B207:B210)</f>
        <v>4055.760000000013</v>
      </c>
      <c r="C206" s="119">
        <f t="shared" ref="C206:Y206" si="344">SUM(C207:C210)</f>
        <v>289.57999999999981</v>
      </c>
      <c r="D206" s="119">
        <f t="shared" si="344"/>
        <v>60.24</v>
      </c>
      <c r="E206" s="119">
        <f t="shared" si="344"/>
        <v>68.839999999999989</v>
      </c>
      <c r="F206" s="119">
        <f t="shared" si="344"/>
        <v>48.02</v>
      </c>
      <c r="G206" s="119">
        <f t="shared" si="344"/>
        <v>69.249999999999986</v>
      </c>
      <c r="H206" s="119">
        <f t="shared" si="344"/>
        <v>93.72999999999999</v>
      </c>
      <c r="I206" s="119">
        <f t="shared" si="344"/>
        <v>34.210000000000008</v>
      </c>
      <c r="J206" s="119">
        <f t="shared" si="344"/>
        <v>44.769999999999996</v>
      </c>
      <c r="K206" s="119">
        <f t="shared" si="344"/>
        <v>63.220000000000006</v>
      </c>
      <c r="L206" s="119">
        <f t="shared" si="344"/>
        <v>32.129999999999995</v>
      </c>
      <c r="M206" s="119">
        <f t="shared" si="344"/>
        <v>75.429999999999993</v>
      </c>
      <c r="N206" s="119">
        <f t="shared" si="344"/>
        <v>49.319999999999993</v>
      </c>
      <c r="O206" s="119">
        <f t="shared" si="344"/>
        <v>71.930000000000007</v>
      </c>
      <c r="P206" s="119">
        <f t="shared" si="344"/>
        <v>121.46999999999994</v>
      </c>
      <c r="Q206" s="119">
        <f t="shared" si="344"/>
        <v>177.55000000000007</v>
      </c>
      <c r="R206" s="119">
        <f t="shared" si="344"/>
        <v>217.76000000000005</v>
      </c>
      <c r="S206" s="119">
        <f t="shared" si="344"/>
        <v>167.8599999999999</v>
      </c>
      <c r="T206" s="119">
        <f t="shared" si="344"/>
        <v>163.98999999999992</v>
      </c>
      <c r="U206" s="119">
        <f t="shared" si="344"/>
        <v>149.33999999999995</v>
      </c>
      <c r="V206" s="119">
        <f t="shared" si="344"/>
        <v>131.29999999999998</v>
      </c>
      <c r="W206" s="119">
        <f t="shared" si="344"/>
        <v>109.83000000000003</v>
      </c>
      <c r="X206" s="119">
        <f t="shared" si="344"/>
        <v>142.58999999999995</v>
      </c>
      <c r="Y206" s="119">
        <f t="shared" si="344"/>
        <v>0</v>
      </c>
      <c r="Z206" s="119">
        <f>SUM(B206:Y206)</f>
        <v>6438.1200000000144</v>
      </c>
      <c r="AA206" s="143">
        <f t="shared" si="338"/>
        <v>0.99153407699569873</v>
      </c>
      <c r="AC206" s="119">
        <f t="shared" si="333"/>
        <v>6054.4000000000142</v>
      </c>
      <c r="AD206" s="119">
        <f t="shared" si="334"/>
        <v>383.71999999999991</v>
      </c>
      <c r="AE206" s="119">
        <f t="shared" si="336"/>
        <v>0</v>
      </c>
      <c r="AF206" s="119">
        <f t="shared" si="335"/>
        <v>6438.1200000000144</v>
      </c>
      <c r="AG206" s="143">
        <f t="shared" si="340"/>
        <v>5.960125005436355E-2</v>
      </c>
    </row>
    <row r="207" spans="1:33" x14ac:dyDescent="0.35">
      <c r="A207" s="6" t="s">
        <v>37</v>
      </c>
      <c r="B207" s="12">
        <v>5.3600000000000012</v>
      </c>
      <c r="C207" s="12"/>
      <c r="D207" s="12"/>
      <c r="E207" s="12"/>
      <c r="F207" s="12"/>
      <c r="G207" s="12"/>
      <c r="H207" s="12"/>
      <c r="I207" s="12"/>
      <c r="J207" s="12"/>
      <c r="K207" s="12"/>
      <c r="L207" s="12"/>
      <c r="M207" s="12"/>
      <c r="N207" s="12"/>
      <c r="O207" s="12"/>
      <c r="P207" s="12"/>
      <c r="Q207" s="12">
        <v>2.2999999999999998</v>
      </c>
      <c r="R207" s="12">
        <v>0.68</v>
      </c>
      <c r="S207" s="12">
        <v>1.8499999999999999</v>
      </c>
      <c r="T207" s="54">
        <v>1.53</v>
      </c>
      <c r="U207" s="12">
        <v>0.54</v>
      </c>
      <c r="V207" s="12">
        <v>1.58</v>
      </c>
      <c r="W207" s="12"/>
      <c r="X207" s="12"/>
      <c r="Y207" s="12"/>
      <c r="Z207" s="12">
        <f>SUM(B207:Y207)</f>
        <v>13.840000000000002</v>
      </c>
      <c r="AA207" s="24">
        <f t="shared" si="338"/>
        <v>2.131496714199245E-3</v>
      </c>
      <c r="AC207" s="12">
        <f t="shared" si="333"/>
        <v>12.260000000000002</v>
      </c>
      <c r="AD207" s="12">
        <f t="shared" si="334"/>
        <v>1.58</v>
      </c>
      <c r="AE207" s="12">
        <f t="shared" si="336"/>
        <v>0</v>
      </c>
      <c r="AF207" s="12">
        <f t="shared" si="335"/>
        <v>13.840000000000002</v>
      </c>
      <c r="AG207" s="22">
        <f t="shared" si="340"/>
        <v>0.11416184971098266</v>
      </c>
    </row>
    <row r="208" spans="1:33" x14ac:dyDescent="0.35">
      <c r="A208" s="6" t="s">
        <v>38</v>
      </c>
      <c r="B208" s="12">
        <v>219.01999999999998</v>
      </c>
      <c r="C208" s="12">
        <v>25.24</v>
      </c>
      <c r="D208" s="12">
        <v>14.64</v>
      </c>
      <c r="E208" s="12">
        <v>20.87</v>
      </c>
      <c r="F208" s="12">
        <v>20.669999999999998</v>
      </c>
      <c r="G208" s="12"/>
      <c r="H208" s="12">
        <v>9.66</v>
      </c>
      <c r="I208" s="12">
        <v>4.91</v>
      </c>
      <c r="J208" s="12">
        <v>0.11</v>
      </c>
      <c r="K208" s="12"/>
      <c r="L208" s="12"/>
      <c r="M208" s="12">
        <v>2.92</v>
      </c>
      <c r="N208" s="12">
        <v>0.46</v>
      </c>
      <c r="O208" s="12">
        <v>1.1599999999999999</v>
      </c>
      <c r="P208" s="12">
        <v>7.1199999999999992</v>
      </c>
      <c r="Q208" s="12">
        <v>19.489999999999998</v>
      </c>
      <c r="R208" s="12">
        <v>12.569999999999999</v>
      </c>
      <c r="S208" s="12">
        <v>1.8</v>
      </c>
      <c r="T208" s="12">
        <v>11.830000000000002</v>
      </c>
      <c r="U208" s="12">
        <v>7.5499999999999989</v>
      </c>
      <c r="V208" s="12">
        <v>4.4700000000000006</v>
      </c>
      <c r="W208" s="12">
        <v>2.64</v>
      </c>
      <c r="X208" s="12">
        <v>4.63</v>
      </c>
      <c r="Y208" s="12"/>
      <c r="Z208" s="12">
        <f t="shared" ref="Z208:Z209" si="345">SUM(B208:Y208)</f>
        <v>391.7600000000001</v>
      </c>
      <c r="AA208" s="24">
        <f t="shared" si="338"/>
        <v>6.0334909881119669E-2</v>
      </c>
      <c r="AC208" s="12">
        <f t="shared" si="333"/>
        <v>380.0200000000001</v>
      </c>
      <c r="AD208" s="12">
        <f t="shared" si="334"/>
        <v>11.740000000000002</v>
      </c>
      <c r="AE208" s="12">
        <f t="shared" si="336"/>
        <v>0</v>
      </c>
      <c r="AF208" s="12">
        <f t="shared" si="335"/>
        <v>391.7600000000001</v>
      </c>
      <c r="AG208" s="22">
        <f t="shared" si="340"/>
        <v>2.9967326934858072E-2</v>
      </c>
    </row>
    <row r="209" spans="1:44" x14ac:dyDescent="0.35">
      <c r="A209" s="6" t="s">
        <v>39</v>
      </c>
      <c r="B209" s="54">
        <v>1.55</v>
      </c>
      <c r="C209" s="12"/>
      <c r="D209" s="12"/>
      <c r="E209" s="12"/>
      <c r="F209" s="12"/>
      <c r="G209" s="12"/>
      <c r="H209" s="12">
        <v>0.12</v>
      </c>
      <c r="I209" s="12"/>
      <c r="J209" s="12"/>
      <c r="K209" s="12"/>
      <c r="L209" s="12"/>
      <c r="M209" s="12"/>
      <c r="N209" s="12"/>
      <c r="O209" s="12"/>
      <c r="P209" s="12">
        <v>0.04</v>
      </c>
      <c r="Q209" s="12"/>
      <c r="R209" s="12"/>
      <c r="S209" s="54">
        <v>0.68</v>
      </c>
      <c r="T209" s="12"/>
      <c r="U209" s="12">
        <v>0.35</v>
      </c>
      <c r="V209" s="12">
        <v>0.14000000000000001</v>
      </c>
      <c r="W209" s="12"/>
      <c r="X209" s="12"/>
      <c r="Y209" s="12"/>
      <c r="Z209" s="12">
        <f t="shared" si="345"/>
        <v>2.8800000000000003</v>
      </c>
      <c r="AA209" s="24">
        <f t="shared" si="338"/>
        <v>4.4354844919753072E-4</v>
      </c>
      <c r="AC209" s="12">
        <f t="shared" si="333"/>
        <v>2.74</v>
      </c>
      <c r="AD209" s="12">
        <f t="shared" si="334"/>
        <v>0.14000000000000001</v>
      </c>
      <c r="AE209" s="12">
        <f t="shared" si="336"/>
        <v>0</v>
      </c>
      <c r="AF209" s="12">
        <f t="shared" si="335"/>
        <v>2.8800000000000003</v>
      </c>
      <c r="AG209" s="22">
        <f t="shared" si="340"/>
        <v>4.8611111111111112E-2</v>
      </c>
      <c r="AO209" s="342"/>
      <c r="AP209" s="342" t="s">
        <v>256</v>
      </c>
      <c r="AQ209" s="342" t="s">
        <v>96</v>
      </c>
      <c r="AR209" s="342" t="s">
        <v>257</v>
      </c>
    </row>
    <row r="210" spans="1:44" x14ac:dyDescent="0.35">
      <c r="A210" s="6" t="s">
        <v>40</v>
      </c>
      <c r="B210" s="12">
        <v>3829.8300000000131</v>
      </c>
      <c r="C210" s="12">
        <v>264.3399999999998</v>
      </c>
      <c r="D210" s="12">
        <v>45.6</v>
      </c>
      <c r="E210" s="12">
        <v>47.969999999999992</v>
      </c>
      <c r="F210" s="12">
        <v>27.350000000000005</v>
      </c>
      <c r="G210" s="12">
        <v>69.249999999999986</v>
      </c>
      <c r="H210" s="12">
        <v>83.949999999999989</v>
      </c>
      <c r="I210" s="12">
        <v>29.300000000000004</v>
      </c>
      <c r="J210" s="12">
        <v>44.66</v>
      </c>
      <c r="K210" s="12">
        <v>63.220000000000006</v>
      </c>
      <c r="L210" s="12">
        <v>32.129999999999995</v>
      </c>
      <c r="M210" s="12">
        <v>72.509999999999991</v>
      </c>
      <c r="N210" s="12">
        <v>48.859999999999992</v>
      </c>
      <c r="O210" s="12">
        <v>70.77000000000001</v>
      </c>
      <c r="P210" s="12">
        <v>114.30999999999995</v>
      </c>
      <c r="Q210" s="12">
        <v>155.76000000000008</v>
      </c>
      <c r="R210" s="12">
        <v>204.51000000000005</v>
      </c>
      <c r="S210" s="12">
        <v>163.52999999999989</v>
      </c>
      <c r="T210" s="12">
        <v>150.62999999999991</v>
      </c>
      <c r="U210" s="12">
        <v>140.89999999999995</v>
      </c>
      <c r="V210" s="12">
        <v>125.10999999999997</v>
      </c>
      <c r="W210" s="12">
        <v>107.19000000000003</v>
      </c>
      <c r="X210" s="12">
        <v>137.95999999999995</v>
      </c>
      <c r="Y210" s="12"/>
      <c r="Z210" s="12">
        <f>SUM(B210:Y210)</f>
        <v>6029.6400000000131</v>
      </c>
      <c r="AA210" s="24">
        <f t="shared" si="338"/>
        <v>0.92862412195118216</v>
      </c>
      <c r="AC210" s="12">
        <f t="shared" si="333"/>
        <v>5659.3800000000138</v>
      </c>
      <c r="AD210" s="12">
        <f t="shared" si="334"/>
        <v>370.26</v>
      </c>
      <c r="AE210" s="12">
        <f t="shared" si="336"/>
        <v>0</v>
      </c>
      <c r="AF210" s="12">
        <f t="shared" si="335"/>
        <v>6029.640000000014</v>
      </c>
      <c r="AG210" s="22">
        <f t="shared" si="340"/>
        <v>6.1406651143351698E-2</v>
      </c>
      <c r="AO210" s="118" t="s">
        <v>14</v>
      </c>
      <c r="AP210" s="343">
        <v>383.71999999999991</v>
      </c>
      <c r="AQ210" s="343">
        <v>6438.1200000000144</v>
      </c>
      <c r="AR210" s="190">
        <f t="shared" ref="AR210" si="346">AP210/AQ210</f>
        <v>5.960125005436355E-2</v>
      </c>
    </row>
    <row r="211" spans="1:44" x14ac:dyDescent="0.35">
      <c r="A211" s="11" t="s">
        <v>15</v>
      </c>
      <c r="B211" s="119">
        <f>SUM(B212:B213)</f>
        <v>0</v>
      </c>
      <c r="C211" s="119">
        <f t="shared" ref="C211:Y211" si="347">SUM(C212:C213)</f>
        <v>0</v>
      </c>
      <c r="D211" s="119">
        <f t="shared" si="347"/>
        <v>0</v>
      </c>
      <c r="E211" s="119">
        <f t="shared" si="347"/>
        <v>0</v>
      </c>
      <c r="F211" s="119">
        <f t="shared" si="347"/>
        <v>0</v>
      </c>
      <c r="G211" s="119">
        <f t="shared" si="347"/>
        <v>0</v>
      </c>
      <c r="H211" s="119">
        <f t="shared" si="347"/>
        <v>0</v>
      </c>
      <c r="I211" s="119">
        <f t="shared" si="347"/>
        <v>0</v>
      </c>
      <c r="J211" s="119">
        <f t="shared" si="347"/>
        <v>0</v>
      </c>
      <c r="K211" s="119">
        <f t="shared" si="347"/>
        <v>0</v>
      </c>
      <c r="L211" s="119">
        <f t="shared" si="347"/>
        <v>0</v>
      </c>
      <c r="M211" s="119">
        <f t="shared" si="347"/>
        <v>6.41</v>
      </c>
      <c r="N211" s="119">
        <f t="shared" si="347"/>
        <v>0</v>
      </c>
      <c r="O211" s="119">
        <f t="shared" si="347"/>
        <v>0</v>
      </c>
      <c r="P211" s="119">
        <f t="shared" si="347"/>
        <v>1.98</v>
      </c>
      <c r="Q211" s="119">
        <f t="shared" si="347"/>
        <v>0</v>
      </c>
      <c r="R211" s="119">
        <f t="shared" si="347"/>
        <v>0</v>
      </c>
      <c r="S211" s="119">
        <f t="shared" si="347"/>
        <v>0.4</v>
      </c>
      <c r="T211" s="119">
        <f t="shared" si="347"/>
        <v>0</v>
      </c>
      <c r="U211" s="119">
        <f t="shared" si="347"/>
        <v>0</v>
      </c>
      <c r="V211" s="119">
        <f t="shared" si="347"/>
        <v>0</v>
      </c>
      <c r="W211" s="119">
        <f t="shared" si="347"/>
        <v>0</v>
      </c>
      <c r="X211" s="119">
        <f t="shared" si="347"/>
        <v>0.13</v>
      </c>
      <c r="Y211" s="119">
        <f t="shared" si="347"/>
        <v>0</v>
      </c>
      <c r="Z211" s="119">
        <f>SUM(B211:Y211)</f>
        <v>8.9200000000000017</v>
      </c>
      <c r="AA211" s="143">
        <f t="shared" si="338"/>
        <v>1.3737681134867966E-3</v>
      </c>
      <c r="AC211" s="119">
        <f t="shared" si="333"/>
        <v>8.7900000000000009</v>
      </c>
      <c r="AD211" s="119">
        <f t="shared" si="334"/>
        <v>0.13</v>
      </c>
      <c r="AE211" s="119">
        <f t="shared" si="336"/>
        <v>0</v>
      </c>
      <c r="AF211" s="119">
        <f t="shared" si="335"/>
        <v>8.9200000000000017</v>
      </c>
      <c r="AG211" s="143">
        <f t="shared" si="340"/>
        <v>1.4573991031390131E-2</v>
      </c>
      <c r="AJ211" s="210" t="s">
        <v>255</v>
      </c>
      <c r="AO211" s="118" t="s">
        <v>17</v>
      </c>
      <c r="AP211" s="343">
        <v>24.28</v>
      </c>
      <c r="AQ211" s="343">
        <v>24.310000000000002</v>
      </c>
      <c r="AR211" s="190">
        <f>AP211/AQ211</f>
        <v>0.99876593994241047</v>
      </c>
    </row>
    <row r="212" spans="1:44" x14ac:dyDescent="0.35">
      <c r="A212" s="6" t="s">
        <v>41</v>
      </c>
      <c r="B212" s="12"/>
      <c r="C212" s="12"/>
      <c r="D212" s="12"/>
      <c r="E212" s="12"/>
      <c r="F212" s="12"/>
      <c r="G212" s="12"/>
      <c r="H212" s="12"/>
      <c r="I212" s="12"/>
      <c r="J212" s="12"/>
      <c r="K212" s="12"/>
      <c r="L212" s="12"/>
      <c r="M212" s="12">
        <v>6.41</v>
      </c>
      <c r="N212" s="12"/>
      <c r="O212" s="12"/>
      <c r="P212" s="12">
        <v>1.98</v>
      </c>
      <c r="Q212" s="12"/>
      <c r="R212" s="12"/>
      <c r="S212" s="54"/>
      <c r="T212" s="12"/>
      <c r="U212" s="12"/>
      <c r="V212" s="12"/>
      <c r="W212" s="12"/>
      <c r="X212" s="12"/>
      <c r="Y212" s="12"/>
      <c r="Z212" s="12">
        <f t="shared" ref="Z212:Z213" si="348">SUM(B212:Y212)</f>
        <v>8.39</v>
      </c>
      <c r="AA212" s="24">
        <f t="shared" si="338"/>
        <v>1.2921428780441953E-3</v>
      </c>
      <c r="AC212" s="12">
        <f t="shared" si="333"/>
        <v>8.39</v>
      </c>
      <c r="AD212" s="12">
        <f t="shared" si="334"/>
        <v>0</v>
      </c>
      <c r="AE212" s="12">
        <f t="shared" si="336"/>
        <v>0</v>
      </c>
      <c r="AF212" s="12">
        <f t="shared" si="335"/>
        <v>8.39</v>
      </c>
      <c r="AG212" s="22">
        <f t="shared" si="340"/>
        <v>0</v>
      </c>
      <c r="AK212" t="s">
        <v>256</v>
      </c>
      <c r="AL212" t="s">
        <v>96</v>
      </c>
      <c r="AM212" t="s">
        <v>257</v>
      </c>
    </row>
    <row r="213" spans="1:44" x14ac:dyDescent="0.35">
      <c r="A213" s="6" t="s">
        <v>45</v>
      </c>
      <c r="B213" s="12"/>
      <c r="C213" s="12"/>
      <c r="D213" s="12"/>
      <c r="E213" s="12"/>
      <c r="F213" s="12"/>
      <c r="G213" s="12"/>
      <c r="H213" s="12"/>
      <c r="I213" s="12"/>
      <c r="J213" s="12"/>
      <c r="K213" s="12"/>
      <c r="L213" s="12"/>
      <c r="M213" s="12"/>
      <c r="N213" s="12"/>
      <c r="O213" s="12"/>
      <c r="P213" s="12"/>
      <c r="Q213" s="12"/>
      <c r="R213" s="12"/>
      <c r="S213" s="12">
        <v>0.4</v>
      </c>
      <c r="T213" s="12"/>
      <c r="U213" s="12"/>
      <c r="V213" s="12"/>
      <c r="W213" s="12"/>
      <c r="X213" s="12">
        <v>0.13</v>
      </c>
      <c r="Y213" s="12"/>
      <c r="Z213" s="12">
        <f t="shared" si="348"/>
        <v>0.53</v>
      </c>
      <c r="AA213" s="24">
        <f t="shared" si="338"/>
        <v>8.162523544260113E-5</v>
      </c>
      <c r="AC213" s="12">
        <f t="shared" si="333"/>
        <v>0.4</v>
      </c>
      <c r="AD213" s="12">
        <f t="shared" si="334"/>
        <v>0.13</v>
      </c>
      <c r="AE213" s="12">
        <f t="shared" si="336"/>
        <v>0</v>
      </c>
      <c r="AF213" s="12">
        <f t="shared" si="335"/>
        <v>0.53</v>
      </c>
      <c r="AG213" s="22">
        <f t="shared" si="340"/>
        <v>0.24528301886792453</v>
      </c>
      <c r="AJ213" s="6" t="s">
        <v>40</v>
      </c>
      <c r="AK213" s="12">
        <v>370.26</v>
      </c>
      <c r="AL213" s="12">
        <v>6029.640000000014</v>
      </c>
      <c r="AM213" s="382">
        <f>AK213/AL213</f>
        <v>6.1406651143351698E-2</v>
      </c>
    </row>
    <row r="214" spans="1:44" x14ac:dyDescent="0.35">
      <c r="A214" s="11" t="s">
        <v>16</v>
      </c>
      <c r="B214" s="119">
        <f>SUM(B215:B217)</f>
        <v>0</v>
      </c>
      <c r="C214" s="119">
        <f t="shared" ref="C214:Y214" si="349">SUM(C215:C217)</f>
        <v>0</v>
      </c>
      <c r="D214" s="119">
        <f t="shared" si="349"/>
        <v>0</v>
      </c>
      <c r="E214" s="119">
        <f t="shared" si="349"/>
        <v>0</v>
      </c>
      <c r="F214" s="119">
        <f t="shared" si="349"/>
        <v>0</v>
      </c>
      <c r="G214" s="119">
        <f t="shared" si="349"/>
        <v>0</v>
      </c>
      <c r="H214" s="119">
        <f t="shared" si="349"/>
        <v>0</v>
      </c>
      <c r="I214" s="119">
        <f t="shared" si="349"/>
        <v>0</v>
      </c>
      <c r="J214" s="119">
        <f t="shared" si="349"/>
        <v>0</v>
      </c>
      <c r="K214" s="119">
        <f t="shared" si="349"/>
        <v>0</v>
      </c>
      <c r="L214" s="119">
        <f t="shared" si="349"/>
        <v>0</v>
      </c>
      <c r="M214" s="119">
        <f t="shared" si="349"/>
        <v>0</v>
      </c>
      <c r="N214" s="119">
        <f t="shared" si="349"/>
        <v>0</v>
      </c>
      <c r="O214" s="119">
        <f t="shared" si="349"/>
        <v>0</v>
      </c>
      <c r="P214" s="119">
        <f t="shared" si="349"/>
        <v>0</v>
      </c>
      <c r="Q214" s="119">
        <f t="shared" si="349"/>
        <v>0</v>
      </c>
      <c r="R214" s="119">
        <f t="shared" si="349"/>
        <v>0</v>
      </c>
      <c r="S214" s="119">
        <f t="shared" si="349"/>
        <v>0</v>
      </c>
      <c r="T214" s="119">
        <f t="shared" si="349"/>
        <v>0</v>
      </c>
      <c r="U214" s="119">
        <f t="shared" si="349"/>
        <v>0</v>
      </c>
      <c r="V214" s="119">
        <f t="shared" si="349"/>
        <v>0.09</v>
      </c>
      <c r="W214" s="119">
        <f t="shared" si="349"/>
        <v>0</v>
      </c>
      <c r="X214" s="119">
        <f t="shared" si="349"/>
        <v>0</v>
      </c>
      <c r="Y214" s="119">
        <f t="shared" si="349"/>
        <v>0</v>
      </c>
      <c r="Z214" s="119">
        <f>SUM(B214:Y214)</f>
        <v>0.09</v>
      </c>
      <c r="AA214" s="143">
        <f t="shared" si="338"/>
        <v>1.3860889037422832E-5</v>
      </c>
      <c r="AC214" s="119">
        <f t="shared" si="333"/>
        <v>0</v>
      </c>
      <c r="AD214" s="119">
        <f t="shared" si="334"/>
        <v>0.09</v>
      </c>
      <c r="AE214" s="119">
        <f t="shared" si="336"/>
        <v>0</v>
      </c>
      <c r="AF214" s="119">
        <f t="shared" si="335"/>
        <v>0.09</v>
      </c>
      <c r="AG214" s="143">
        <f t="shared" si="340"/>
        <v>1</v>
      </c>
      <c r="AJ214" s="6" t="s">
        <v>56</v>
      </c>
      <c r="AK214" s="12">
        <v>24.28</v>
      </c>
      <c r="AL214" s="12">
        <v>24.310000000000002</v>
      </c>
      <c r="AM214" s="382">
        <f t="shared" ref="AM214:AM224" si="350">AK214/AL214</f>
        <v>0.99876593994241047</v>
      </c>
    </row>
    <row r="215" spans="1:44" x14ac:dyDescent="0.35">
      <c r="A215" s="6" t="s">
        <v>48</v>
      </c>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f t="shared" ref="Z215:Z217" si="351">SUM(B215:Y215)</f>
        <v>0</v>
      </c>
      <c r="AA215" s="24">
        <f t="shared" si="338"/>
        <v>0</v>
      </c>
      <c r="AC215" s="12">
        <f t="shared" si="333"/>
        <v>0</v>
      </c>
      <c r="AD215" s="12">
        <f t="shared" si="334"/>
        <v>0</v>
      </c>
      <c r="AE215" s="12">
        <f t="shared" si="336"/>
        <v>0</v>
      </c>
      <c r="AF215" s="12">
        <f t="shared" si="335"/>
        <v>0</v>
      </c>
      <c r="AG215" s="22"/>
      <c r="AJ215" s="6" t="s">
        <v>38</v>
      </c>
      <c r="AK215" s="12">
        <v>11.740000000000002</v>
      </c>
      <c r="AL215" s="12">
        <v>391.7600000000001</v>
      </c>
      <c r="AM215" s="382">
        <f t="shared" si="350"/>
        <v>2.9967326934858072E-2</v>
      </c>
    </row>
    <row r="216" spans="1:44" x14ac:dyDescent="0.35">
      <c r="A216" s="6" t="s">
        <v>53</v>
      </c>
      <c r="B216" s="12"/>
      <c r="C216" s="12"/>
      <c r="D216" s="12"/>
      <c r="E216" s="12"/>
      <c r="F216" s="12"/>
      <c r="G216" s="12"/>
      <c r="H216" s="12"/>
      <c r="I216" s="12"/>
      <c r="J216" s="12"/>
      <c r="K216" s="12"/>
      <c r="L216" s="12"/>
      <c r="M216" s="12"/>
      <c r="N216" s="12"/>
      <c r="O216" s="12"/>
      <c r="P216" s="12"/>
      <c r="Q216" s="12"/>
      <c r="R216" s="12"/>
      <c r="S216" s="12"/>
      <c r="T216" s="54"/>
      <c r="U216" s="12"/>
      <c r="V216" s="12"/>
      <c r="W216" s="12"/>
      <c r="X216" s="12"/>
      <c r="Y216" s="12"/>
      <c r="Z216" s="12">
        <f t="shared" si="351"/>
        <v>0</v>
      </c>
      <c r="AA216" s="24">
        <f t="shared" si="338"/>
        <v>0</v>
      </c>
      <c r="AC216" s="12">
        <f t="shared" si="333"/>
        <v>0</v>
      </c>
      <c r="AD216" s="12">
        <f t="shared" si="334"/>
        <v>0</v>
      </c>
      <c r="AE216" s="12">
        <f t="shared" si="336"/>
        <v>0</v>
      </c>
      <c r="AF216" s="12">
        <f t="shared" si="335"/>
        <v>0</v>
      </c>
      <c r="AG216" s="22"/>
      <c r="AJ216" s="6" t="s">
        <v>37</v>
      </c>
      <c r="AK216" s="12">
        <v>1.58</v>
      </c>
      <c r="AL216" s="12">
        <v>13.840000000000002</v>
      </c>
      <c r="AM216" s="382">
        <f t="shared" si="350"/>
        <v>0.11416184971098266</v>
      </c>
    </row>
    <row r="217" spans="1:44" x14ac:dyDescent="0.35">
      <c r="A217" s="6" t="s">
        <v>54</v>
      </c>
      <c r="B217" s="12"/>
      <c r="C217" s="12"/>
      <c r="D217" s="12"/>
      <c r="E217" s="12"/>
      <c r="F217" s="12"/>
      <c r="G217" s="12"/>
      <c r="H217" s="12"/>
      <c r="I217" s="12"/>
      <c r="J217" s="12"/>
      <c r="K217" s="12"/>
      <c r="L217" s="12"/>
      <c r="M217" s="12"/>
      <c r="N217" s="12"/>
      <c r="O217" s="12"/>
      <c r="P217" s="12"/>
      <c r="Q217" s="12"/>
      <c r="R217" s="12"/>
      <c r="S217" s="12"/>
      <c r="T217" s="12"/>
      <c r="U217" s="12"/>
      <c r="V217" s="12">
        <v>0.09</v>
      </c>
      <c r="W217" s="12"/>
      <c r="X217" s="12"/>
      <c r="Y217" s="12"/>
      <c r="Z217" s="12">
        <f t="shared" si="351"/>
        <v>0.09</v>
      </c>
      <c r="AA217" s="24">
        <f t="shared" si="338"/>
        <v>1.3860889037422832E-5</v>
      </c>
      <c r="AC217" s="12">
        <f t="shared" si="333"/>
        <v>0</v>
      </c>
      <c r="AD217" s="12">
        <f t="shared" si="334"/>
        <v>0.09</v>
      </c>
      <c r="AE217" s="12">
        <f t="shared" si="336"/>
        <v>0</v>
      </c>
      <c r="AF217" s="12">
        <f t="shared" si="335"/>
        <v>0.09</v>
      </c>
      <c r="AG217" s="22">
        <f t="shared" si="340"/>
        <v>1</v>
      </c>
      <c r="AJ217" s="6" t="s">
        <v>31</v>
      </c>
      <c r="AK217" s="54">
        <v>1.32</v>
      </c>
      <c r="AL217" s="12">
        <v>1.81</v>
      </c>
      <c r="AM217" s="382">
        <f t="shared" si="350"/>
        <v>0.72928176795580113</v>
      </c>
    </row>
    <row r="218" spans="1:44" x14ac:dyDescent="0.35">
      <c r="A218" s="11" t="s">
        <v>17</v>
      </c>
      <c r="B218" s="119">
        <f>B219</f>
        <v>0</v>
      </c>
      <c r="C218" s="119">
        <f t="shared" ref="C218:Y218" si="352">C219</f>
        <v>0</v>
      </c>
      <c r="D218" s="119">
        <f t="shared" si="352"/>
        <v>0</v>
      </c>
      <c r="E218" s="119">
        <f t="shared" si="352"/>
        <v>0</v>
      </c>
      <c r="F218" s="119">
        <f t="shared" si="352"/>
        <v>0</v>
      </c>
      <c r="G218" s="119">
        <f t="shared" si="352"/>
        <v>0</v>
      </c>
      <c r="H218" s="119">
        <f t="shared" si="352"/>
        <v>0</v>
      </c>
      <c r="I218" s="119">
        <f t="shared" si="352"/>
        <v>0</v>
      </c>
      <c r="J218" s="119">
        <f t="shared" si="352"/>
        <v>0</v>
      </c>
      <c r="K218" s="119">
        <f t="shared" si="352"/>
        <v>0</v>
      </c>
      <c r="L218" s="119">
        <f t="shared" si="352"/>
        <v>0</v>
      </c>
      <c r="M218" s="119">
        <f t="shared" si="352"/>
        <v>0</v>
      </c>
      <c r="N218" s="119">
        <f t="shared" si="352"/>
        <v>0</v>
      </c>
      <c r="O218" s="119">
        <f t="shared" si="352"/>
        <v>0</v>
      </c>
      <c r="P218" s="119">
        <f t="shared" si="352"/>
        <v>0</v>
      </c>
      <c r="Q218" s="119">
        <f t="shared" si="352"/>
        <v>0</v>
      </c>
      <c r="R218" s="119">
        <f t="shared" si="352"/>
        <v>0</v>
      </c>
      <c r="S218" s="119">
        <f t="shared" si="352"/>
        <v>0</v>
      </c>
      <c r="T218" s="119">
        <f t="shared" si="352"/>
        <v>0</v>
      </c>
      <c r="U218" s="119">
        <f t="shared" si="352"/>
        <v>0</v>
      </c>
      <c r="V218" s="119">
        <f t="shared" si="352"/>
        <v>6.05</v>
      </c>
      <c r="W218" s="119">
        <f t="shared" si="352"/>
        <v>8.09</v>
      </c>
      <c r="X218" s="119">
        <f t="shared" si="352"/>
        <v>10.14</v>
      </c>
      <c r="Y218" s="119">
        <f t="shared" si="352"/>
        <v>0.03</v>
      </c>
      <c r="Z218" s="119">
        <f>SUM(B218:Y218)</f>
        <v>24.310000000000002</v>
      </c>
      <c r="AA218" s="143">
        <f t="shared" si="338"/>
        <v>3.743980138886101E-3</v>
      </c>
      <c r="AC218" s="119">
        <f t="shared" si="333"/>
        <v>0</v>
      </c>
      <c r="AD218" s="119">
        <f t="shared" si="334"/>
        <v>24.28</v>
      </c>
      <c r="AE218" s="119">
        <f t="shared" si="336"/>
        <v>0.03</v>
      </c>
      <c r="AF218" s="119">
        <f t="shared" si="335"/>
        <v>24.310000000000002</v>
      </c>
      <c r="AG218" s="143">
        <f t="shared" si="340"/>
        <v>0.99876593994241047</v>
      </c>
      <c r="AJ218" s="6" t="s">
        <v>20</v>
      </c>
      <c r="AK218" s="54">
        <v>0.28999999999999998</v>
      </c>
      <c r="AL218" s="54">
        <v>1.24</v>
      </c>
      <c r="AM218" s="382">
        <f t="shared" si="350"/>
        <v>0.23387096774193547</v>
      </c>
    </row>
    <row r="219" spans="1:44" x14ac:dyDescent="0.35">
      <c r="A219" s="6" t="s">
        <v>56</v>
      </c>
      <c r="B219" s="12"/>
      <c r="C219" s="12"/>
      <c r="D219" s="12"/>
      <c r="E219" s="12"/>
      <c r="F219" s="12"/>
      <c r="G219" s="12"/>
      <c r="H219" s="12"/>
      <c r="I219" s="12"/>
      <c r="J219" s="12"/>
      <c r="K219" s="12"/>
      <c r="L219" s="12"/>
      <c r="M219" s="55"/>
      <c r="N219" s="12"/>
      <c r="O219" s="55"/>
      <c r="P219" s="12"/>
      <c r="Q219" s="12"/>
      <c r="R219" s="12"/>
      <c r="S219" s="12"/>
      <c r="T219" s="12"/>
      <c r="U219" s="55"/>
      <c r="V219" s="12">
        <v>6.05</v>
      </c>
      <c r="W219" s="12">
        <v>8.09</v>
      </c>
      <c r="X219" s="54">
        <v>10.14</v>
      </c>
      <c r="Y219" s="12">
        <v>0.03</v>
      </c>
      <c r="Z219" s="12">
        <f t="shared" ref="Z219" si="353">SUM(B219:Y219)</f>
        <v>24.310000000000002</v>
      </c>
      <c r="AA219" s="24">
        <f t="shared" si="338"/>
        <v>3.743980138886101E-3</v>
      </c>
      <c r="AC219" s="12">
        <f t="shared" si="333"/>
        <v>0</v>
      </c>
      <c r="AD219" s="12">
        <f t="shared" si="334"/>
        <v>24.28</v>
      </c>
      <c r="AE219" s="12">
        <f t="shared" si="336"/>
        <v>0.03</v>
      </c>
      <c r="AF219" s="12">
        <f t="shared" si="335"/>
        <v>24.310000000000002</v>
      </c>
      <c r="AG219" s="22">
        <f t="shared" si="340"/>
        <v>0.99876593994241047</v>
      </c>
      <c r="AJ219" s="6" t="s">
        <v>33</v>
      </c>
      <c r="AK219" s="54">
        <v>0.26</v>
      </c>
      <c r="AL219" s="54">
        <v>0.96</v>
      </c>
      <c r="AM219" s="382">
        <f t="shared" si="350"/>
        <v>0.27083333333333337</v>
      </c>
    </row>
    <row r="220" spans="1:44" x14ac:dyDescent="0.35">
      <c r="A220" s="11" t="s">
        <v>20</v>
      </c>
      <c r="B220" s="119">
        <f>B221</f>
        <v>0.8</v>
      </c>
      <c r="C220" s="119">
        <f t="shared" ref="C220" si="354">C221</f>
        <v>0</v>
      </c>
      <c r="D220" s="119">
        <f t="shared" ref="D220" si="355">D221</f>
        <v>0</v>
      </c>
      <c r="E220" s="119">
        <f t="shared" ref="E220" si="356">E221</f>
        <v>0</v>
      </c>
      <c r="F220" s="119">
        <f t="shared" ref="F220" si="357">F221</f>
        <v>0</v>
      </c>
      <c r="G220" s="119">
        <f t="shared" ref="G220" si="358">G221</f>
        <v>0</v>
      </c>
      <c r="H220" s="119">
        <f t="shared" ref="H220" si="359">H221</f>
        <v>0</v>
      </c>
      <c r="I220" s="119">
        <f t="shared" ref="I220" si="360">I221</f>
        <v>0</v>
      </c>
      <c r="J220" s="119">
        <f t="shared" ref="J220" si="361">J221</f>
        <v>0</v>
      </c>
      <c r="K220" s="119">
        <f t="shared" ref="K220" si="362">K221</f>
        <v>0</v>
      </c>
      <c r="L220" s="119">
        <f t="shared" ref="L220" si="363">L221</f>
        <v>0</v>
      </c>
      <c r="M220" s="119">
        <f t="shared" ref="M220" si="364">M221</f>
        <v>0</v>
      </c>
      <c r="N220" s="119">
        <f t="shared" ref="N220" si="365">N221</f>
        <v>0</v>
      </c>
      <c r="O220" s="119">
        <f t="shared" ref="O220" si="366">O221</f>
        <v>0</v>
      </c>
      <c r="P220" s="119">
        <f t="shared" ref="P220" si="367">P221</f>
        <v>0</v>
      </c>
      <c r="Q220" s="119">
        <f t="shared" ref="Q220" si="368">Q221</f>
        <v>0</v>
      </c>
      <c r="R220" s="119">
        <f t="shared" ref="R220" si="369">R221</f>
        <v>0</v>
      </c>
      <c r="S220" s="119">
        <f t="shared" ref="S220" si="370">S221</f>
        <v>0</v>
      </c>
      <c r="T220" s="119">
        <f t="shared" ref="T220" si="371">T221</f>
        <v>0</v>
      </c>
      <c r="U220" s="119">
        <f t="shared" ref="U220" si="372">U221</f>
        <v>0</v>
      </c>
      <c r="V220" s="119">
        <f t="shared" ref="V220" si="373">V221</f>
        <v>0</v>
      </c>
      <c r="W220" s="119">
        <f t="shared" ref="W220" si="374">W221</f>
        <v>0</v>
      </c>
      <c r="X220" s="119">
        <f t="shared" ref="X220" si="375">X221</f>
        <v>0.28999999999999998</v>
      </c>
      <c r="Y220" s="119">
        <f t="shared" ref="Y220" si="376">Y221</f>
        <v>0.15</v>
      </c>
      <c r="Z220" s="119">
        <f>SUM(B220:Y220)</f>
        <v>1.24</v>
      </c>
      <c r="AA220" s="143">
        <f t="shared" si="338"/>
        <v>1.9097224896004792E-4</v>
      </c>
      <c r="AC220" s="119">
        <f t="shared" si="333"/>
        <v>0.8</v>
      </c>
      <c r="AD220" s="119">
        <f t="shared" si="334"/>
        <v>0.28999999999999998</v>
      </c>
      <c r="AE220" s="119">
        <f t="shared" si="336"/>
        <v>0.15</v>
      </c>
      <c r="AF220" s="119">
        <f t="shared" si="335"/>
        <v>1.24</v>
      </c>
      <c r="AG220" s="143">
        <f t="shared" si="340"/>
        <v>0.23387096774193547</v>
      </c>
      <c r="AJ220" s="6" t="s">
        <v>23</v>
      </c>
      <c r="AK220" s="54">
        <v>0.18</v>
      </c>
      <c r="AL220" s="54">
        <v>0.21</v>
      </c>
      <c r="AM220" s="382">
        <f t="shared" si="350"/>
        <v>0.8571428571428571</v>
      </c>
    </row>
    <row r="221" spans="1:44" x14ac:dyDescent="0.35">
      <c r="A221" s="6" t="s">
        <v>20</v>
      </c>
      <c r="B221" s="12">
        <v>0.8</v>
      </c>
      <c r="C221" s="12"/>
      <c r="D221" s="12"/>
      <c r="E221" s="12"/>
      <c r="F221" s="12"/>
      <c r="G221" s="12"/>
      <c r="H221" s="12"/>
      <c r="I221" s="12"/>
      <c r="J221" s="12"/>
      <c r="K221" s="12"/>
      <c r="L221" s="12"/>
      <c r="M221" s="12"/>
      <c r="N221" s="12"/>
      <c r="O221" s="12"/>
      <c r="P221" s="12"/>
      <c r="Q221" s="12"/>
      <c r="R221" s="12"/>
      <c r="S221" s="12"/>
      <c r="T221" s="12"/>
      <c r="U221" s="12"/>
      <c r="V221" s="12"/>
      <c r="W221" s="12"/>
      <c r="X221" s="12">
        <v>0.28999999999999998</v>
      </c>
      <c r="Y221" s="12">
        <v>0.15</v>
      </c>
      <c r="Z221" s="12">
        <f t="shared" ref="Z221" si="377">SUM(B221:Y221)</f>
        <v>1.24</v>
      </c>
      <c r="AA221" s="24">
        <f t="shared" si="338"/>
        <v>1.9097224896004792E-4</v>
      </c>
      <c r="AC221" s="12">
        <f t="shared" si="333"/>
        <v>0.8</v>
      </c>
      <c r="AD221" s="12">
        <f t="shared" si="334"/>
        <v>0.28999999999999998</v>
      </c>
      <c r="AE221" s="12">
        <f t="shared" si="336"/>
        <v>0.15</v>
      </c>
      <c r="AF221" s="12">
        <f t="shared" si="335"/>
        <v>1.24</v>
      </c>
      <c r="AG221" s="22">
        <f t="shared" si="340"/>
        <v>0.23387096774193547</v>
      </c>
      <c r="AJ221" s="6" t="s">
        <v>39</v>
      </c>
      <c r="AK221" s="54">
        <v>0.14000000000000001</v>
      </c>
      <c r="AL221" s="54">
        <v>2.8800000000000003</v>
      </c>
      <c r="AM221" s="382">
        <f t="shared" si="350"/>
        <v>4.8611111111111112E-2</v>
      </c>
    </row>
    <row r="222" spans="1:44" x14ac:dyDescent="0.35">
      <c r="A222" s="11" t="s">
        <v>23</v>
      </c>
      <c r="B222" s="119">
        <f>B223</f>
        <v>0</v>
      </c>
      <c r="C222" s="119">
        <f t="shared" ref="C222" si="378">C223</f>
        <v>0</v>
      </c>
      <c r="D222" s="119">
        <f t="shared" ref="D222" si="379">D223</f>
        <v>0</v>
      </c>
      <c r="E222" s="119">
        <f t="shared" ref="E222" si="380">E223</f>
        <v>0</v>
      </c>
      <c r="F222" s="119">
        <f t="shared" ref="F222" si="381">F223</f>
        <v>0.03</v>
      </c>
      <c r="G222" s="119">
        <f t="shared" ref="G222" si="382">G223</f>
        <v>0</v>
      </c>
      <c r="H222" s="119">
        <f t="shared" ref="H222" si="383">H223</f>
        <v>0</v>
      </c>
      <c r="I222" s="119">
        <f t="shared" ref="I222" si="384">I223</f>
        <v>0</v>
      </c>
      <c r="J222" s="119">
        <f t="shared" ref="J222" si="385">J223</f>
        <v>0</v>
      </c>
      <c r="K222" s="119">
        <f t="shared" ref="K222" si="386">K223</f>
        <v>0</v>
      </c>
      <c r="L222" s="119">
        <f t="shared" ref="L222" si="387">L223</f>
        <v>0</v>
      </c>
      <c r="M222" s="119">
        <f t="shared" ref="M222" si="388">M223</f>
        <v>0</v>
      </c>
      <c r="N222" s="119">
        <f t="shared" ref="N222" si="389">N223</f>
        <v>0</v>
      </c>
      <c r="O222" s="119">
        <f t="shared" ref="O222" si="390">O223</f>
        <v>0</v>
      </c>
      <c r="P222" s="119">
        <f t="shared" ref="P222" si="391">P223</f>
        <v>0</v>
      </c>
      <c r="Q222" s="119">
        <f t="shared" ref="Q222" si="392">Q223</f>
        <v>0</v>
      </c>
      <c r="R222" s="119">
        <f t="shared" ref="R222" si="393">R223</f>
        <v>0</v>
      </c>
      <c r="S222" s="119">
        <f t="shared" ref="S222" si="394">S223</f>
        <v>0</v>
      </c>
      <c r="T222" s="119">
        <f t="shared" ref="T222" si="395">T223</f>
        <v>0</v>
      </c>
      <c r="U222" s="119">
        <f t="shared" ref="U222" si="396">U223</f>
        <v>0</v>
      </c>
      <c r="V222" s="119">
        <f t="shared" ref="V222" si="397">V223</f>
        <v>0</v>
      </c>
      <c r="W222" s="119">
        <f t="shared" ref="W222" si="398">W223</f>
        <v>0.18</v>
      </c>
      <c r="X222" s="119">
        <f t="shared" ref="X222" si="399">X223</f>
        <v>0</v>
      </c>
      <c r="Y222" s="119">
        <f t="shared" ref="Y222" si="400">Y223</f>
        <v>0</v>
      </c>
      <c r="Z222" s="119">
        <f>SUM(B222:Y222)</f>
        <v>0.21</v>
      </c>
      <c r="AA222" s="143">
        <f t="shared" si="338"/>
        <v>3.2342074420653277E-5</v>
      </c>
      <c r="AC222" s="119">
        <f t="shared" si="333"/>
        <v>0.03</v>
      </c>
      <c r="AD222" s="119">
        <f t="shared" si="334"/>
        <v>0.18</v>
      </c>
      <c r="AE222" s="119">
        <f t="shared" si="336"/>
        <v>0</v>
      </c>
      <c r="AF222" s="119">
        <f t="shared" si="335"/>
        <v>0.21</v>
      </c>
      <c r="AG222" s="143">
        <f t="shared" si="340"/>
        <v>0.8571428571428571</v>
      </c>
      <c r="AJ222" s="6" t="s">
        <v>45</v>
      </c>
      <c r="AK222" s="54">
        <v>0.13</v>
      </c>
      <c r="AL222" s="54">
        <v>0.53</v>
      </c>
      <c r="AM222" s="382">
        <f t="shared" si="350"/>
        <v>0.24528301886792453</v>
      </c>
    </row>
    <row r="223" spans="1:44" x14ac:dyDescent="0.35">
      <c r="A223" s="6" t="s">
        <v>23</v>
      </c>
      <c r="B223" s="12"/>
      <c r="C223" s="12"/>
      <c r="D223" s="12"/>
      <c r="E223" s="12"/>
      <c r="F223" s="12">
        <v>0.03</v>
      </c>
      <c r="G223" s="12"/>
      <c r="H223" s="12"/>
      <c r="I223" s="12"/>
      <c r="J223" s="12"/>
      <c r="K223" s="12"/>
      <c r="L223" s="12"/>
      <c r="M223" s="12"/>
      <c r="N223" s="12"/>
      <c r="O223" s="12"/>
      <c r="P223" s="12"/>
      <c r="Q223" s="12"/>
      <c r="R223" s="12"/>
      <c r="S223" s="12"/>
      <c r="T223" s="12"/>
      <c r="U223" s="12"/>
      <c r="V223" s="12"/>
      <c r="W223" s="12">
        <v>0.18</v>
      </c>
      <c r="X223" s="12"/>
      <c r="Y223" s="12"/>
      <c r="Z223" s="12">
        <f t="shared" ref="Z223" si="401">SUM(B223:Y223)</f>
        <v>0.21</v>
      </c>
      <c r="AA223" s="24">
        <f t="shared" si="338"/>
        <v>3.2342074420653277E-5</v>
      </c>
      <c r="AC223" s="12">
        <f t="shared" si="333"/>
        <v>0.03</v>
      </c>
      <c r="AD223" s="12">
        <f t="shared" si="334"/>
        <v>0.18</v>
      </c>
      <c r="AE223" s="12">
        <f t="shared" si="336"/>
        <v>0</v>
      </c>
      <c r="AF223" s="12">
        <f t="shared" si="335"/>
        <v>0.21</v>
      </c>
      <c r="AG223" s="22">
        <f t="shared" si="340"/>
        <v>0.8571428571428571</v>
      </c>
      <c r="AJ223" s="6" t="s">
        <v>54</v>
      </c>
      <c r="AK223" s="54">
        <v>0.09</v>
      </c>
      <c r="AL223" s="54">
        <v>0.09</v>
      </c>
      <c r="AM223" s="382">
        <f t="shared" si="350"/>
        <v>1</v>
      </c>
    </row>
    <row r="224" spans="1:44" ht="15.5" x14ac:dyDescent="0.35">
      <c r="A224" s="43" t="s">
        <v>25</v>
      </c>
      <c r="B224" s="142">
        <f>SUM(B222,B220,B218,B214,B211,B206,B203,B199)</f>
        <v>4067.450000000013</v>
      </c>
      <c r="C224" s="142">
        <f t="shared" ref="C224:AA224" si="402">SUM(C222,C220,C218,C214,C211,C206,C203,C199)</f>
        <v>289.57999999999981</v>
      </c>
      <c r="D224" s="142">
        <f t="shared" si="402"/>
        <v>66.75</v>
      </c>
      <c r="E224" s="142">
        <f t="shared" si="402"/>
        <v>68.839999999999989</v>
      </c>
      <c r="F224" s="142">
        <f t="shared" si="402"/>
        <v>48.050000000000004</v>
      </c>
      <c r="G224" s="142">
        <f t="shared" si="402"/>
        <v>69.719999999999985</v>
      </c>
      <c r="H224" s="142">
        <f t="shared" si="402"/>
        <v>93.82</v>
      </c>
      <c r="I224" s="142">
        <f t="shared" si="402"/>
        <v>34.210000000000008</v>
      </c>
      <c r="J224" s="142">
        <f t="shared" si="402"/>
        <v>44.769999999999996</v>
      </c>
      <c r="K224" s="142">
        <f t="shared" si="402"/>
        <v>63.500000000000007</v>
      </c>
      <c r="L224" s="142">
        <f t="shared" si="402"/>
        <v>32.129999999999995</v>
      </c>
      <c r="M224" s="142">
        <f t="shared" si="402"/>
        <v>81.839999999999989</v>
      </c>
      <c r="N224" s="142">
        <f t="shared" si="402"/>
        <v>49.319999999999993</v>
      </c>
      <c r="O224" s="142">
        <f t="shared" si="402"/>
        <v>71.930000000000007</v>
      </c>
      <c r="P224" s="142">
        <f t="shared" si="402"/>
        <v>123.44999999999995</v>
      </c>
      <c r="Q224" s="142">
        <f t="shared" si="402"/>
        <v>177.55000000000007</v>
      </c>
      <c r="R224" s="142">
        <f t="shared" si="402"/>
        <v>217.76000000000005</v>
      </c>
      <c r="S224" s="142">
        <f t="shared" si="402"/>
        <v>168.25999999999991</v>
      </c>
      <c r="T224" s="142">
        <f t="shared" si="402"/>
        <v>164.31999999999994</v>
      </c>
      <c r="U224" s="142">
        <f t="shared" si="402"/>
        <v>149.33999999999995</v>
      </c>
      <c r="V224" s="142">
        <f t="shared" si="402"/>
        <v>137.43999999999997</v>
      </c>
      <c r="W224" s="142">
        <f t="shared" si="402"/>
        <v>119.46000000000002</v>
      </c>
      <c r="X224" s="142">
        <f t="shared" si="402"/>
        <v>153.40999999999994</v>
      </c>
      <c r="Y224" s="142">
        <f t="shared" si="402"/>
        <v>0.19</v>
      </c>
      <c r="Z224" s="142">
        <f>SUM(B224:Y224)</f>
        <v>6493.0900000000129</v>
      </c>
      <c r="AA224" s="142">
        <f t="shared" si="402"/>
        <v>1.0000000000000002</v>
      </c>
      <c r="AC224" s="142">
        <f t="shared" si="333"/>
        <v>6082.5900000000138</v>
      </c>
      <c r="AD224" s="142">
        <f t="shared" si="334"/>
        <v>410.30999999999995</v>
      </c>
      <c r="AE224" s="142">
        <f t="shared" si="336"/>
        <v>0.19</v>
      </c>
      <c r="AF224" s="142">
        <f t="shared" si="335"/>
        <v>6493.0900000000138</v>
      </c>
      <c r="AG224" s="197">
        <f>AD224/AF224</f>
        <v>6.3191793121610676E-2</v>
      </c>
      <c r="AJ224" s="6" t="s">
        <v>36</v>
      </c>
      <c r="AK224" s="54">
        <v>0.04</v>
      </c>
      <c r="AL224" s="54">
        <v>0.04</v>
      </c>
      <c r="AM224" s="382">
        <f t="shared" si="350"/>
        <v>1</v>
      </c>
    </row>
    <row r="225" spans="1:25" x14ac:dyDescent="0.35">
      <c r="A225" s="378" t="s">
        <v>253</v>
      </c>
      <c r="B225" s="379"/>
      <c r="C225" s="379">
        <f>C224+B224</f>
        <v>4357.0300000000125</v>
      </c>
      <c r="D225" s="379">
        <f>D224+C225</f>
        <v>4423.7800000000125</v>
      </c>
      <c r="E225" s="379">
        <f>E224+D225</f>
        <v>4492.6200000000126</v>
      </c>
      <c r="F225" s="379">
        <f t="shared" ref="F225" si="403">F224+E225</f>
        <v>4540.6700000000128</v>
      </c>
      <c r="G225" s="379">
        <f t="shared" ref="G225" si="404">G224+F225</f>
        <v>4610.3900000000131</v>
      </c>
      <c r="H225" s="379">
        <f t="shared" ref="H225" si="405">H224+G225</f>
        <v>4704.2100000000128</v>
      </c>
      <c r="I225" s="379">
        <f t="shared" ref="I225" si="406">I224+H225</f>
        <v>4738.4200000000128</v>
      </c>
      <c r="J225" s="379">
        <f t="shared" ref="J225" si="407">J224+I225</f>
        <v>4783.1900000000132</v>
      </c>
      <c r="K225" s="379">
        <f t="shared" ref="K225" si="408">K224+J225</f>
        <v>4846.6900000000132</v>
      </c>
      <c r="L225" s="379">
        <f t="shared" ref="L225" si="409">L224+K225</f>
        <v>4878.8200000000134</v>
      </c>
      <c r="M225" s="379">
        <f t="shared" ref="M225" si="410">M224+L225</f>
        <v>4960.6600000000135</v>
      </c>
      <c r="N225" s="379">
        <f t="shared" ref="N225" si="411">N224+M225</f>
        <v>5009.9800000000132</v>
      </c>
      <c r="O225" s="379">
        <f t="shared" ref="O225" si="412">O224+N225</f>
        <v>5081.9100000000135</v>
      </c>
      <c r="P225" s="379">
        <f t="shared" ref="P225" si="413">P224+O225</f>
        <v>5205.3600000000133</v>
      </c>
      <c r="Q225" s="379">
        <f t="shared" ref="Q225" si="414">Q224+P225</f>
        <v>5382.9100000000135</v>
      </c>
      <c r="R225" s="379">
        <f t="shared" ref="R225" si="415">R224+Q225</f>
        <v>5600.6700000000137</v>
      </c>
      <c r="S225" s="379">
        <f t="shared" ref="S225" si="416">S224+R225</f>
        <v>5768.9300000000139</v>
      </c>
      <c r="T225" s="379">
        <f t="shared" ref="T225" si="417">T224+S225</f>
        <v>5933.2500000000136</v>
      </c>
      <c r="U225" s="379">
        <f t="shared" ref="U225" si="418">U224+T225</f>
        <v>6082.5900000000138</v>
      </c>
      <c r="V225" s="379">
        <f t="shared" ref="V225" si="419">V224+U225</f>
        <v>6220.0300000000134</v>
      </c>
      <c r="W225" s="379">
        <f t="shared" ref="W225" si="420">W224+V225</f>
        <v>6339.4900000000134</v>
      </c>
      <c r="X225" s="379">
        <f t="shared" ref="X225" si="421">X224+W225</f>
        <v>6492.9000000000133</v>
      </c>
    </row>
    <row r="226" spans="1:25" x14ac:dyDescent="0.35">
      <c r="A226" s="380" t="s">
        <v>254</v>
      </c>
      <c r="B226" s="379"/>
      <c r="C226" s="381"/>
      <c r="D226" s="381">
        <f>D225/C225-1</f>
        <v>1.5320068946047982E-2</v>
      </c>
      <c r="E226" s="381">
        <f t="shared" ref="E226" si="422">E225/D225-1</f>
        <v>1.5561352508488113E-2</v>
      </c>
      <c r="F226" s="381">
        <f t="shared" ref="F226" si="423">F225/E225-1</f>
        <v>1.0695318099460893E-2</v>
      </c>
      <c r="G226" s="381">
        <f t="shared" ref="G226" si="424">G225/F225-1</f>
        <v>1.5354562212184453E-2</v>
      </c>
      <c r="H226" s="381">
        <f t="shared" ref="H226" si="425">H225/G225-1</f>
        <v>2.0349688421152923E-2</v>
      </c>
      <c r="I226" s="381">
        <f t="shared" ref="I226" si="426">I225/H225-1</f>
        <v>7.2722093614017158E-3</v>
      </c>
      <c r="J226" s="381">
        <f t="shared" ref="J226" si="427">J225/I225-1</f>
        <v>9.4482971116955916E-3</v>
      </c>
      <c r="K226" s="381">
        <f t="shared" ref="K226" si="428">K225/J225-1</f>
        <v>1.3275659131249284E-2</v>
      </c>
      <c r="L226" s="381">
        <f t="shared" ref="L226" si="429">L225/K225-1</f>
        <v>6.6292665716189969E-3</v>
      </c>
      <c r="M226" s="381">
        <f t="shared" ref="M226" si="430">M225/L225-1</f>
        <v>1.6774547943970042E-2</v>
      </c>
      <c r="N226" s="381">
        <f t="shared" ref="N226" si="431">N225/M225-1</f>
        <v>9.9422254296805956E-3</v>
      </c>
      <c r="O226" s="381">
        <f t="shared" ref="O226" si="432">O225/N225-1</f>
        <v>1.4357342743883228E-2</v>
      </c>
      <c r="P226" s="381">
        <f t="shared" ref="P226" si="433">P225/O225-1</f>
        <v>2.429204767498816E-2</v>
      </c>
      <c r="Q226" s="381">
        <f t="shared" ref="Q226" si="434">Q225/P225-1</f>
        <v>3.4109072187130218E-2</v>
      </c>
      <c r="R226" s="381">
        <f t="shared" ref="R226" si="435">R225/Q225-1</f>
        <v>4.0453955202669034E-2</v>
      </c>
      <c r="S226" s="381">
        <f t="shared" ref="S226" si="436">S225/R225-1</f>
        <v>3.0042834160912912E-2</v>
      </c>
      <c r="T226" s="381">
        <f t="shared" ref="T226" si="437">T225/S225-1</f>
        <v>2.8483618279299572E-2</v>
      </c>
      <c r="U226" s="381">
        <f t="shared" ref="U226" si="438">U225/T225-1</f>
        <v>2.5170016432815023E-2</v>
      </c>
      <c r="V226" s="381">
        <f t="shared" ref="V226" si="439">V225/U225-1</f>
        <v>2.2595637713539674E-2</v>
      </c>
      <c r="W226" s="381">
        <f t="shared" ref="W226" si="440">W225/V225-1</f>
        <v>1.9205695149380198E-2</v>
      </c>
      <c r="X226" s="381">
        <f t="shared" ref="X226" si="441">X225/W225-1</f>
        <v>2.4199107499183636E-2</v>
      </c>
    </row>
    <row r="227" spans="1:25" ht="15.5" x14ac:dyDescent="0.35">
      <c r="A227" s="146" t="s">
        <v>99</v>
      </c>
      <c r="B227" s="147" t="s">
        <v>100</v>
      </c>
      <c r="C227" s="147">
        <v>2000</v>
      </c>
      <c r="D227" s="147">
        <v>2001</v>
      </c>
      <c r="E227" s="147">
        <v>2002</v>
      </c>
      <c r="F227" s="147">
        <v>2003</v>
      </c>
      <c r="G227" s="147">
        <v>2004</v>
      </c>
      <c r="H227" s="147">
        <v>2005</v>
      </c>
      <c r="I227" s="147">
        <v>2006</v>
      </c>
      <c r="J227" s="147">
        <v>2007</v>
      </c>
      <c r="K227" s="147">
        <v>2008</v>
      </c>
      <c r="L227" s="147">
        <v>2009</v>
      </c>
      <c r="M227" s="147">
        <v>2010</v>
      </c>
      <c r="N227" s="147">
        <v>2011</v>
      </c>
      <c r="O227" s="147">
        <v>2012</v>
      </c>
      <c r="P227" s="147">
        <v>2013</v>
      </c>
      <c r="Q227" s="147">
        <v>2014</v>
      </c>
      <c r="R227" s="147">
        <v>2015</v>
      </c>
      <c r="S227" s="147">
        <v>2016</v>
      </c>
      <c r="T227" s="147">
        <v>2017</v>
      </c>
      <c r="U227" s="147">
        <v>2018</v>
      </c>
      <c r="V227" s="147">
        <v>2019</v>
      </c>
      <c r="W227" s="147">
        <v>2020</v>
      </c>
      <c r="X227" s="147">
        <v>2021</v>
      </c>
      <c r="Y227" s="183" t="s">
        <v>90</v>
      </c>
    </row>
    <row r="228" spans="1:25" x14ac:dyDescent="0.35">
      <c r="A228" s="11" t="s">
        <v>5</v>
      </c>
      <c r="B228" s="22">
        <f t="shared" ref="B228:Y228" si="442">B197/$Z$197</f>
        <v>0</v>
      </c>
      <c r="C228" s="22">
        <f t="shared" si="442"/>
        <v>0</v>
      </c>
      <c r="D228" s="22">
        <f t="shared" si="442"/>
        <v>0</v>
      </c>
      <c r="E228" s="22">
        <f t="shared" si="442"/>
        <v>0</v>
      </c>
      <c r="F228" s="22">
        <f t="shared" si="442"/>
        <v>0</v>
      </c>
      <c r="G228" s="22">
        <f t="shared" si="442"/>
        <v>0</v>
      </c>
      <c r="H228" s="22">
        <f t="shared" si="442"/>
        <v>0</v>
      </c>
      <c r="I228" s="22">
        <f t="shared" si="442"/>
        <v>0</v>
      </c>
      <c r="J228" s="22">
        <f t="shared" si="442"/>
        <v>0</v>
      </c>
      <c r="K228" s="22">
        <f t="shared" si="442"/>
        <v>0</v>
      </c>
      <c r="L228" s="22">
        <f t="shared" si="442"/>
        <v>0</v>
      </c>
      <c r="M228" s="22">
        <f t="shared" si="442"/>
        <v>0</v>
      </c>
      <c r="N228" s="22">
        <f t="shared" si="442"/>
        <v>0</v>
      </c>
      <c r="O228" s="22">
        <f t="shared" si="442"/>
        <v>0</v>
      </c>
      <c r="P228" s="22">
        <f t="shared" si="442"/>
        <v>0</v>
      </c>
      <c r="Q228" s="22">
        <f t="shared" si="442"/>
        <v>0</v>
      </c>
      <c r="R228" s="22">
        <f t="shared" si="442"/>
        <v>0</v>
      </c>
      <c r="S228" s="22">
        <f t="shared" si="442"/>
        <v>0</v>
      </c>
      <c r="T228" s="22">
        <f t="shared" si="442"/>
        <v>0</v>
      </c>
      <c r="U228" s="22">
        <f t="shared" si="442"/>
        <v>1</v>
      </c>
      <c r="V228" s="22">
        <f t="shared" si="442"/>
        <v>0</v>
      </c>
      <c r="W228" s="22">
        <f t="shared" si="442"/>
        <v>0</v>
      </c>
      <c r="X228" s="22">
        <f t="shared" si="442"/>
        <v>0</v>
      </c>
      <c r="Y228" s="385">
        <f t="shared" si="442"/>
        <v>0</v>
      </c>
    </row>
    <row r="229" spans="1:25" x14ac:dyDescent="0.35">
      <c r="A229" s="11" t="s">
        <v>12</v>
      </c>
      <c r="B229" s="22">
        <f t="shared" ref="B229:Y229" si="443">B199/$Z$199</f>
        <v>2.1528525296017225E-3</v>
      </c>
      <c r="C229" s="22">
        <f t="shared" si="443"/>
        <v>0</v>
      </c>
      <c r="D229" s="22">
        <f t="shared" si="443"/>
        <v>0.70075349838536061</v>
      </c>
      <c r="E229" s="22">
        <f t="shared" si="443"/>
        <v>0</v>
      </c>
      <c r="F229" s="22">
        <f t="shared" si="443"/>
        <v>0</v>
      </c>
      <c r="G229" s="22">
        <f t="shared" si="443"/>
        <v>5.0592034445640477E-2</v>
      </c>
      <c r="H229" s="22">
        <f t="shared" si="443"/>
        <v>9.6878363832077503E-3</v>
      </c>
      <c r="I229" s="22">
        <f t="shared" si="443"/>
        <v>0</v>
      </c>
      <c r="J229" s="22">
        <f t="shared" si="443"/>
        <v>0</v>
      </c>
      <c r="K229" s="22">
        <f t="shared" si="443"/>
        <v>3.0139935414424116E-2</v>
      </c>
      <c r="L229" s="22">
        <f t="shared" si="443"/>
        <v>0</v>
      </c>
      <c r="M229" s="22">
        <f t="shared" si="443"/>
        <v>0</v>
      </c>
      <c r="N229" s="22">
        <f t="shared" si="443"/>
        <v>0</v>
      </c>
      <c r="O229" s="22">
        <f t="shared" si="443"/>
        <v>0</v>
      </c>
      <c r="P229" s="22">
        <f t="shared" si="443"/>
        <v>0</v>
      </c>
      <c r="Q229" s="22">
        <f t="shared" si="443"/>
        <v>0</v>
      </c>
      <c r="R229" s="22">
        <f t="shared" si="443"/>
        <v>0</v>
      </c>
      <c r="S229" s="22">
        <f t="shared" si="443"/>
        <v>0</v>
      </c>
      <c r="T229" s="22">
        <f t="shared" si="443"/>
        <v>3.5522066738428421E-2</v>
      </c>
      <c r="U229" s="22">
        <f t="shared" si="443"/>
        <v>0</v>
      </c>
      <c r="V229" s="22">
        <f t="shared" si="443"/>
        <v>0</v>
      </c>
      <c r="W229" s="22">
        <f t="shared" si="443"/>
        <v>0.14208826695371368</v>
      </c>
      <c r="X229" s="22">
        <f t="shared" si="443"/>
        <v>2.7987082884822392E-2</v>
      </c>
      <c r="Y229" s="384">
        <f t="shared" si="443"/>
        <v>1.0764262648008613E-3</v>
      </c>
    </row>
    <row r="230" spans="1:25" x14ac:dyDescent="0.35">
      <c r="A230" s="11" t="s">
        <v>13</v>
      </c>
      <c r="B230" s="22">
        <f t="shared" ref="B230:Y230" si="444">B203/$Z$203</f>
        <v>0.99633363886342807</v>
      </c>
      <c r="C230" s="22">
        <f t="shared" si="444"/>
        <v>0</v>
      </c>
      <c r="D230" s="22">
        <f t="shared" si="444"/>
        <v>0</v>
      </c>
      <c r="E230" s="22">
        <f t="shared" si="444"/>
        <v>0</v>
      </c>
      <c r="F230" s="22">
        <f t="shared" si="444"/>
        <v>0</v>
      </c>
      <c r="G230" s="22">
        <f t="shared" si="444"/>
        <v>0</v>
      </c>
      <c r="H230" s="22">
        <f t="shared" si="444"/>
        <v>0</v>
      </c>
      <c r="I230" s="22">
        <f t="shared" si="444"/>
        <v>0</v>
      </c>
      <c r="J230" s="22">
        <f t="shared" si="444"/>
        <v>0</v>
      </c>
      <c r="K230" s="22">
        <f t="shared" si="444"/>
        <v>0</v>
      </c>
      <c r="L230" s="22">
        <f t="shared" si="444"/>
        <v>0</v>
      </c>
      <c r="M230" s="22">
        <f t="shared" si="444"/>
        <v>0</v>
      </c>
      <c r="N230" s="22">
        <f t="shared" si="444"/>
        <v>0</v>
      </c>
      <c r="O230" s="22">
        <f t="shared" si="444"/>
        <v>0</v>
      </c>
      <c r="P230" s="22">
        <f t="shared" si="444"/>
        <v>0</v>
      </c>
      <c r="Q230" s="22">
        <f t="shared" si="444"/>
        <v>0</v>
      </c>
      <c r="R230" s="22">
        <f t="shared" si="444"/>
        <v>0</v>
      </c>
      <c r="S230" s="22">
        <f t="shared" si="444"/>
        <v>0</v>
      </c>
      <c r="T230" s="22">
        <f t="shared" si="444"/>
        <v>0</v>
      </c>
      <c r="U230" s="22">
        <f t="shared" si="444"/>
        <v>0</v>
      </c>
      <c r="V230" s="22">
        <f t="shared" si="444"/>
        <v>0</v>
      </c>
      <c r="W230" s="22">
        <f t="shared" si="444"/>
        <v>3.6663611365719525E-3</v>
      </c>
      <c r="X230" s="22">
        <f t="shared" si="444"/>
        <v>0</v>
      </c>
      <c r="Y230" s="385">
        <f t="shared" si="444"/>
        <v>0</v>
      </c>
    </row>
    <row r="231" spans="1:25" x14ac:dyDescent="0.35">
      <c r="A231" s="11" t="s">
        <v>14</v>
      </c>
      <c r="B231" s="22">
        <f t="shared" ref="B231:Y231" si="445">B206/$Z$206</f>
        <v>0.62996029896926486</v>
      </c>
      <c r="C231" s="22">
        <f t="shared" si="445"/>
        <v>4.4978969015799515E-2</v>
      </c>
      <c r="D231" s="22">
        <f t="shared" si="445"/>
        <v>9.356768746155689E-3</v>
      </c>
      <c r="E231" s="22">
        <f t="shared" si="445"/>
        <v>1.0692562425055736E-2</v>
      </c>
      <c r="F231" s="22">
        <f t="shared" si="445"/>
        <v>7.4586991233465509E-3</v>
      </c>
      <c r="G231" s="22">
        <f t="shared" si="445"/>
        <v>1.0756245612073063E-2</v>
      </c>
      <c r="H231" s="22">
        <f t="shared" si="445"/>
        <v>1.455859785154669E-2</v>
      </c>
      <c r="I231" s="22">
        <f t="shared" si="445"/>
        <v>5.3136629947872875E-3</v>
      </c>
      <c r="J231" s="22">
        <f t="shared" si="445"/>
        <v>6.9538933725994383E-3</v>
      </c>
      <c r="K231" s="22">
        <f t="shared" si="445"/>
        <v>9.8196367883791949E-3</v>
      </c>
      <c r="L231" s="22">
        <f t="shared" si="445"/>
        <v>4.9905873143091346E-3</v>
      </c>
      <c r="M231" s="22">
        <f t="shared" si="445"/>
        <v>1.1716153162724495E-2</v>
      </c>
      <c r="N231" s="22">
        <f t="shared" si="445"/>
        <v>7.6606214236453933E-3</v>
      </c>
      <c r="O231" s="22">
        <f t="shared" si="445"/>
        <v>1.1172516200381453E-2</v>
      </c>
      <c r="P231" s="22">
        <f t="shared" si="445"/>
        <v>1.8867309090231259E-2</v>
      </c>
      <c r="Q231" s="22">
        <f t="shared" si="445"/>
        <v>2.7577926475430666E-2</v>
      </c>
      <c r="R231" s="22">
        <f t="shared" si="445"/>
        <v>3.3823538548520306E-2</v>
      </c>
      <c r="S231" s="22">
        <f t="shared" si="445"/>
        <v>2.6072828713972328E-2</v>
      </c>
      <c r="T231" s="22">
        <f t="shared" si="445"/>
        <v>2.547172155846731E-2</v>
      </c>
      <c r="U231" s="22">
        <f t="shared" si="445"/>
        <v>2.319621255894572E-2</v>
      </c>
      <c r="V231" s="22">
        <f t="shared" si="445"/>
        <v>2.0394152330183296E-2</v>
      </c>
      <c r="W231" s="22">
        <f t="shared" si="445"/>
        <v>1.7059327878324693E-2</v>
      </c>
      <c r="X231" s="22">
        <f t="shared" si="445"/>
        <v>2.2147769845855564E-2</v>
      </c>
      <c r="Y231" s="385">
        <f t="shared" si="445"/>
        <v>0</v>
      </c>
    </row>
    <row r="232" spans="1:25" x14ac:dyDescent="0.35">
      <c r="A232" s="11" t="s">
        <v>15</v>
      </c>
      <c r="B232" s="22">
        <f t="shared" ref="B232:Y232" si="446">B211/$Z$211</f>
        <v>0</v>
      </c>
      <c r="C232" s="22">
        <f t="shared" si="446"/>
        <v>0</v>
      </c>
      <c r="D232" s="22">
        <f t="shared" si="446"/>
        <v>0</v>
      </c>
      <c r="E232" s="22">
        <f t="shared" si="446"/>
        <v>0</v>
      </c>
      <c r="F232" s="22">
        <f t="shared" si="446"/>
        <v>0</v>
      </c>
      <c r="G232" s="22">
        <f t="shared" si="446"/>
        <v>0</v>
      </c>
      <c r="H232" s="22">
        <f t="shared" si="446"/>
        <v>0</v>
      </c>
      <c r="I232" s="22">
        <f t="shared" si="446"/>
        <v>0</v>
      </c>
      <c r="J232" s="22">
        <f t="shared" si="446"/>
        <v>0</v>
      </c>
      <c r="K232" s="22">
        <f t="shared" si="446"/>
        <v>0</v>
      </c>
      <c r="L232" s="22">
        <f t="shared" si="446"/>
        <v>0</v>
      </c>
      <c r="M232" s="22">
        <f t="shared" si="446"/>
        <v>0.71860986547085193</v>
      </c>
      <c r="N232" s="22">
        <f t="shared" si="446"/>
        <v>0</v>
      </c>
      <c r="O232" s="22">
        <f t="shared" si="446"/>
        <v>0</v>
      </c>
      <c r="P232" s="22">
        <f t="shared" si="446"/>
        <v>0.22197309417040353</v>
      </c>
      <c r="Q232" s="22">
        <f t="shared" si="446"/>
        <v>0</v>
      </c>
      <c r="R232" s="22">
        <f t="shared" si="446"/>
        <v>0</v>
      </c>
      <c r="S232" s="22">
        <f t="shared" si="446"/>
        <v>4.4843049327354251E-2</v>
      </c>
      <c r="T232" s="22">
        <f t="shared" si="446"/>
        <v>0</v>
      </c>
      <c r="U232" s="22">
        <f t="shared" si="446"/>
        <v>0</v>
      </c>
      <c r="V232" s="22">
        <f t="shared" si="446"/>
        <v>0</v>
      </c>
      <c r="W232" s="22">
        <f t="shared" si="446"/>
        <v>0</v>
      </c>
      <c r="X232" s="22">
        <f t="shared" si="446"/>
        <v>1.4573991031390131E-2</v>
      </c>
      <c r="Y232" s="385">
        <f t="shared" si="446"/>
        <v>0</v>
      </c>
    </row>
    <row r="233" spans="1:25" x14ac:dyDescent="0.35">
      <c r="A233" s="11" t="s">
        <v>16</v>
      </c>
      <c r="B233" s="22">
        <f t="shared" ref="B233:Y233" si="447">B214/$Z$214</f>
        <v>0</v>
      </c>
      <c r="C233" s="22">
        <f t="shared" si="447"/>
        <v>0</v>
      </c>
      <c r="D233" s="22">
        <f t="shared" si="447"/>
        <v>0</v>
      </c>
      <c r="E233" s="22">
        <f t="shared" si="447"/>
        <v>0</v>
      </c>
      <c r="F233" s="22">
        <f t="shared" si="447"/>
        <v>0</v>
      </c>
      <c r="G233" s="22">
        <f t="shared" si="447"/>
        <v>0</v>
      </c>
      <c r="H233" s="22">
        <f t="shared" si="447"/>
        <v>0</v>
      </c>
      <c r="I233" s="22">
        <f t="shared" si="447"/>
        <v>0</v>
      </c>
      <c r="J233" s="22">
        <f t="shared" si="447"/>
        <v>0</v>
      </c>
      <c r="K233" s="22">
        <f t="shared" si="447"/>
        <v>0</v>
      </c>
      <c r="L233" s="22">
        <f t="shared" si="447"/>
        <v>0</v>
      </c>
      <c r="M233" s="22">
        <f t="shared" si="447"/>
        <v>0</v>
      </c>
      <c r="N233" s="22">
        <f t="shared" si="447"/>
        <v>0</v>
      </c>
      <c r="O233" s="22">
        <f t="shared" si="447"/>
        <v>0</v>
      </c>
      <c r="P233" s="22">
        <f t="shared" si="447"/>
        <v>0</v>
      </c>
      <c r="Q233" s="22">
        <f t="shared" si="447"/>
        <v>0</v>
      </c>
      <c r="R233" s="22">
        <f t="shared" si="447"/>
        <v>0</v>
      </c>
      <c r="S233" s="22">
        <f t="shared" si="447"/>
        <v>0</v>
      </c>
      <c r="T233" s="22">
        <f t="shared" si="447"/>
        <v>0</v>
      </c>
      <c r="U233" s="22">
        <f t="shared" si="447"/>
        <v>0</v>
      </c>
      <c r="V233" s="22">
        <f t="shared" si="447"/>
        <v>1</v>
      </c>
      <c r="W233" s="22">
        <f t="shared" si="447"/>
        <v>0</v>
      </c>
      <c r="X233" s="22">
        <f t="shared" si="447"/>
        <v>0</v>
      </c>
      <c r="Y233" s="385">
        <f t="shared" si="447"/>
        <v>0</v>
      </c>
    </row>
    <row r="234" spans="1:25" x14ac:dyDescent="0.35">
      <c r="A234" s="11" t="s">
        <v>17</v>
      </c>
      <c r="B234" s="22">
        <f t="shared" ref="B234:Y234" si="448">B218/$Z$218</f>
        <v>0</v>
      </c>
      <c r="C234" s="22">
        <f t="shared" si="448"/>
        <v>0</v>
      </c>
      <c r="D234" s="22">
        <f t="shared" si="448"/>
        <v>0</v>
      </c>
      <c r="E234" s="22">
        <f t="shared" si="448"/>
        <v>0</v>
      </c>
      <c r="F234" s="22">
        <f t="shared" si="448"/>
        <v>0</v>
      </c>
      <c r="G234" s="22">
        <f t="shared" si="448"/>
        <v>0</v>
      </c>
      <c r="H234" s="22">
        <f t="shared" si="448"/>
        <v>0</v>
      </c>
      <c r="I234" s="22">
        <f t="shared" si="448"/>
        <v>0</v>
      </c>
      <c r="J234" s="22">
        <f t="shared" si="448"/>
        <v>0</v>
      </c>
      <c r="K234" s="22">
        <f t="shared" si="448"/>
        <v>0</v>
      </c>
      <c r="L234" s="22">
        <f t="shared" si="448"/>
        <v>0</v>
      </c>
      <c r="M234" s="22">
        <f t="shared" si="448"/>
        <v>0</v>
      </c>
      <c r="N234" s="22">
        <f t="shared" si="448"/>
        <v>0</v>
      </c>
      <c r="O234" s="22">
        <f t="shared" si="448"/>
        <v>0</v>
      </c>
      <c r="P234" s="22">
        <f t="shared" si="448"/>
        <v>0</v>
      </c>
      <c r="Q234" s="22">
        <f t="shared" si="448"/>
        <v>0</v>
      </c>
      <c r="R234" s="22">
        <f t="shared" si="448"/>
        <v>0</v>
      </c>
      <c r="S234" s="22">
        <f t="shared" si="448"/>
        <v>0</v>
      </c>
      <c r="T234" s="22">
        <f t="shared" si="448"/>
        <v>0</v>
      </c>
      <c r="U234" s="22">
        <f t="shared" si="448"/>
        <v>0</v>
      </c>
      <c r="V234" s="22">
        <f t="shared" si="448"/>
        <v>0.24886877828054296</v>
      </c>
      <c r="W234" s="22">
        <f t="shared" si="448"/>
        <v>0.33278486219662684</v>
      </c>
      <c r="X234" s="22">
        <f t="shared" si="448"/>
        <v>0.41711229946524064</v>
      </c>
      <c r="Y234" s="384">
        <f t="shared" si="448"/>
        <v>1.2340600575894691E-3</v>
      </c>
    </row>
    <row r="235" spans="1:25" x14ac:dyDescent="0.35">
      <c r="A235" s="11" t="s">
        <v>20</v>
      </c>
      <c r="B235" s="22">
        <f t="shared" ref="B235:Y235" si="449">B220/$Z$220</f>
        <v>0.64516129032258074</v>
      </c>
      <c r="C235" s="22">
        <f t="shared" si="449"/>
        <v>0</v>
      </c>
      <c r="D235" s="22">
        <f t="shared" si="449"/>
        <v>0</v>
      </c>
      <c r="E235" s="22">
        <f t="shared" si="449"/>
        <v>0</v>
      </c>
      <c r="F235" s="22">
        <f t="shared" si="449"/>
        <v>0</v>
      </c>
      <c r="G235" s="22">
        <f t="shared" si="449"/>
        <v>0</v>
      </c>
      <c r="H235" s="22">
        <f t="shared" si="449"/>
        <v>0</v>
      </c>
      <c r="I235" s="22">
        <f t="shared" si="449"/>
        <v>0</v>
      </c>
      <c r="J235" s="22">
        <f t="shared" si="449"/>
        <v>0</v>
      </c>
      <c r="K235" s="22">
        <f t="shared" si="449"/>
        <v>0</v>
      </c>
      <c r="L235" s="22">
        <f t="shared" si="449"/>
        <v>0</v>
      </c>
      <c r="M235" s="22">
        <f t="shared" si="449"/>
        <v>0</v>
      </c>
      <c r="N235" s="22">
        <f t="shared" si="449"/>
        <v>0</v>
      </c>
      <c r="O235" s="22">
        <f t="shared" si="449"/>
        <v>0</v>
      </c>
      <c r="P235" s="22">
        <f t="shared" si="449"/>
        <v>0</v>
      </c>
      <c r="Q235" s="22">
        <f t="shared" si="449"/>
        <v>0</v>
      </c>
      <c r="R235" s="22">
        <f t="shared" si="449"/>
        <v>0</v>
      </c>
      <c r="S235" s="22">
        <f t="shared" si="449"/>
        <v>0</v>
      </c>
      <c r="T235" s="22">
        <f t="shared" si="449"/>
        <v>0</v>
      </c>
      <c r="U235" s="22">
        <f t="shared" si="449"/>
        <v>0</v>
      </c>
      <c r="V235" s="22">
        <f t="shared" si="449"/>
        <v>0</v>
      </c>
      <c r="W235" s="22">
        <f t="shared" si="449"/>
        <v>0</v>
      </c>
      <c r="X235" s="22">
        <f t="shared" si="449"/>
        <v>0.23387096774193547</v>
      </c>
      <c r="Y235" s="384">
        <f t="shared" si="449"/>
        <v>0.12096774193548386</v>
      </c>
    </row>
    <row r="236" spans="1:25" x14ac:dyDescent="0.35">
      <c r="A236" s="11" t="s">
        <v>23</v>
      </c>
      <c r="B236" s="22">
        <f t="shared" ref="B236:Y236" si="450">B222/$Z$222</f>
        <v>0</v>
      </c>
      <c r="C236" s="22">
        <f t="shared" si="450"/>
        <v>0</v>
      </c>
      <c r="D236" s="22">
        <f t="shared" si="450"/>
        <v>0</v>
      </c>
      <c r="E236" s="22">
        <f t="shared" si="450"/>
        <v>0</v>
      </c>
      <c r="F236" s="22">
        <f t="shared" si="450"/>
        <v>0.14285714285714285</v>
      </c>
      <c r="G236" s="22">
        <f t="shared" si="450"/>
        <v>0</v>
      </c>
      <c r="H236" s="22">
        <f t="shared" si="450"/>
        <v>0</v>
      </c>
      <c r="I236" s="22">
        <f t="shared" si="450"/>
        <v>0</v>
      </c>
      <c r="J236" s="22">
        <f t="shared" si="450"/>
        <v>0</v>
      </c>
      <c r="K236" s="22">
        <f t="shared" si="450"/>
        <v>0</v>
      </c>
      <c r="L236" s="22">
        <f t="shared" si="450"/>
        <v>0</v>
      </c>
      <c r="M236" s="22">
        <f t="shared" si="450"/>
        <v>0</v>
      </c>
      <c r="N236" s="22">
        <f t="shared" si="450"/>
        <v>0</v>
      </c>
      <c r="O236" s="22">
        <f t="shared" si="450"/>
        <v>0</v>
      </c>
      <c r="P236" s="22">
        <f t="shared" si="450"/>
        <v>0</v>
      </c>
      <c r="Q236" s="22">
        <f t="shared" si="450"/>
        <v>0</v>
      </c>
      <c r="R236" s="22">
        <f t="shared" si="450"/>
        <v>0</v>
      </c>
      <c r="S236" s="22">
        <f t="shared" si="450"/>
        <v>0</v>
      </c>
      <c r="T236" s="22">
        <f t="shared" si="450"/>
        <v>0</v>
      </c>
      <c r="U236" s="22">
        <f t="shared" si="450"/>
        <v>0</v>
      </c>
      <c r="V236" s="22">
        <f t="shared" si="450"/>
        <v>0</v>
      </c>
      <c r="W236" s="22">
        <f t="shared" si="450"/>
        <v>0.8571428571428571</v>
      </c>
      <c r="X236" s="22">
        <f t="shared" si="450"/>
        <v>0</v>
      </c>
      <c r="Y236" s="385">
        <f t="shared" si="450"/>
        <v>0</v>
      </c>
    </row>
    <row r="237" spans="1:25" x14ac:dyDescent="0.35">
      <c r="A237" s="11" t="s">
        <v>25</v>
      </c>
      <c r="B237" s="22">
        <f t="shared" ref="B237:Y237" si="451">B224/$Z$224</f>
        <v>0.6264274790585076</v>
      </c>
      <c r="C237" s="22">
        <f t="shared" si="451"/>
        <v>4.4598180527298907E-2</v>
      </c>
      <c r="D237" s="22">
        <f t="shared" si="451"/>
        <v>1.0280159369421935E-2</v>
      </c>
      <c r="E237" s="22">
        <f t="shared" si="451"/>
        <v>1.060204001484653E-2</v>
      </c>
      <c r="F237" s="22">
        <f t="shared" si="451"/>
        <v>7.4001746472018579E-3</v>
      </c>
      <c r="G237" s="22">
        <f t="shared" si="451"/>
        <v>1.0737568707656886E-2</v>
      </c>
      <c r="H237" s="22">
        <f t="shared" si="451"/>
        <v>1.4449206772122334E-2</v>
      </c>
      <c r="I237" s="22">
        <f t="shared" si="451"/>
        <v>5.2686779330026138E-3</v>
      </c>
      <c r="J237" s="22">
        <f t="shared" si="451"/>
        <v>6.8950222467268904E-3</v>
      </c>
      <c r="K237" s="22">
        <f t="shared" si="451"/>
        <v>9.7796272652927781E-3</v>
      </c>
      <c r="L237" s="22">
        <f t="shared" si="451"/>
        <v>4.9483373863599507E-3</v>
      </c>
      <c r="M237" s="22">
        <f t="shared" si="451"/>
        <v>1.2604168431363161E-2</v>
      </c>
      <c r="N237" s="22">
        <f t="shared" si="451"/>
        <v>7.595767192507711E-3</v>
      </c>
      <c r="O237" s="22">
        <f t="shared" si="451"/>
        <v>1.1077930538464717E-2</v>
      </c>
      <c r="P237" s="22">
        <f t="shared" si="451"/>
        <v>1.9012519462998312E-2</v>
      </c>
      <c r="Q237" s="22">
        <f t="shared" si="451"/>
        <v>2.7344453873271387E-2</v>
      </c>
      <c r="R237" s="22">
        <f t="shared" si="451"/>
        <v>3.353719107543552E-2</v>
      </c>
      <c r="S237" s="22">
        <f t="shared" si="451"/>
        <v>2.5913702104852939E-2</v>
      </c>
      <c r="T237" s="22">
        <f t="shared" si="451"/>
        <v>2.5306903184770212E-2</v>
      </c>
      <c r="U237" s="22">
        <f t="shared" si="451"/>
        <v>2.2999835209430278E-2</v>
      </c>
      <c r="V237" s="22">
        <f t="shared" si="451"/>
        <v>2.1167117658926596E-2</v>
      </c>
      <c r="W237" s="22">
        <f t="shared" si="451"/>
        <v>1.8398020049005911E-2</v>
      </c>
      <c r="X237" s="22">
        <f t="shared" si="451"/>
        <v>2.3626655413678178E-2</v>
      </c>
      <c r="Y237" s="385">
        <f t="shared" si="451"/>
        <v>2.9261876856781537E-5</v>
      </c>
    </row>
    <row r="240" spans="1:25" ht="23.5" x14ac:dyDescent="0.35">
      <c r="A240" s="289" t="s">
        <v>68</v>
      </c>
      <c r="B240" s="289"/>
      <c r="C240" s="120"/>
      <c r="D240" s="120"/>
    </row>
    <row r="241" spans="1:33" ht="15.5" x14ac:dyDescent="0.35">
      <c r="A241" s="288" t="s">
        <v>98</v>
      </c>
    </row>
    <row r="242" spans="1:33" ht="18.5" x14ac:dyDescent="0.45">
      <c r="A242" s="108"/>
      <c r="D242" s="109"/>
      <c r="AA242" s="110"/>
    </row>
    <row r="243" spans="1:33" ht="76.5" customHeight="1" x14ac:dyDescent="0.35">
      <c r="A243" s="115" t="s">
        <v>0</v>
      </c>
      <c r="B243" s="195" t="s">
        <v>89</v>
      </c>
      <c r="C243" s="195">
        <v>2000</v>
      </c>
      <c r="D243" s="195">
        <v>2001</v>
      </c>
      <c r="E243" s="195">
        <v>2002</v>
      </c>
      <c r="F243" s="195">
        <v>2003</v>
      </c>
      <c r="G243" s="195">
        <v>2004</v>
      </c>
      <c r="H243" s="195">
        <v>2005</v>
      </c>
      <c r="I243" s="195">
        <v>2006</v>
      </c>
      <c r="J243" s="195">
        <v>2007</v>
      </c>
      <c r="K243" s="195">
        <v>2008</v>
      </c>
      <c r="L243" s="195">
        <v>2009</v>
      </c>
      <c r="M243" s="195">
        <v>2010</v>
      </c>
      <c r="N243" s="195">
        <v>2011</v>
      </c>
      <c r="O243" s="195">
        <v>2012</v>
      </c>
      <c r="P243" s="195">
        <v>2013</v>
      </c>
      <c r="Q243" s="195">
        <v>2014</v>
      </c>
      <c r="R243" s="195">
        <v>2015</v>
      </c>
      <c r="S243" s="195">
        <v>2016</v>
      </c>
      <c r="T243" s="195">
        <v>2017</v>
      </c>
      <c r="U243" s="195">
        <v>2018</v>
      </c>
      <c r="V243" s="195">
        <v>2019</v>
      </c>
      <c r="W243" s="195">
        <v>2020</v>
      </c>
      <c r="X243" s="195">
        <v>2021</v>
      </c>
      <c r="Y243" s="195" t="s">
        <v>90</v>
      </c>
      <c r="Z243" s="195" t="s">
        <v>91</v>
      </c>
      <c r="AA243" s="187" t="s">
        <v>92</v>
      </c>
      <c r="AC243" s="206" t="s">
        <v>93</v>
      </c>
      <c r="AD243" s="206" t="s">
        <v>107</v>
      </c>
      <c r="AE243" s="206" t="s">
        <v>94</v>
      </c>
      <c r="AF243" s="206" t="s">
        <v>96</v>
      </c>
      <c r="AG243" s="206" t="s">
        <v>97</v>
      </c>
    </row>
    <row r="244" spans="1:33" x14ac:dyDescent="0.35">
      <c r="A244" s="116" t="s">
        <v>5</v>
      </c>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38"/>
      <c r="Z244" s="117">
        <f>SUM(Z245:Z246)</f>
        <v>0</v>
      </c>
      <c r="AA244" s="185">
        <f t="shared" ref="AA244:AA288" si="452">Z244/$Z$289</f>
        <v>0</v>
      </c>
      <c r="AC244" s="117">
        <f t="shared" ref="AC244:AC260" si="453">SUM(B244:T244)</f>
        <v>0</v>
      </c>
      <c r="AD244" s="117">
        <f t="shared" ref="AD244:AD254" si="454">SUM(U244:X244)</f>
        <v>0</v>
      </c>
      <c r="AE244" s="117">
        <f t="shared" ref="AE244:AE289" si="455">Y244</f>
        <v>0</v>
      </c>
      <c r="AF244" s="117">
        <f t="shared" ref="AF244:AF262" si="456">SUM(AC244:AE244)</f>
        <v>0</v>
      </c>
      <c r="AG244" s="185"/>
    </row>
    <row r="245" spans="1:33" x14ac:dyDescent="0.35">
      <c r="A245" s="6" t="s">
        <v>8</v>
      </c>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v>0</v>
      </c>
      <c r="AA245" s="24">
        <f t="shared" si="452"/>
        <v>0</v>
      </c>
      <c r="AC245" s="89">
        <f t="shared" si="453"/>
        <v>0</v>
      </c>
      <c r="AD245" s="89">
        <f t="shared" si="454"/>
        <v>0</v>
      </c>
      <c r="AE245" s="89">
        <f t="shared" si="455"/>
        <v>0</v>
      </c>
      <c r="AF245" s="89">
        <f t="shared" si="456"/>
        <v>0</v>
      </c>
      <c r="AG245" s="24"/>
    </row>
    <row r="246" spans="1:33" x14ac:dyDescent="0.35">
      <c r="A246" s="6" t="s">
        <v>29</v>
      </c>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v>0</v>
      </c>
      <c r="AA246" s="24">
        <f t="shared" si="452"/>
        <v>0</v>
      </c>
      <c r="AC246" s="89">
        <f t="shared" si="453"/>
        <v>0</v>
      </c>
      <c r="AD246" s="89">
        <f t="shared" si="454"/>
        <v>0</v>
      </c>
      <c r="AE246" s="89">
        <f t="shared" si="455"/>
        <v>0</v>
      </c>
      <c r="AF246" s="89">
        <f t="shared" si="456"/>
        <v>0</v>
      </c>
      <c r="AG246" s="24"/>
    </row>
    <row r="247" spans="1:33" x14ac:dyDescent="0.35">
      <c r="A247" s="116" t="s">
        <v>12</v>
      </c>
      <c r="B247" s="117">
        <f>SUM(B248:B250)</f>
        <v>0.91999999999999993</v>
      </c>
      <c r="C247" s="117"/>
      <c r="D247" s="117"/>
      <c r="E247" s="117"/>
      <c r="F247" s="117"/>
      <c r="G247" s="117"/>
      <c r="H247" s="117"/>
      <c r="I247" s="117"/>
      <c r="J247" s="117"/>
      <c r="K247" s="117"/>
      <c r="L247" s="117"/>
      <c r="M247" s="117"/>
      <c r="N247" s="117"/>
      <c r="O247" s="117"/>
      <c r="P247" s="117"/>
      <c r="Q247" s="117"/>
      <c r="R247" s="117"/>
      <c r="S247" s="117"/>
      <c r="T247" s="117">
        <f>SUM(T248:T250)</f>
        <v>1.91</v>
      </c>
      <c r="U247" s="117">
        <f>SUM(U248:U250)</f>
        <v>1.58</v>
      </c>
      <c r="V247" s="117"/>
      <c r="W247" s="117"/>
      <c r="X247" s="117"/>
      <c r="Y247" s="138"/>
      <c r="Z247" s="117">
        <f>SUM(Z248:Z250)</f>
        <v>4.41</v>
      </c>
      <c r="AA247" s="185">
        <f t="shared" si="452"/>
        <v>3.5246163682864436E-2</v>
      </c>
      <c r="AC247" s="117">
        <f t="shared" si="453"/>
        <v>2.83</v>
      </c>
      <c r="AD247" s="117">
        <f t="shared" si="454"/>
        <v>1.58</v>
      </c>
      <c r="AE247" s="117">
        <f t="shared" si="455"/>
        <v>0</v>
      </c>
      <c r="AF247" s="117">
        <f t="shared" si="456"/>
        <v>4.41</v>
      </c>
      <c r="AG247" s="185">
        <f>AD247/AF247</f>
        <v>0.35827664399092973</v>
      </c>
    </row>
    <row r="248" spans="1:33" x14ac:dyDescent="0.35">
      <c r="A248" s="6" t="s">
        <v>31</v>
      </c>
      <c r="B248" s="12"/>
      <c r="C248" s="12"/>
      <c r="D248" s="12"/>
      <c r="E248" s="12"/>
      <c r="F248" s="12"/>
      <c r="G248" s="12"/>
      <c r="H248" s="12"/>
      <c r="I248" s="12"/>
      <c r="J248" s="12"/>
      <c r="K248" s="12"/>
      <c r="L248" s="12"/>
      <c r="M248" s="12"/>
      <c r="N248" s="12"/>
      <c r="O248" s="12"/>
      <c r="P248" s="12"/>
      <c r="Q248" s="12"/>
      <c r="R248" s="12"/>
      <c r="S248" s="12"/>
      <c r="T248" s="12">
        <v>1.91</v>
      </c>
      <c r="U248" s="12"/>
      <c r="V248" s="12"/>
      <c r="W248" s="12"/>
      <c r="X248" s="12"/>
      <c r="Y248" s="12"/>
      <c r="Z248" s="12">
        <f>SUM(B248:Y248)</f>
        <v>1.91</v>
      </c>
      <c r="AA248" s="24">
        <f t="shared" si="452"/>
        <v>1.5265345268542193E-2</v>
      </c>
      <c r="AC248" s="89">
        <f t="shared" si="453"/>
        <v>1.91</v>
      </c>
      <c r="AD248" s="89">
        <f t="shared" si="454"/>
        <v>0</v>
      </c>
      <c r="AE248" s="89">
        <f t="shared" si="455"/>
        <v>0</v>
      </c>
      <c r="AF248" s="89">
        <f t="shared" si="456"/>
        <v>1.91</v>
      </c>
      <c r="AG248" s="24">
        <f>AD248/AF248</f>
        <v>0</v>
      </c>
    </row>
    <row r="249" spans="1:33" x14ac:dyDescent="0.35">
      <c r="A249" s="6" t="s">
        <v>32</v>
      </c>
      <c r="B249" s="12">
        <v>0.91999999999999993</v>
      </c>
      <c r="C249" s="12"/>
      <c r="D249" s="12"/>
      <c r="E249" s="12"/>
      <c r="F249" s="12"/>
      <c r="G249" s="12"/>
      <c r="H249" s="12"/>
      <c r="I249" s="12"/>
      <c r="J249" s="12"/>
      <c r="K249" s="12"/>
      <c r="L249" s="12"/>
      <c r="M249" s="12"/>
      <c r="N249" s="12"/>
      <c r="O249" s="12"/>
      <c r="P249" s="12"/>
      <c r="Q249" s="12"/>
      <c r="R249" s="12"/>
      <c r="S249" s="12"/>
      <c r="T249" s="12"/>
      <c r="U249" s="12">
        <v>1.58</v>
      </c>
      <c r="V249" s="12"/>
      <c r="W249" s="12"/>
      <c r="X249" s="12"/>
      <c r="Y249" s="12"/>
      <c r="Z249" s="12">
        <f>SUM(B249:Y249)</f>
        <v>2.5</v>
      </c>
      <c r="AA249" s="24">
        <f t="shared" si="452"/>
        <v>1.9980818414322244E-2</v>
      </c>
      <c r="AC249" s="89">
        <f t="shared" si="453"/>
        <v>0.91999999999999993</v>
      </c>
      <c r="AD249" s="89">
        <f t="shared" si="454"/>
        <v>1.58</v>
      </c>
      <c r="AE249" s="89">
        <f t="shared" si="455"/>
        <v>0</v>
      </c>
      <c r="AF249" s="89">
        <f t="shared" si="456"/>
        <v>2.5</v>
      </c>
      <c r="AG249" s="24">
        <f>AD249/AF249</f>
        <v>0.63200000000000001</v>
      </c>
    </row>
    <row r="250" spans="1:33" x14ac:dyDescent="0.35">
      <c r="A250" s="6" t="s">
        <v>33</v>
      </c>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v>0</v>
      </c>
      <c r="AA250" s="24">
        <f t="shared" si="452"/>
        <v>0</v>
      </c>
      <c r="AC250" s="89">
        <f t="shared" si="453"/>
        <v>0</v>
      </c>
      <c r="AD250" s="89">
        <f t="shared" si="454"/>
        <v>0</v>
      </c>
      <c r="AE250" s="89">
        <f t="shared" si="455"/>
        <v>0</v>
      </c>
      <c r="AF250" s="89">
        <f t="shared" si="456"/>
        <v>0</v>
      </c>
      <c r="AG250" s="24"/>
    </row>
    <row r="251" spans="1:33" x14ac:dyDescent="0.35">
      <c r="A251" s="116" t="s">
        <v>69</v>
      </c>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38"/>
      <c r="Z251" s="117"/>
      <c r="AA251" s="185">
        <f t="shared" si="452"/>
        <v>0</v>
      </c>
      <c r="AC251" s="117">
        <f t="shared" si="453"/>
        <v>0</v>
      </c>
      <c r="AD251" s="117">
        <f t="shared" si="454"/>
        <v>0</v>
      </c>
      <c r="AE251" s="117">
        <f t="shared" si="455"/>
        <v>0</v>
      </c>
      <c r="AF251" s="117">
        <f t="shared" si="456"/>
        <v>0</v>
      </c>
      <c r="AG251" s="185"/>
    </row>
    <row r="252" spans="1:33" x14ac:dyDescent="0.35">
      <c r="A252" s="6" t="s">
        <v>69</v>
      </c>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24">
        <f t="shared" si="452"/>
        <v>0</v>
      </c>
      <c r="AC252" s="89">
        <f t="shared" si="453"/>
        <v>0</v>
      </c>
      <c r="AD252" s="89">
        <f t="shared" si="454"/>
        <v>0</v>
      </c>
      <c r="AE252" s="89">
        <f t="shared" si="455"/>
        <v>0</v>
      </c>
      <c r="AF252" s="89">
        <f t="shared" si="456"/>
        <v>0</v>
      </c>
      <c r="AG252" s="24"/>
    </row>
    <row r="253" spans="1:33" x14ac:dyDescent="0.35">
      <c r="A253" s="116" t="s">
        <v>13</v>
      </c>
      <c r="B253" s="117">
        <v>49.59</v>
      </c>
      <c r="C253" s="117"/>
      <c r="D253" s="117"/>
      <c r="E253" s="117"/>
      <c r="F253" s="117"/>
      <c r="G253" s="117"/>
      <c r="H253" s="117"/>
      <c r="I253" s="117"/>
      <c r="J253" s="117"/>
      <c r="K253" s="117"/>
      <c r="L253" s="117"/>
      <c r="M253" s="117"/>
      <c r="N253" s="117"/>
      <c r="O253" s="138">
        <v>0.02</v>
      </c>
      <c r="P253" s="117"/>
      <c r="Q253" s="117"/>
      <c r="R253" s="117"/>
      <c r="S253" s="117"/>
      <c r="T253" s="117"/>
      <c r="U253" s="117"/>
      <c r="V253" s="117"/>
      <c r="W253" s="117">
        <v>1.42</v>
      </c>
      <c r="X253" s="117"/>
      <c r="Y253" s="181">
        <v>7.0000000000000007E-2</v>
      </c>
      <c r="Z253" s="117">
        <f>SUM(Z254:Z256)</f>
        <v>51.1</v>
      </c>
      <c r="AA253" s="185">
        <f t="shared" si="452"/>
        <v>0.40840792838874668</v>
      </c>
      <c r="AC253" s="117">
        <f t="shared" si="453"/>
        <v>49.610000000000007</v>
      </c>
      <c r="AD253" s="117">
        <f t="shared" si="454"/>
        <v>1.42</v>
      </c>
      <c r="AE253" s="117">
        <f t="shared" si="455"/>
        <v>7.0000000000000007E-2</v>
      </c>
      <c r="AF253" s="117">
        <f t="shared" si="456"/>
        <v>51.100000000000009</v>
      </c>
      <c r="AG253" s="185">
        <f>AD253/AF253</f>
        <v>2.7788649706457919E-2</v>
      </c>
    </row>
    <row r="254" spans="1:33" x14ac:dyDescent="0.35">
      <c r="A254" s="6" t="s">
        <v>34</v>
      </c>
      <c r="B254" s="12"/>
      <c r="C254" s="12"/>
      <c r="D254" s="12"/>
      <c r="E254" s="12"/>
      <c r="F254" s="12"/>
      <c r="G254" s="12"/>
      <c r="H254" s="12"/>
      <c r="I254" s="12"/>
      <c r="J254" s="12"/>
      <c r="K254" s="12"/>
      <c r="L254" s="12"/>
      <c r="M254" s="12"/>
      <c r="N254" s="12"/>
      <c r="O254" s="54">
        <v>0.02</v>
      </c>
      <c r="P254" s="12"/>
      <c r="Q254" s="12"/>
      <c r="R254" s="12"/>
      <c r="S254" s="12"/>
      <c r="T254" s="12"/>
      <c r="U254" s="12"/>
      <c r="V254" s="12"/>
      <c r="W254" s="12"/>
      <c r="X254" s="12"/>
      <c r="Y254" s="54">
        <v>7.0000000000000007E-2</v>
      </c>
      <c r="Z254" s="55">
        <f>SUM(B254:Y254)</f>
        <v>9.0000000000000011E-2</v>
      </c>
      <c r="AA254" s="24">
        <f t="shared" si="452"/>
        <v>7.1930946291560082E-4</v>
      </c>
      <c r="AC254" s="89">
        <f t="shared" si="453"/>
        <v>0.02</v>
      </c>
      <c r="AD254" s="89">
        <f t="shared" si="454"/>
        <v>0</v>
      </c>
      <c r="AE254" s="89">
        <f t="shared" si="455"/>
        <v>7.0000000000000007E-2</v>
      </c>
      <c r="AF254" s="89">
        <f t="shared" si="456"/>
        <v>9.0000000000000011E-2</v>
      </c>
      <c r="AG254" s="24">
        <f>AD254/AF254</f>
        <v>0</v>
      </c>
    </row>
    <row r="255" spans="1:33" x14ac:dyDescent="0.35">
      <c r="A255" s="6" t="s">
        <v>61</v>
      </c>
      <c r="B255" s="12">
        <v>49.589999999999996</v>
      </c>
      <c r="C255" s="12"/>
      <c r="D255" s="12"/>
      <c r="E255" s="12"/>
      <c r="F255" s="12"/>
      <c r="G255" s="12"/>
      <c r="H255" s="12"/>
      <c r="I255" s="12"/>
      <c r="J255" s="12"/>
      <c r="K255" s="12"/>
      <c r="L255" s="12"/>
      <c r="M255" s="12"/>
      <c r="N255" s="12"/>
      <c r="O255" s="12"/>
      <c r="P255" s="12"/>
      <c r="Q255" s="12"/>
      <c r="R255" s="12"/>
      <c r="S255" s="12"/>
      <c r="T255" s="12"/>
      <c r="U255" s="12"/>
      <c r="V255" s="12"/>
      <c r="W255" s="12">
        <v>1.42</v>
      </c>
      <c r="X255" s="12"/>
      <c r="Y255" s="12"/>
      <c r="Z255" s="12">
        <f>SUM(B255:Y255)</f>
        <v>51.01</v>
      </c>
      <c r="AA255" s="24">
        <f t="shared" si="452"/>
        <v>0.40768861892583103</v>
      </c>
      <c r="AC255" s="89">
        <f t="shared" si="453"/>
        <v>49.589999999999996</v>
      </c>
      <c r="AD255" s="89">
        <f t="shared" ref="AD255:AD288" si="457">SUM(U255:X255)</f>
        <v>1.42</v>
      </c>
      <c r="AE255" s="89">
        <f t="shared" si="455"/>
        <v>0</v>
      </c>
      <c r="AF255" s="89">
        <f t="shared" si="456"/>
        <v>51.01</v>
      </c>
      <c r="AG255" s="24">
        <f>AD255/AF255</f>
        <v>2.7837678886492846E-2</v>
      </c>
    </row>
    <row r="256" spans="1:33" x14ac:dyDescent="0.35">
      <c r="A256" s="6" t="s">
        <v>36</v>
      </c>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v>0</v>
      </c>
      <c r="AA256" s="24">
        <f t="shared" si="452"/>
        <v>0</v>
      </c>
      <c r="AC256" s="89">
        <f t="shared" si="453"/>
        <v>0</v>
      </c>
      <c r="AD256" s="89">
        <f t="shared" si="457"/>
        <v>0</v>
      </c>
      <c r="AE256" s="89">
        <f t="shared" si="455"/>
        <v>0</v>
      </c>
      <c r="AF256" s="89">
        <f t="shared" si="456"/>
        <v>0</v>
      </c>
      <c r="AG256" s="24"/>
    </row>
    <row r="257" spans="1:45" x14ac:dyDescent="0.35">
      <c r="A257" s="116" t="s">
        <v>16</v>
      </c>
      <c r="B257" s="117"/>
      <c r="C257" s="117"/>
      <c r="D257" s="117"/>
      <c r="E257" s="117"/>
      <c r="F257" s="117"/>
      <c r="G257" s="117"/>
      <c r="H257" s="117"/>
      <c r="I257" s="117"/>
      <c r="J257" s="117">
        <v>0.8</v>
      </c>
      <c r="K257" s="117"/>
      <c r="L257" s="117"/>
      <c r="M257" s="117"/>
      <c r="N257" s="117"/>
      <c r="O257" s="117"/>
      <c r="P257" s="117"/>
      <c r="Q257" s="117"/>
      <c r="R257" s="117"/>
      <c r="S257" s="117"/>
      <c r="T257" s="117"/>
      <c r="U257" s="117"/>
      <c r="V257" s="117"/>
      <c r="W257" s="117"/>
      <c r="X257" s="117"/>
      <c r="Y257" s="138"/>
      <c r="Z257" s="117">
        <f>SUM(Z258:Z260)</f>
        <v>0.8</v>
      </c>
      <c r="AA257" s="185">
        <f t="shared" si="452"/>
        <v>6.3938618925831183E-3</v>
      </c>
      <c r="AC257" s="117">
        <f t="shared" si="453"/>
        <v>0.8</v>
      </c>
      <c r="AD257" s="117">
        <f>SUM(U257:X257)</f>
        <v>0</v>
      </c>
      <c r="AE257" s="117">
        <f t="shared" si="455"/>
        <v>0</v>
      </c>
      <c r="AF257" s="117">
        <f t="shared" si="456"/>
        <v>0.8</v>
      </c>
      <c r="AG257" s="185">
        <f>AD257/AF257</f>
        <v>0</v>
      </c>
    </row>
    <row r="258" spans="1:45" x14ac:dyDescent="0.35">
      <c r="A258" s="6" t="s">
        <v>47</v>
      </c>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v>0</v>
      </c>
      <c r="AA258" s="24">
        <f t="shared" si="452"/>
        <v>0</v>
      </c>
      <c r="AC258" s="89">
        <f t="shared" si="453"/>
        <v>0</v>
      </c>
      <c r="AD258" s="89">
        <f t="shared" si="457"/>
        <v>0</v>
      </c>
      <c r="AE258" s="89">
        <f t="shared" si="455"/>
        <v>0</v>
      </c>
      <c r="AF258" s="89">
        <f t="shared" si="456"/>
        <v>0</v>
      </c>
      <c r="AG258" s="24"/>
      <c r="AJ258" s="210" t="s">
        <v>255</v>
      </c>
      <c r="AP258" s="342"/>
      <c r="AQ258" s="342" t="s">
        <v>256</v>
      </c>
      <c r="AR258" s="342" t="s">
        <v>96</v>
      </c>
      <c r="AS258" s="342" t="s">
        <v>257</v>
      </c>
    </row>
    <row r="259" spans="1:45" x14ac:dyDescent="0.35">
      <c r="A259" s="6" t="s">
        <v>48</v>
      </c>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v>0</v>
      </c>
      <c r="AA259" s="24">
        <f t="shared" si="452"/>
        <v>0</v>
      </c>
      <c r="AC259" s="89">
        <f t="shared" si="453"/>
        <v>0</v>
      </c>
      <c r="AD259" s="89">
        <f t="shared" si="457"/>
        <v>0</v>
      </c>
      <c r="AE259" s="89">
        <f t="shared" si="455"/>
        <v>0</v>
      </c>
      <c r="AF259" s="89">
        <f t="shared" si="456"/>
        <v>0</v>
      </c>
      <c r="AG259" s="24"/>
      <c r="AK259" t="s">
        <v>256</v>
      </c>
      <c r="AL259" t="s">
        <v>96</v>
      </c>
      <c r="AM259" t="s">
        <v>257</v>
      </c>
      <c r="AP259" s="116" t="s">
        <v>12</v>
      </c>
      <c r="AQ259" s="343">
        <v>1.58</v>
      </c>
      <c r="AR259" s="343">
        <v>4.41</v>
      </c>
      <c r="AS259" s="190">
        <f t="shared" ref="AS259" si="458">AQ259/AR259</f>
        <v>0.35827664399092973</v>
      </c>
    </row>
    <row r="260" spans="1:45" x14ac:dyDescent="0.35">
      <c r="A260" s="6" t="s">
        <v>53</v>
      </c>
      <c r="B260" s="12"/>
      <c r="C260" s="12"/>
      <c r="D260" s="12"/>
      <c r="E260" s="12"/>
      <c r="F260" s="12"/>
      <c r="G260" s="12"/>
      <c r="H260" s="12"/>
      <c r="I260" s="12"/>
      <c r="J260" s="12">
        <v>0.8</v>
      </c>
      <c r="K260" s="12"/>
      <c r="L260" s="12"/>
      <c r="M260" s="12"/>
      <c r="N260" s="12"/>
      <c r="O260" s="12"/>
      <c r="P260" s="12"/>
      <c r="Q260" s="12"/>
      <c r="R260" s="12"/>
      <c r="S260" s="12"/>
      <c r="T260" s="12"/>
      <c r="U260" s="12"/>
      <c r="V260" s="12"/>
      <c r="W260" s="12"/>
      <c r="X260" s="12"/>
      <c r="Y260" s="12"/>
      <c r="Z260" s="12">
        <f>SUM(B260:Y260)</f>
        <v>0.8</v>
      </c>
      <c r="AA260" s="24">
        <f t="shared" si="452"/>
        <v>6.3938618925831183E-3</v>
      </c>
      <c r="AC260" s="89">
        <f t="shared" si="453"/>
        <v>0.8</v>
      </c>
      <c r="AD260" s="89">
        <f t="shared" si="457"/>
        <v>0</v>
      </c>
      <c r="AE260" s="89">
        <f t="shared" si="455"/>
        <v>0</v>
      </c>
      <c r="AF260" s="89">
        <f t="shared" si="456"/>
        <v>0.8</v>
      </c>
      <c r="AG260" s="24">
        <f>AD260/AF260</f>
        <v>0</v>
      </c>
      <c r="AJ260" s="6" t="s">
        <v>32</v>
      </c>
      <c r="AK260" s="407">
        <v>1.58</v>
      </c>
      <c r="AL260" s="89">
        <v>2.5</v>
      </c>
      <c r="AM260" s="382">
        <f>AK260/AL260</f>
        <v>0.63200000000000001</v>
      </c>
      <c r="AP260" s="116" t="s">
        <v>13</v>
      </c>
      <c r="AQ260" s="343">
        <v>1.42</v>
      </c>
      <c r="AR260" s="343">
        <v>51.100000000000009</v>
      </c>
      <c r="AS260" s="190">
        <f>AQ260/AR260</f>
        <v>2.7788649706457919E-2</v>
      </c>
    </row>
    <row r="261" spans="1:45" x14ac:dyDescent="0.35">
      <c r="A261" s="116" t="s">
        <v>15</v>
      </c>
      <c r="B261" s="117"/>
      <c r="C261" s="117"/>
      <c r="D261" s="117"/>
      <c r="E261" s="117"/>
      <c r="F261" s="117"/>
      <c r="G261" s="117"/>
      <c r="H261" s="117"/>
      <c r="I261" s="117"/>
      <c r="J261" s="117"/>
      <c r="K261" s="117"/>
      <c r="L261" s="117"/>
      <c r="M261" s="117"/>
      <c r="N261" s="117"/>
      <c r="O261" s="117">
        <v>1.07</v>
      </c>
      <c r="P261" s="117"/>
      <c r="Q261" s="117"/>
      <c r="R261" s="117"/>
      <c r="S261" s="181">
        <v>0.47</v>
      </c>
      <c r="T261" s="117"/>
      <c r="U261" s="117"/>
      <c r="V261" s="181">
        <v>0.28000000000000003</v>
      </c>
      <c r="W261" s="117"/>
      <c r="X261" s="117"/>
      <c r="Y261" s="138"/>
      <c r="Z261" s="117">
        <f>SUM(Z262:Z265)</f>
        <v>1.82</v>
      </c>
      <c r="AA261" s="185">
        <f t="shared" si="452"/>
        <v>1.4546035805626594E-2</v>
      </c>
      <c r="AC261" s="117">
        <f>SUM(AC262:AC265)</f>
        <v>1.54</v>
      </c>
      <c r="AD261" s="117">
        <f>SUM(U261:X261)</f>
        <v>0.28000000000000003</v>
      </c>
      <c r="AE261" s="117">
        <f t="shared" si="455"/>
        <v>0</v>
      </c>
      <c r="AF261" s="117">
        <f t="shared" si="456"/>
        <v>1.82</v>
      </c>
      <c r="AG261" s="185">
        <f>AD261/AF261</f>
        <v>0.15384615384615385</v>
      </c>
      <c r="AJ261" s="6" t="s">
        <v>61</v>
      </c>
      <c r="AK261" s="407">
        <v>1.42</v>
      </c>
      <c r="AL261" s="89">
        <v>51.01</v>
      </c>
      <c r="AM261" s="382">
        <f t="shared" ref="AM261:AM266" si="459">AK261/AL261</f>
        <v>2.7837678886492846E-2</v>
      </c>
      <c r="AP261" s="116" t="s">
        <v>14</v>
      </c>
      <c r="AQ261" s="408">
        <v>0.81</v>
      </c>
      <c r="AR261" s="343">
        <v>64.720000000000013</v>
      </c>
      <c r="AS261" s="190">
        <f t="shared" ref="AS261:AS264" si="460">AQ261/AR261</f>
        <v>1.2515451174289245E-2</v>
      </c>
    </row>
    <row r="262" spans="1:45" x14ac:dyDescent="0.35">
      <c r="A262" s="6" t="s">
        <v>41</v>
      </c>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v>0</v>
      </c>
      <c r="AA262" s="24">
        <f t="shared" si="452"/>
        <v>0</v>
      </c>
      <c r="AC262" s="89">
        <f t="shared" ref="AC262:AC289" si="461">SUM(B262:T262)</f>
        <v>0</v>
      </c>
      <c r="AD262" s="89">
        <f t="shared" si="457"/>
        <v>0</v>
      </c>
      <c r="AE262" s="89">
        <f t="shared" si="455"/>
        <v>0</v>
      </c>
      <c r="AF262" s="89">
        <f t="shared" si="456"/>
        <v>0</v>
      </c>
      <c r="AG262" s="24"/>
      <c r="AJ262" s="6" t="s">
        <v>40</v>
      </c>
      <c r="AK262" s="407">
        <v>0.77</v>
      </c>
      <c r="AL262" s="89">
        <v>63.620000000000026</v>
      </c>
      <c r="AM262" s="382">
        <f t="shared" si="459"/>
        <v>1.2103112228858844E-2</v>
      </c>
      <c r="AP262" s="116" t="s">
        <v>15</v>
      </c>
      <c r="AQ262" s="408">
        <v>0.28000000000000003</v>
      </c>
      <c r="AR262" s="343">
        <v>1.82</v>
      </c>
      <c r="AS262" s="190">
        <f t="shared" si="460"/>
        <v>0.15384615384615385</v>
      </c>
    </row>
    <row r="263" spans="1:45" x14ac:dyDescent="0.35">
      <c r="A263" s="6" t="s">
        <v>43</v>
      </c>
      <c r="B263" s="12"/>
      <c r="C263" s="12"/>
      <c r="D263" s="12"/>
      <c r="E263" s="12"/>
      <c r="F263" s="12"/>
      <c r="G263" s="12"/>
      <c r="H263" s="12"/>
      <c r="I263" s="12"/>
      <c r="J263" s="12"/>
      <c r="K263" s="12"/>
      <c r="L263" s="12"/>
      <c r="M263" s="12"/>
      <c r="N263" s="12"/>
      <c r="O263" s="12">
        <v>1.07</v>
      </c>
      <c r="P263" s="12"/>
      <c r="Q263" s="12"/>
      <c r="R263" s="12"/>
      <c r="S263" s="12"/>
      <c r="T263" s="12"/>
      <c r="U263" s="12"/>
      <c r="V263" s="54">
        <v>0.28000000000000003</v>
      </c>
      <c r="W263" s="12"/>
      <c r="X263" s="12"/>
      <c r="Y263" s="12"/>
      <c r="Z263" s="12">
        <f>SUM(B263:Y263)</f>
        <v>1.35</v>
      </c>
      <c r="AA263" s="24">
        <f t="shared" si="452"/>
        <v>1.0789641943734012E-2</v>
      </c>
      <c r="AC263" s="89">
        <f t="shared" si="461"/>
        <v>1.07</v>
      </c>
      <c r="AD263" s="89">
        <f t="shared" si="457"/>
        <v>0.28000000000000003</v>
      </c>
      <c r="AE263" s="89">
        <f t="shared" si="455"/>
        <v>0</v>
      </c>
      <c r="AF263" s="89">
        <f t="shared" ref="AF263:AF288" si="462">SUM(AC263:AE263)</f>
        <v>1.35</v>
      </c>
      <c r="AG263" s="24">
        <f>AD263/AF263</f>
        <v>0.2074074074074074</v>
      </c>
      <c r="AJ263" s="6" t="s">
        <v>43</v>
      </c>
      <c r="AK263" s="407">
        <v>0.28000000000000003</v>
      </c>
      <c r="AL263" s="407">
        <v>1.35</v>
      </c>
      <c r="AM263" s="382">
        <f t="shared" si="459"/>
        <v>0.2074074074074074</v>
      </c>
      <c r="AP263" s="116" t="s">
        <v>23</v>
      </c>
      <c r="AQ263" s="408">
        <v>0.24</v>
      </c>
      <c r="AR263" s="343">
        <v>0.9</v>
      </c>
      <c r="AS263" s="190">
        <f t="shared" si="460"/>
        <v>0.26666666666666666</v>
      </c>
    </row>
    <row r="264" spans="1:45" x14ac:dyDescent="0.35">
      <c r="A264" s="6" t="s">
        <v>44</v>
      </c>
      <c r="B264" s="12"/>
      <c r="C264" s="12"/>
      <c r="D264" s="12"/>
      <c r="E264" s="12"/>
      <c r="F264" s="12"/>
      <c r="G264" s="12"/>
      <c r="H264" s="12"/>
      <c r="I264" s="12"/>
      <c r="J264" s="12"/>
      <c r="K264" s="12"/>
      <c r="L264" s="12"/>
      <c r="M264" s="12"/>
      <c r="N264" s="12"/>
      <c r="O264" s="12"/>
      <c r="P264" s="12"/>
      <c r="Q264" s="12"/>
      <c r="R264" s="12"/>
      <c r="S264" s="54">
        <v>0.47</v>
      </c>
      <c r="T264" s="12"/>
      <c r="U264" s="12"/>
      <c r="V264" s="12"/>
      <c r="W264" s="12"/>
      <c r="X264" s="12"/>
      <c r="Y264" s="12"/>
      <c r="Z264" s="54">
        <f>SUM(B264:Y264)</f>
        <v>0.47</v>
      </c>
      <c r="AA264" s="24">
        <f t="shared" si="452"/>
        <v>3.7563938618925814E-3</v>
      </c>
      <c r="AC264" s="89">
        <f t="shared" si="461"/>
        <v>0.47</v>
      </c>
      <c r="AD264" s="89">
        <f t="shared" si="457"/>
        <v>0</v>
      </c>
      <c r="AE264" s="89">
        <f t="shared" si="455"/>
        <v>0</v>
      </c>
      <c r="AF264" s="89">
        <f t="shared" si="462"/>
        <v>0.47</v>
      </c>
      <c r="AG264" s="24">
        <f>AD264/AF264</f>
        <v>0</v>
      </c>
      <c r="AJ264" s="6" t="s">
        <v>23</v>
      </c>
      <c r="AK264" s="407">
        <v>0.24</v>
      </c>
      <c r="AL264" s="407">
        <v>0.9</v>
      </c>
      <c r="AM264" s="382">
        <f t="shared" si="459"/>
        <v>0.26666666666666666</v>
      </c>
      <c r="AP264" s="116" t="s">
        <v>17</v>
      </c>
      <c r="AQ264" s="408">
        <v>7.0000000000000007E-2</v>
      </c>
      <c r="AR264" s="408">
        <v>9.0000000000000011E-2</v>
      </c>
      <c r="AS264" s="190">
        <f t="shared" si="460"/>
        <v>0.77777777777777779</v>
      </c>
    </row>
    <row r="265" spans="1:45" x14ac:dyDescent="0.35">
      <c r="A265" s="6" t="s">
        <v>45</v>
      </c>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v>0</v>
      </c>
      <c r="AA265" s="24">
        <f t="shared" si="452"/>
        <v>0</v>
      </c>
      <c r="AC265" s="89">
        <f t="shared" si="461"/>
        <v>0</v>
      </c>
      <c r="AD265" s="89">
        <f t="shared" si="457"/>
        <v>0</v>
      </c>
      <c r="AE265" s="89">
        <f t="shared" si="455"/>
        <v>0</v>
      </c>
      <c r="AF265" s="89">
        <f t="shared" si="462"/>
        <v>0</v>
      </c>
      <c r="AG265" s="24"/>
      <c r="AJ265" s="6" t="s">
        <v>56</v>
      </c>
      <c r="AK265" s="407">
        <v>7.0000000000000007E-2</v>
      </c>
      <c r="AL265" s="407">
        <v>9.0000000000000011E-2</v>
      </c>
      <c r="AM265" s="382">
        <f t="shared" si="459"/>
        <v>0.77777777777777779</v>
      </c>
      <c r="AP265" s="343"/>
      <c r="AQ265" s="343"/>
      <c r="AR265" s="190"/>
    </row>
    <row r="266" spans="1:45" x14ac:dyDescent="0.35">
      <c r="A266" s="116" t="s">
        <v>70</v>
      </c>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81">
        <v>0.38</v>
      </c>
      <c r="Z266" s="181">
        <v>0.38</v>
      </c>
      <c r="AA266" s="185">
        <f t="shared" si="452"/>
        <v>3.037084398976981E-3</v>
      </c>
      <c r="AC266" s="117">
        <f t="shared" si="461"/>
        <v>0</v>
      </c>
      <c r="AD266" s="117">
        <f>SUM(U266:X266)</f>
        <v>0</v>
      </c>
      <c r="AE266" s="117">
        <f t="shared" si="455"/>
        <v>0.38</v>
      </c>
      <c r="AF266" s="117">
        <f>SUM(AC266:AE266)</f>
        <v>0.38</v>
      </c>
      <c r="AG266" s="185">
        <f>AD266/AF266</f>
        <v>0</v>
      </c>
      <c r="AJ266" s="6" t="s">
        <v>39</v>
      </c>
      <c r="AK266" s="407">
        <v>0.04</v>
      </c>
      <c r="AL266" s="407">
        <v>0.28999999999999998</v>
      </c>
      <c r="AM266" s="382">
        <f t="shared" si="459"/>
        <v>0.13793103448275865</v>
      </c>
    </row>
    <row r="267" spans="1:45" x14ac:dyDescent="0.35">
      <c r="A267" s="6" t="s">
        <v>70</v>
      </c>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54">
        <v>0.38</v>
      </c>
      <c r="Z267" s="54">
        <v>0.38</v>
      </c>
      <c r="AA267" s="24">
        <f t="shared" si="452"/>
        <v>3.037084398976981E-3</v>
      </c>
      <c r="AC267" s="89">
        <f t="shared" si="461"/>
        <v>0</v>
      </c>
      <c r="AD267" s="89">
        <f t="shared" si="457"/>
        <v>0</v>
      </c>
      <c r="AE267" s="89">
        <f t="shared" si="455"/>
        <v>0.38</v>
      </c>
      <c r="AF267" s="89">
        <f t="shared" si="462"/>
        <v>0.38</v>
      </c>
      <c r="AG267" s="24">
        <f>AD267/AF267</f>
        <v>0</v>
      </c>
    </row>
    <row r="268" spans="1:45" x14ac:dyDescent="0.35">
      <c r="A268" s="116" t="s">
        <v>14</v>
      </c>
      <c r="B268" s="117">
        <f t="shared" ref="B268:X268" si="463">SUM(B269:B272)</f>
        <v>39.750000000000014</v>
      </c>
      <c r="C268" s="181">
        <f t="shared" si="463"/>
        <v>0.3</v>
      </c>
      <c r="D268" s="117"/>
      <c r="E268" s="117"/>
      <c r="F268" s="117"/>
      <c r="G268" s="117"/>
      <c r="H268" s="181">
        <f t="shared" si="463"/>
        <v>0.49</v>
      </c>
      <c r="I268" s="117"/>
      <c r="J268" s="117"/>
      <c r="K268" s="117"/>
      <c r="L268" s="181">
        <f t="shared" si="463"/>
        <v>0.35</v>
      </c>
      <c r="M268" s="181">
        <f t="shared" si="463"/>
        <v>0.11</v>
      </c>
      <c r="N268" s="117"/>
      <c r="O268" s="117"/>
      <c r="P268" s="138">
        <f t="shared" si="463"/>
        <v>0.01</v>
      </c>
      <c r="Q268" s="181">
        <f t="shared" si="463"/>
        <v>0.25</v>
      </c>
      <c r="R268" s="117">
        <f t="shared" si="463"/>
        <v>12.06</v>
      </c>
      <c r="S268" s="117">
        <f t="shared" si="463"/>
        <v>1.6300000000000001</v>
      </c>
      <c r="T268" s="117">
        <f t="shared" si="463"/>
        <v>8.9600000000000009</v>
      </c>
      <c r="U268" s="181">
        <f t="shared" si="463"/>
        <v>0.14000000000000001</v>
      </c>
      <c r="V268" s="181">
        <f t="shared" si="463"/>
        <v>0.28000000000000003</v>
      </c>
      <c r="W268" s="117"/>
      <c r="X268" s="181">
        <f t="shared" si="463"/>
        <v>0.39</v>
      </c>
      <c r="Y268" s="117"/>
      <c r="Z268" s="117">
        <f>SUM(Z269:Z272)</f>
        <v>64.720000000000027</v>
      </c>
      <c r="AA268" s="185">
        <f t="shared" si="452"/>
        <v>0.51726342710997442</v>
      </c>
      <c r="AC268" s="117">
        <f t="shared" si="461"/>
        <v>63.910000000000018</v>
      </c>
      <c r="AD268" s="117">
        <f>SUM(U268:X268)</f>
        <v>0.81</v>
      </c>
      <c r="AE268" s="117">
        <f t="shared" si="455"/>
        <v>0</v>
      </c>
      <c r="AF268" s="117">
        <f>SUM(AC268:AE268)</f>
        <v>64.720000000000013</v>
      </c>
      <c r="AG268" s="185">
        <f>AD268/AF268</f>
        <v>1.2515451174289245E-2</v>
      </c>
    </row>
    <row r="269" spans="1:45" x14ac:dyDescent="0.35">
      <c r="A269" s="6" t="s">
        <v>37</v>
      </c>
      <c r="B269" s="12">
        <v>0.51</v>
      </c>
      <c r="C269" s="55">
        <v>0.3</v>
      </c>
      <c r="D269" s="12"/>
      <c r="E269" s="12"/>
      <c r="F269" s="12"/>
      <c r="G269" s="12"/>
      <c r="H269" s="12"/>
      <c r="I269" s="12"/>
      <c r="J269" s="12"/>
      <c r="K269" s="12"/>
      <c r="L269" s="12"/>
      <c r="M269" s="12"/>
      <c r="N269" s="12"/>
      <c r="O269" s="12"/>
      <c r="P269" s="12"/>
      <c r="Q269" s="12"/>
      <c r="R269" s="12"/>
      <c r="S269" s="12"/>
      <c r="T269" s="12"/>
      <c r="U269" s="12"/>
      <c r="V269" s="12"/>
      <c r="W269" s="12"/>
      <c r="X269" s="12"/>
      <c r="Y269" s="12"/>
      <c r="Z269" s="12">
        <f>SUM(B269:Y269)</f>
        <v>0.81</v>
      </c>
      <c r="AA269" s="24">
        <f t="shared" si="452"/>
        <v>6.473785166240407E-3</v>
      </c>
      <c r="AC269" s="89">
        <f t="shared" si="461"/>
        <v>0.81</v>
      </c>
      <c r="AD269" s="89">
        <f t="shared" si="457"/>
        <v>0</v>
      </c>
      <c r="AE269" s="89">
        <f t="shared" si="455"/>
        <v>0</v>
      </c>
      <c r="AF269" s="89">
        <f t="shared" si="462"/>
        <v>0.81</v>
      </c>
      <c r="AG269" s="24">
        <f>AD269/AF269</f>
        <v>0</v>
      </c>
    </row>
    <row r="270" spans="1:45" x14ac:dyDescent="0.35">
      <c r="A270" s="6" t="s">
        <v>38</v>
      </c>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v>0</v>
      </c>
      <c r="AA270" s="24">
        <f t="shared" si="452"/>
        <v>0</v>
      </c>
      <c r="AC270" s="89">
        <f t="shared" si="461"/>
        <v>0</v>
      </c>
      <c r="AD270" s="89">
        <f t="shared" si="457"/>
        <v>0</v>
      </c>
      <c r="AE270" s="89">
        <f t="shared" si="455"/>
        <v>0</v>
      </c>
      <c r="AF270" s="89">
        <f t="shared" si="462"/>
        <v>0</v>
      </c>
      <c r="AG270" s="24"/>
    </row>
    <row r="271" spans="1:45" x14ac:dyDescent="0.35">
      <c r="A271" s="6" t="s">
        <v>39</v>
      </c>
      <c r="B271" s="12"/>
      <c r="C271" s="12"/>
      <c r="D271" s="12"/>
      <c r="E271" s="12"/>
      <c r="F271" s="12"/>
      <c r="G271" s="12"/>
      <c r="H271" s="12"/>
      <c r="I271" s="12"/>
      <c r="J271" s="12"/>
      <c r="K271" s="12"/>
      <c r="L271" s="12"/>
      <c r="M271" s="12"/>
      <c r="N271" s="12"/>
      <c r="O271" s="12"/>
      <c r="P271" s="12"/>
      <c r="Q271" s="54">
        <v>0.25</v>
      </c>
      <c r="R271" s="12"/>
      <c r="S271" s="12"/>
      <c r="T271" s="12"/>
      <c r="U271" s="12"/>
      <c r="V271" s="12"/>
      <c r="W271" s="12"/>
      <c r="X271" s="54">
        <v>0.04</v>
      </c>
      <c r="Y271" s="12"/>
      <c r="Z271" s="54">
        <f>SUM(B271:Y271)</f>
        <v>0.28999999999999998</v>
      </c>
      <c r="AA271" s="24">
        <f t="shared" si="452"/>
        <v>2.3177749360613802E-3</v>
      </c>
      <c r="AC271" s="89">
        <f t="shared" si="461"/>
        <v>0.25</v>
      </c>
      <c r="AD271" s="89">
        <f t="shared" si="457"/>
        <v>0.04</v>
      </c>
      <c r="AE271" s="89">
        <f t="shared" si="455"/>
        <v>0</v>
      </c>
      <c r="AF271" s="89">
        <f t="shared" si="462"/>
        <v>0.28999999999999998</v>
      </c>
      <c r="AG271" s="24">
        <f>AD271/AF271</f>
        <v>0.13793103448275865</v>
      </c>
    </row>
    <row r="272" spans="1:45" x14ac:dyDescent="0.35">
      <c r="A272" s="6" t="s">
        <v>40</v>
      </c>
      <c r="B272" s="12">
        <v>39.240000000000016</v>
      </c>
      <c r="C272" s="12"/>
      <c r="D272" s="12"/>
      <c r="E272" s="12"/>
      <c r="F272" s="12"/>
      <c r="G272" s="12"/>
      <c r="H272" s="54">
        <v>0.49</v>
      </c>
      <c r="I272" s="12"/>
      <c r="J272" s="12"/>
      <c r="K272" s="12"/>
      <c r="L272" s="54">
        <v>0.35</v>
      </c>
      <c r="M272" s="54">
        <v>0.11</v>
      </c>
      <c r="N272" s="12"/>
      <c r="O272" s="12"/>
      <c r="P272" s="54">
        <v>0.01</v>
      </c>
      <c r="Q272" s="12"/>
      <c r="R272" s="12">
        <v>12.06</v>
      </c>
      <c r="S272" s="12">
        <v>1.6300000000000001</v>
      </c>
      <c r="T272" s="12">
        <v>8.9600000000000009</v>
      </c>
      <c r="U272" s="54">
        <v>0.14000000000000001</v>
      </c>
      <c r="V272" s="54">
        <v>0.28000000000000003</v>
      </c>
      <c r="W272" s="12"/>
      <c r="X272" s="54">
        <v>0.35000000000000003</v>
      </c>
      <c r="Y272" s="12"/>
      <c r="Z272" s="12">
        <f>SUM(B272:Y272)</f>
        <v>63.620000000000026</v>
      </c>
      <c r="AA272" s="24">
        <f t="shared" si="452"/>
        <v>0.50847186700767266</v>
      </c>
      <c r="AC272" s="89">
        <f t="shared" si="461"/>
        <v>62.850000000000023</v>
      </c>
      <c r="AD272" s="89">
        <f t="shared" si="457"/>
        <v>0.77</v>
      </c>
      <c r="AE272" s="89">
        <f t="shared" si="455"/>
        <v>0</v>
      </c>
      <c r="AF272" s="89">
        <f t="shared" si="462"/>
        <v>63.620000000000026</v>
      </c>
      <c r="AG272" s="24">
        <f>AD272/AF272</f>
        <v>1.2103112228858844E-2</v>
      </c>
    </row>
    <row r="273" spans="1:33" x14ac:dyDescent="0.35">
      <c r="A273" s="116" t="s">
        <v>17</v>
      </c>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81">
        <v>7.0000000000000007E-2</v>
      </c>
      <c r="X273" s="117"/>
      <c r="Y273" s="138">
        <v>0.02</v>
      </c>
      <c r="Z273" s="181">
        <f>SUM(Z274:Z275)</f>
        <v>9.0000000000000011E-2</v>
      </c>
      <c r="AA273" s="185">
        <f t="shared" si="452"/>
        <v>7.1930946291560082E-4</v>
      </c>
      <c r="AC273" s="117">
        <f t="shared" si="461"/>
        <v>0</v>
      </c>
      <c r="AD273" s="117">
        <f>SUM(U273:X273)</f>
        <v>7.0000000000000007E-2</v>
      </c>
      <c r="AE273" s="117">
        <f t="shared" si="455"/>
        <v>0.02</v>
      </c>
      <c r="AF273" s="117">
        <f>SUM(AC273:AE273)</f>
        <v>9.0000000000000011E-2</v>
      </c>
      <c r="AG273" s="185">
        <f>AD273/AF273</f>
        <v>0.77777777777777779</v>
      </c>
    </row>
    <row r="274" spans="1:33" x14ac:dyDescent="0.35">
      <c r="A274" s="6" t="s">
        <v>55</v>
      </c>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v>0</v>
      </c>
      <c r="AA274" s="24">
        <f t="shared" si="452"/>
        <v>0</v>
      </c>
      <c r="AC274" s="89">
        <f t="shared" si="461"/>
        <v>0</v>
      </c>
      <c r="AD274" s="89">
        <f t="shared" si="457"/>
        <v>0</v>
      </c>
      <c r="AE274" s="89">
        <f t="shared" si="455"/>
        <v>0</v>
      </c>
      <c r="AF274" s="89">
        <f t="shared" si="462"/>
        <v>0</v>
      </c>
      <c r="AG274" s="24"/>
    </row>
    <row r="275" spans="1:33" x14ac:dyDescent="0.35">
      <c r="A275" s="6" t="s">
        <v>56</v>
      </c>
      <c r="B275" s="12"/>
      <c r="C275" s="12"/>
      <c r="D275" s="12"/>
      <c r="E275" s="12"/>
      <c r="F275" s="12"/>
      <c r="G275" s="12"/>
      <c r="H275" s="12"/>
      <c r="I275" s="12"/>
      <c r="J275" s="12"/>
      <c r="K275" s="12"/>
      <c r="L275" s="12"/>
      <c r="M275" s="12"/>
      <c r="N275" s="12"/>
      <c r="O275" s="12"/>
      <c r="P275" s="12"/>
      <c r="Q275" s="12"/>
      <c r="R275" s="12"/>
      <c r="S275" s="12"/>
      <c r="T275" s="12"/>
      <c r="U275" s="12"/>
      <c r="V275" s="12"/>
      <c r="W275" s="55">
        <v>7.0000000000000007E-2</v>
      </c>
      <c r="X275" s="12"/>
      <c r="Y275" s="54">
        <v>0.02</v>
      </c>
      <c r="Z275" s="55">
        <f>SUM(B275:Y275)</f>
        <v>9.0000000000000011E-2</v>
      </c>
      <c r="AA275" s="24">
        <f t="shared" si="452"/>
        <v>7.1930946291560082E-4</v>
      </c>
      <c r="AC275" s="89">
        <f t="shared" si="461"/>
        <v>0</v>
      </c>
      <c r="AD275" s="89">
        <f t="shared" si="457"/>
        <v>7.0000000000000007E-2</v>
      </c>
      <c r="AE275" s="89">
        <f t="shared" si="455"/>
        <v>0.02</v>
      </c>
      <c r="AF275" s="89">
        <f t="shared" si="462"/>
        <v>9.0000000000000011E-2</v>
      </c>
      <c r="AG275" s="24">
        <f>AD275/AF275</f>
        <v>0.77777777777777779</v>
      </c>
    </row>
    <row r="276" spans="1:33" x14ac:dyDescent="0.35">
      <c r="A276" s="116" t="s">
        <v>64</v>
      </c>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38">
        <v>0.43</v>
      </c>
      <c r="Z276" s="181">
        <f>SUM(Z277:Z280)</f>
        <v>0.43</v>
      </c>
      <c r="AA276" s="185">
        <f t="shared" si="452"/>
        <v>3.436700767263426E-3</v>
      </c>
      <c r="AC276" s="117">
        <f t="shared" si="461"/>
        <v>0</v>
      </c>
      <c r="AD276" s="117">
        <f>SUM(U276:X276)</f>
        <v>0</v>
      </c>
      <c r="AE276" s="117">
        <f t="shared" si="455"/>
        <v>0.43</v>
      </c>
      <c r="AF276" s="117">
        <f>SUM(AC276:AE276)</f>
        <v>0.43</v>
      </c>
      <c r="AG276" s="185">
        <f>AD276/AF276</f>
        <v>0</v>
      </c>
    </row>
    <row r="277" spans="1:33" x14ac:dyDescent="0.35">
      <c r="A277" s="6" t="s">
        <v>71</v>
      </c>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v>0</v>
      </c>
      <c r="AA277" s="24">
        <f t="shared" si="452"/>
        <v>0</v>
      </c>
      <c r="AC277" s="89">
        <f t="shared" si="461"/>
        <v>0</v>
      </c>
      <c r="AD277" s="89">
        <f t="shared" si="457"/>
        <v>0</v>
      </c>
      <c r="AE277" s="89">
        <f t="shared" si="455"/>
        <v>0</v>
      </c>
      <c r="AF277" s="89">
        <f t="shared" si="462"/>
        <v>0</v>
      </c>
      <c r="AG277" s="24"/>
    </row>
    <row r="278" spans="1:33" x14ac:dyDescent="0.35">
      <c r="A278" s="6" t="s">
        <v>65</v>
      </c>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v>0</v>
      </c>
      <c r="AA278" s="24">
        <f t="shared" si="452"/>
        <v>0</v>
      </c>
      <c r="AC278" s="89">
        <f t="shared" si="461"/>
        <v>0</v>
      </c>
      <c r="AD278" s="89">
        <f t="shared" si="457"/>
        <v>0</v>
      </c>
      <c r="AE278" s="89">
        <f t="shared" si="455"/>
        <v>0</v>
      </c>
      <c r="AF278" s="89">
        <f t="shared" si="462"/>
        <v>0</v>
      </c>
      <c r="AG278" s="24"/>
    </row>
    <row r="279" spans="1:33" x14ac:dyDescent="0.35">
      <c r="A279" s="6" t="s">
        <v>66</v>
      </c>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v>0</v>
      </c>
      <c r="AA279" s="24">
        <f t="shared" si="452"/>
        <v>0</v>
      </c>
      <c r="AC279" s="89">
        <f t="shared" si="461"/>
        <v>0</v>
      </c>
      <c r="AD279" s="89">
        <f t="shared" si="457"/>
        <v>0</v>
      </c>
      <c r="AE279" s="89">
        <f t="shared" si="455"/>
        <v>0</v>
      </c>
      <c r="AF279" s="89">
        <f t="shared" si="462"/>
        <v>0</v>
      </c>
      <c r="AG279" s="24"/>
    </row>
    <row r="280" spans="1:33" x14ac:dyDescent="0.35">
      <c r="A280" s="6" t="s">
        <v>72</v>
      </c>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54">
        <v>0.43</v>
      </c>
      <c r="Z280" s="54">
        <f>SUM(B280:Y280)</f>
        <v>0.43</v>
      </c>
      <c r="AA280" s="24">
        <f t="shared" si="452"/>
        <v>3.436700767263426E-3</v>
      </c>
      <c r="AC280" s="89">
        <f t="shared" si="461"/>
        <v>0</v>
      </c>
      <c r="AD280" s="89">
        <f t="shared" si="457"/>
        <v>0</v>
      </c>
      <c r="AE280" s="89">
        <f t="shared" si="455"/>
        <v>0.43</v>
      </c>
      <c r="AF280" s="89">
        <f t="shared" si="462"/>
        <v>0.43</v>
      </c>
      <c r="AG280" s="24">
        <f>AD280/AF280</f>
        <v>0</v>
      </c>
    </row>
    <row r="281" spans="1:33" x14ac:dyDescent="0.35">
      <c r="A281" s="116" t="s">
        <v>20</v>
      </c>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38"/>
      <c r="Z281" s="117">
        <v>0</v>
      </c>
      <c r="AA281" s="185">
        <f t="shared" si="452"/>
        <v>0</v>
      </c>
      <c r="AC281" s="117">
        <f t="shared" si="461"/>
        <v>0</v>
      </c>
      <c r="AD281" s="117">
        <f>SUM(U281:X281)</f>
        <v>0</v>
      </c>
      <c r="AE281" s="117">
        <f t="shared" si="455"/>
        <v>0</v>
      </c>
      <c r="AF281" s="117">
        <f>SUM(AC281:AE281)</f>
        <v>0</v>
      </c>
      <c r="AG281" s="185"/>
    </row>
    <row r="282" spans="1:33" x14ac:dyDescent="0.35">
      <c r="A282" s="6" t="s">
        <v>20</v>
      </c>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v>0</v>
      </c>
      <c r="AA282" s="24">
        <f t="shared" si="452"/>
        <v>0</v>
      </c>
      <c r="AC282" s="89">
        <f t="shared" si="461"/>
        <v>0</v>
      </c>
      <c r="AD282" s="89">
        <f t="shared" si="457"/>
        <v>0</v>
      </c>
      <c r="AE282" s="89">
        <f t="shared" si="455"/>
        <v>0</v>
      </c>
      <c r="AF282" s="89">
        <f t="shared" si="462"/>
        <v>0</v>
      </c>
      <c r="AG282" s="24"/>
    </row>
    <row r="283" spans="1:33" x14ac:dyDescent="0.35">
      <c r="A283" s="116" t="s">
        <v>23</v>
      </c>
      <c r="B283" s="117"/>
      <c r="C283" s="117"/>
      <c r="D283" s="117"/>
      <c r="E283" s="117"/>
      <c r="F283" s="117"/>
      <c r="G283" s="117"/>
      <c r="H283" s="117"/>
      <c r="I283" s="117"/>
      <c r="J283" s="117"/>
      <c r="K283" s="117"/>
      <c r="L283" s="117"/>
      <c r="M283" s="117"/>
      <c r="N283" s="117"/>
      <c r="O283" s="117"/>
      <c r="P283" s="117"/>
      <c r="Q283" s="117">
        <v>0.66</v>
      </c>
      <c r="R283" s="117"/>
      <c r="S283" s="117"/>
      <c r="T283" s="117"/>
      <c r="U283" s="117"/>
      <c r="V283" s="117"/>
      <c r="W283" s="181">
        <v>0.24</v>
      </c>
      <c r="X283" s="117"/>
      <c r="Y283" s="138"/>
      <c r="Z283" s="117">
        <f>SUM(B283:Y283)</f>
        <v>0.9</v>
      </c>
      <c r="AA283" s="185">
        <f t="shared" si="452"/>
        <v>7.1930946291560074E-3</v>
      </c>
      <c r="AC283" s="117">
        <f t="shared" si="461"/>
        <v>0.66</v>
      </c>
      <c r="AD283" s="117">
        <f>SUM(U283:X283)</f>
        <v>0.24</v>
      </c>
      <c r="AE283" s="117">
        <f t="shared" si="455"/>
        <v>0</v>
      </c>
      <c r="AF283" s="117">
        <f>SUM(AC283:AE283)</f>
        <v>0.9</v>
      </c>
      <c r="AG283" s="185">
        <f>AD283/AF283</f>
        <v>0.26666666666666666</v>
      </c>
    </row>
    <row r="284" spans="1:33" x14ac:dyDescent="0.35">
      <c r="A284" s="6" t="s">
        <v>23</v>
      </c>
      <c r="B284" s="12"/>
      <c r="C284" s="12"/>
      <c r="D284" s="12"/>
      <c r="E284" s="12"/>
      <c r="F284" s="12"/>
      <c r="G284" s="12"/>
      <c r="H284" s="12"/>
      <c r="I284" s="12"/>
      <c r="J284" s="12"/>
      <c r="K284" s="12"/>
      <c r="L284" s="12"/>
      <c r="M284" s="12"/>
      <c r="N284" s="12"/>
      <c r="O284" s="12"/>
      <c r="P284" s="12"/>
      <c r="Q284" s="12">
        <v>0.66</v>
      </c>
      <c r="R284" s="12"/>
      <c r="S284" s="12"/>
      <c r="T284" s="12"/>
      <c r="U284" s="12"/>
      <c r="V284" s="12"/>
      <c r="W284" s="54">
        <v>0.24</v>
      </c>
      <c r="X284" s="12"/>
      <c r="Y284" s="12"/>
      <c r="Z284" s="12">
        <f>SUM(B284:Y284)</f>
        <v>0.9</v>
      </c>
      <c r="AA284" s="24">
        <f t="shared" si="452"/>
        <v>7.1930946291560074E-3</v>
      </c>
      <c r="AC284" s="89">
        <f t="shared" si="461"/>
        <v>0.66</v>
      </c>
      <c r="AD284" s="89">
        <f t="shared" si="457"/>
        <v>0.24</v>
      </c>
      <c r="AE284" s="89">
        <f t="shared" si="455"/>
        <v>0</v>
      </c>
      <c r="AF284" s="89">
        <f t="shared" si="462"/>
        <v>0.9</v>
      </c>
      <c r="AG284" s="24">
        <f>AD284/AF284</f>
        <v>0.26666666666666666</v>
      </c>
    </row>
    <row r="285" spans="1:33" x14ac:dyDescent="0.35">
      <c r="A285" s="116" t="s">
        <v>24</v>
      </c>
      <c r="B285" s="181">
        <f>SUM(B286:B288)</f>
        <v>0.45999999999999996</v>
      </c>
      <c r="C285" s="117"/>
      <c r="D285" s="117"/>
      <c r="E285" s="117"/>
      <c r="F285" s="117"/>
      <c r="G285" s="117"/>
      <c r="H285" s="117"/>
      <c r="I285" s="117"/>
      <c r="J285" s="117"/>
      <c r="K285" s="117"/>
      <c r="L285" s="117"/>
      <c r="M285" s="117"/>
      <c r="N285" s="117"/>
      <c r="O285" s="138">
        <v>0.01</v>
      </c>
      <c r="P285" s="117"/>
      <c r="Q285" s="117"/>
      <c r="R285" s="117"/>
      <c r="S285" s="117"/>
      <c r="T285" s="117"/>
      <c r="U285" s="117"/>
      <c r="V285" s="117"/>
      <c r="W285" s="117"/>
      <c r="X285" s="117"/>
      <c r="Y285" s="138"/>
      <c r="Z285" s="181">
        <f>SUM(Z286:Z288)</f>
        <v>0.47</v>
      </c>
      <c r="AA285" s="185">
        <f t="shared" si="452"/>
        <v>3.7563938618925814E-3</v>
      </c>
      <c r="AC285" s="117">
        <f t="shared" si="461"/>
        <v>0.47</v>
      </c>
      <c r="AD285" s="117">
        <f>SUM(U285:X285)</f>
        <v>0</v>
      </c>
      <c r="AE285" s="117">
        <f t="shared" si="455"/>
        <v>0</v>
      </c>
      <c r="AF285" s="117">
        <f>SUM(AC285:AE285)</f>
        <v>0.47</v>
      </c>
      <c r="AG285" s="185">
        <f>AD285/AF285</f>
        <v>0</v>
      </c>
    </row>
    <row r="286" spans="1:33" x14ac:dyDescent="0.35">
      <c r="A286" s="6" t="s">
        <v>59</v>
      </c>
      <c r="B286" s="54">
        <v>0.31</v>
      </c>
      <c r="C286" s="12"/>
      <c r="D286" s="12"/>
      <c r="E286" s="12"/>
      <c r="F286" s="12"/>
      <c r="G286" s="12"/>
      <c r="H286" s="12"/>
      <c r="I286" s="12"/>
      <c r="J286" s="12"/>
      <c r="K286" s="12"/>
      <c r="L286" s="12"/>
      <c r="M286" s="12"/>
      <c r="N286" s="12"/>
      <c r="O286" s="54">
        <v>0.01</v>
      </c>
      <c r="P286" s="12"/>
      <c r="Q286" s="12"/>
      <c r="R286" s="12"/>
      <c r="S286" s="12"/>
      <c r="T286" s="12"/>
      <c r="U286" s="12"/>
      <c r="V286" s="12"/>
      <c r="W286" s="12"/>
      <c r="X286" s="12"/>
      <c r="Y286" s="12"/>
      <c r="Z286" s="54">
        <f>SUM(B286:Y286)</f>
        <v>0.32</v>
      </c>
      <c r="AA286" s="24">
        <f t="shared" si="452"/>
        <v>2.557544757033247E-3</v>
      </c>
      <c r="AC286" s="89">
        <f t="shared" si="461"/>
        <v>0.32</v>
      </c>
      <c r="AD286" s="89">
        <f t="shared" si="457"/>
        <v>0</v>
      </c>
      <c r="AE286" s="89">
        <f t="shared" si="455"/>
        <v>0</v>
      </c>
      <c r="AF286" s="89">
        <f t="shared" si="462"/>
        <v>0.32</v>
      </c>
      <c r="AG286" s="24">
        <f>AD286/AF286</f>
        <v>0</v>
      </c>
    </row>
    <row r="287" spans="1:33" x14ac:dyDescent="0.35">
      <c r="A287" s="6" t="s">
        <v>73</v>
      </c>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v>0</v>
      </c>
      <c r="AA287" s="24">
        <f t="shared" si="452"/>
        <v>0</v>
      </c>
      <c r="AC287" s="89">
        <f t="shared" si="461"/>
        <v>0</v>
      </c>
      <c r="AD287" s="89">
        <f t="shared" si="457"/>
        <v>0</v>
      </c>
      <c r="AE287" s="89">
        <f t="shared" si="455"/>
        <v>0</v>
      </c>
      <c r="AF287" s="89">
        <f t="shared" si="462"/>
        <v>0</v>
      </c>
      <c r="AG287" s="24"/>
    </row>
    <row r="288" spans="1:33" x14ac:dyDescent="0.35">
      <c r="A288" s="178" t="s">
        <v>74</v>
      </c>
      <c r="B288" s="54">
        <v>0.15</v>
      </c>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54">
        <f>SUM(B288:Y288)</f>
        <v>0.15</v>
      </c>
      <c r="AA288" s="24">
        <f t="shared" si="452"/>
        <v>1.1988491048593346E-3</v>
      </c>
      <c r="AC288" s="89">
        <f t="shared" si="461"/>
        <v>0.15</v>
      </c>
      <c r="AD288" s="89">
        <f t="shared" si="457"/>
        <v>0</v>
      </c>
      <c r="AE288" s="89">
        <f t="shared" si="455"/>
        <v>0</v>
      </c>
      <c r="AF288" s="89">
        <f t="shared" si="462"/>
        <v>0.15</v>
      </c>
      <c r="AG288" s="24">
        <f>AD288/AF288</f>
        <v>0</v>
      </c>
    </row>
    <row r="289" spans="1:33" ht="15.5" x14ac:dyDescent="0.35">
      <c r="A289" s="179" t="s">
        <v>25</v>
      </c>
      <c r="B289" s="114">
        <f>SUM(B285,B283,B281,B276,B273,B268,B266,B261,B257,B253,B251,B247,B244)</f>
        <v>90.720000000000013</v>
      </c>
      <c r="C289" s="114">
        <f t="shared" ref="C289:Y289" si="464">SUM(C285,C283,C281,C276,C273,C268,C266,C261,C257,C253,C251,C247,C244)</f>
        <v>0.3</v>
      </c>
      <c r="D289" s="114">
        <f t="shared" si="464"/>
        <v>0</v>
      </c>
      <c r="E289" s="114">
        <f t="shared" si="464"/>
        <v>0</v>
      </c>
      <c r="F289" s="114">
        <f t="shared" si="464"/>
        <v>0</v>
      </c>
      <c r="G289" s="114">
        <f t="shared" si="464"/>
        <v>0</v>
      </c>
      <c r="H289" s="114">
        <f t="shared" si="464"/>
        <v>0.49</v>
      </c>
      <c r="I289" s="114">
        <f t="shared" si="464"/>
        <v>0</v>
      </c>
      <c r="J289" s="114">
        <f t="shared" si="464"/>
        <v>0.8</v>
      </c>
      <c r="K289" s="114">
        <f t="shared" si="464"/>
        <v>0</v>
      </c>
      <c r="L289" s="114">
        <f t="shared" si="464"/>
        <v>0.35</v>
      </c>
      <c r="M289" s="114">
        <f t="shared" si="464"/>
        <v>0.11</v>
      </c>
      <c r="N289" s="114">
        <f t="shared" si="464"/>
        <v>0</v>
      </c>
      <c r="O289" s="114">
        <f t="shared" si="464"/>
        <v>1.1000000000000001</v>
      </c>
      <c r="P289" s="114">
        <f t="shared" si="464"/>
        <v>0.01</v>
      </c>
      <c r="Q289" s="114">
        <f t="shared" si="464"/>
        <v>0.91</v>
      </c>
      <c r="R289" s="114">
        <f t="shared" si="464"/>
        <v>12.06</v>
      </c>
      <c r="S289" s="114">
        <f t="shared" si="464"/>
        <v>2.1</v>
      </c>
      <c r="T289" s="114">
        <f t="shared" si="464"/>
        <v>10.870000000000001</v>
      </c>
      <c r="U289" s="114">
        <f t="shared" si="464"/>
        <v>1.7200000000000002</v>
      </c>
      <c r="V289" s="114">
        <f t="shared" si="464"/>
        <v>0.56000000000000005</v>
      </c>
      <c r="W289" s="114">
        <f t="shared" si="464"/>
        <v>1.73</v>
      </c>
      <c r="X289" s="114">
        <f t="shared" si="464"/>
        <v>0.39</v>
      </c>
      <c r="Y289" s="114">
        <f t="shared" si="464"/>
        <v>0.90000000000000013</v>
      </c>
      <c r="Z289" s="114">
        <f>SUM(Z244,Z247,Z253,Z257,Z261,Z266,Z268,Z273,Z276,Z281,Z283,Z285)</f>
        <v>125.12000000000005</v>
      </c>
      <c r="AA289" s="186">
        <f>SUM(AA244,AA247,AA251,AA253,AA257,AA261,AA266,AA268,AA273,AA276,AA281,AA283,AA285)</f>
        <v>0.99999999999999978</v>
      </c>
      <c r="AC289" s="114">
        <f t="shared" si="461"/>
        <v>119.82</v>
      </c>
      <c r="AD289" s="114">
        <f>SUM(U289:X289)</f>
        <v>4.3999999999999995</v>
      </c>
      <c r="AE289" s="114">
        <f t="shared" si="455"/>
        <v>0.90000000000000013</v>
      </c>
      <c r="AF289" s="114">
        <f>SUM(AC289:AE289)</f>
        <v>125.12</v>
      </c>
      <c r="AG289" s="204">
        <f>AD289/AF289</f>
        <v>3.5166240409207156E-2</v>
      </c>
    </row>
    <row r="290" spans="1:33" x14ac:dyDescent="0.35">
      <c r="A290" s="378" t="s">
        <v>253</v>
      </c>
      <c r="B290" s="379"/>
      <c r="C290" s="379">
        <f>C289+B289</f>
        <v>91.02000000000001</v>
      </c>
      <c r="D290" s="379">
        <f>D289+C290</f>
        <v>91.02000000000001</v>
      </c>
      <c r="E290" s="379">
        <f>E289+D290</f>
        <v>91.02000000000001</v>
      </c>
      <c r="F290" s="379">
        <f t="shared" ref="F290:X290" si="465">F289+E290</f>
        <v>91.02000000000001</v>
      </c>
      <c r="G290" s="379">
        <f t="shared" si="465"/>
        <v>91.02000000000001</v>
      </c>
      <c r="H290" s="379">
        <f t="shared" si="465"/>
        <v>91.51</v>
      </c>
      <c r="I290" s="379">
        <f t="shared" si="465"/>
        <v>91.51</v>
      </c>
      <c r="J290" s="379">
        <f t="shared" si="465"/>
        <v>92.31</v>
      </c>
      <c r="K290" s="379">
        <f t="shared" si="465"/>
        <v>92.31</v>
      </c>
      <c r="L290" s="379">
        <f t="shared" si="465"/>
        <v>92.66</v>
      </c>
      <c r="M290" s="379">
        <f t="shared" si="465"/>
        <v>92.77</v>
      </c>
      <c r="N290" s="379">
        <f t="shared" si="465"/>
        <v>92.77</v>
      </c>
      <c r="O290" s="379">
        <f t="shared" si="465"/>
        <v>93.86999999999999</v>
      </c>
      <c r="P290" s="379">
        <f t="shared" si="465"/>
        <v>93.88</v>
      </c>
      <c r="Q290" s="379">
        <f t="shared" si="465"/>
        <v>94.789999999999992</v>
      </c>
      <c r="R290" s="379">
        <f t="shared" si="465"/>
        <v>106.85</v>
      </c>
      <c r="S290" s="379">
        <f t="shared" si="465"/>
        <v>108.94999999999999</v>
      </c>
      <c r="T290" s="379">
        <f t="shared" si="465"/>
        <v>119.82</v>
      </c>
      <c r="U290" s="379">
        <f t="shared" si="465"/>
        <v>121.53999999999999</v>
      </c>
      <c r="V290" s="379">
        <f t="shared" si="465"/>
        <v>122.1</v>
      </c>
      <c r="W290" s="379">
        <f t="shared" si="465"/>
        <v>123.83</v>
      </c>
      <c r="X290" s="379">
        <f t="shared" si="465"/>
        <v>124.22</v>
      </c>
    </row>
    <row r="291" spans="1:33" x14ac:dyDescent="0.35">
      <c r="A291" s="380" t="s">
        <v>254</v>
      </c>
      <c r="B291" s="379"/>
      <c r="C291" s="381"/>
      <c r="D291" s="381">
        <f>D290/C290-1</f>
        <v>0</v>
      </c>
      <c r="E291" s="381">
        <f t="shared" ref="E291:X291" si="466">E290/D290-1</f>
        <v>0</v>
      </c>
      <c r="F291" s="381">
        <f t="shared" si="466"/>
        <v>0</v>
      </c>
      <c r="G291" s="381">
        <f t="shared" si="466"/>
        <v>0</v>
      </c>
      <c r="H291" s="381">
        <f t="shared" si="466"/>
        <v>5.3834322127004341E-3</v>
      </c>
      <c r="I291" s="381">
        <f t="shared" si="466"/>
        <v>0</v>
      </c>
      <c r="J291" s="381">
        <f t="shared" si="466"/>
        <v>8.7422139656867515E-3</v>
      </c>
      <c r="K291" s="381">
        <f t="shared" si="466"/>
        <v>0</v>
      </c>
      <c r="L291" s="381">
        <f t="shared" si="466"/>
        <v>3.7915718773697815E-3</v>
      </c>
      <c r="M291" s="381">
        <f t="shared" si="466"/>
        <v>1.1871357651629388E-3</v>
      </c>
      <c r="N291" s="381">
        <f t="shared" si="466"/>
        <v>0</v>
      </c>
      <c r="O291" s="381">
        <f t="shared" si="466"/>
        <v>1.1857281448744095E-2</v>
      </c>
      <c r="P291" s="381">
        <f t="shared" si="466"/>
        <v>1.0653030787266538E-4</v>
      </c>
      <c r="Q291" s="381">
        <f t="shared" si="466"/>
        <v>9.6932253941202084E-3</v>
      </c>
      <c r="R291" s="381">
        <f t="shared" si="466"/>
        <v>0.12722861061293389</v>
      </c>
      <c r="S291" s="381">
        <f t="shared" si="466"/>
        <v>1.9653720168460342E-2</v>
      </c>
      <c r="T291" s="381">
        <f t="shared" si="466"/>
        <v>9.9770536943552202E-2</v>
      </c>
      <c r="U291" s="381">
        <f t="shared" si="466"/>
        <v>1.43548656317809E-2</v>
      </c>
      <c r="V291" s="381">
        <f t="shared" si="466"/>
        <v>4.6075366134605833E-3</v>
      </c>
      <c r="W291" s="381">
        <f t="shared" si="466"/>
        <v>1.4168714168714125E-2</v>
      </c>
      <c r="X291" s="381">
        <f t="shared" si="466"/>
        <v>3.1494791246062803E-3</v>
      </c>
    </row>
    <row r="292" spans="1:33" ht="15.5" x14ac:dyDescent="0.35">
      <c r="A292" s="179" t="s">
        <v>99</v>
      </c>
      <c r="B292" s="122" t="s">
        <v>100</v>
      </c>
      <c r="C292" s="122">
        <v>2000</v>
      </c>
      <c r="D292" s="122">
        <v>2001</v>
      </c>
      <c r="E292" s="122">
        <v>2002</v>
      </c>
      <c r="F292" s="122">
        <v>2003</v>
      </c>
      <c r="G292" s="122">
        <v>2004</v>
      </c>
      <c r="H292" s="122">
        <v>2005</v>
      </c>
      <c r="I292" s="122">
        <v>2006</v>
      </c>
      <c r="J292" s="122">
        <v>2007</v>
      </c>
      <c r="K292" s="122">
        <v>2008</v>
      </c>
      <c r="L292" s="122">
        <v>2009</v>
      </c>
      <c r="M292" s="122">
        <v>2010</v>
      </c>
      <c r="N292" s="122">
        <v>2011</v>
      </c>
      <c r="O292" s="122">
        <v>2012</v>
      </c>
      <c r="P292" s="122">
        <v>2013</v>
      </c>
      <c r="Q292" s="122">
        <v>2014</v>
      </c>
      <c r="R292" s="122">
        <v>2015</v>
      </c>
      <c r="S292" s="122">
        <v>2016</v>
      </c>
      <c r="T292" s="122">
        <v>2017</v>
      </c>
      <c r="U292" s="122">
        <v>2018</v>
      </c>
      <c r="V292" s="122">
        <v>2019</v>
      </c>
      <c r="W292" s="122">
        <v>2020</v>
      </c>
      <c r="X292" s="123">
        <v>2021</v>
      </c>
      <c r="Y292" s="123" t="s">
        <v>90</v>
      </c>
    </row>
    <row r="293" spans="1:33" x14ac:dyDescent="0.35">
      <c r="A293" s="116" t="s">
        <v>5</v>
      </c>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384"/>
      <c r="AF293" s="141"/>
    </row>
    <row r="294" spans="1:33" x14ac:dyDescent="0.35">
      <c r="A294" s="116" t="s">
        <v>12</v>
      </c>
      <c r="B294" s="22">
        <f t="shared" ref="B294:Y294" si="467">B247/$Z$247</f>
        <v>0.20861678004535145</v>
      </c>
      <c r="C294" s="22">
        <f t="shared" si="467"/>
        <v>0</v>
      </c>
      <c r="D294" s="22">
        <f t="shared" si="467"/>
        <v>0</v>
      </c>
      <c r="E294" s="22">
        <f t="shared" si="467"/>
        <v>0</v>
      </c>
      <c r="F294" s="22">
        <f t="shared" si="467"/>
        <v>0</v>
      </c>
      <c r="G294" s="22">
        <f t="shared" si="467"/>
        <v>0</v>
      </c>
      <c r="H294" s="22">
        <f t="shared" si="467"/>
        <v>0</v>
      </c>
      <c r="I294" s="22">
        <f t="shared" si="467"/>
        <v>0</v>
      </c>
      <c r="J294" s="22">
        <f t="shared" si="467"/>
        <v>0</v>
      </c>
      <c r="K294" s="22">
        <f t="shared" si="467"/>
        <v>0</v>
      </c>
      <c r="L294" s="22">
        <f t="shared" si="467"/>
        <v>0</v>
      </c>
      <c r="M294" s="22">
        <f t="shared" si="467"/>
        <v>0</v>
      </c>
      <c r="N294" s="22">
        <f t="shared" si="467"/>
        <v>0</v>
      </c>
      <c r="O294" s="22">
        <f t="shared" si="467"/>
        <v>0</v>
      </c>
      <c r="P294" s="22">
        <f t="shared" si="467"/>
        <v>0</v>
      </c>
      <c r="Q294" s="22">
        <f t="shared" si="467"/>
        <v>0</v>
      </c>
      <c r="R294" s="22">
        <f t="shared" si="467"/>
        <v>0</v>
      </c>
      <c r="S294" s="22">
        <f t="shared" si="467"/>
        <v>0</v>
      </c>
      <c r="T294" s="22">
        <f t="shared" si="467"/>
        <v>0.43310657596371877</v>
      </c>
      <c r="U294" s="22">
        <f t="shared" si="467"/>
        <v>0.35827664399092973</v>
      </c>
      <c r="V294" s="22">
        <f t="shared" si="467"/>
        <v>0</v>
      </c>
      <c r="W294" s="22">
        <f t="shared" si="467"/>
        <v>0</v>
      </c>
      <c r="X294" s="22">
        <f t="shared" si="467"/>
        <v>0</v>
      </c>
      <c r="Y294" s="385">
        <f t="shared" si="467"/>
        <v>0</v>
      </c>
    </row>
    <row r="295" spans="1:33" x14ac:dyDescent="0.35">
      <c r="A295" s="116" t="s">
        <v>69</v>
      </c>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384"/>
    </row>
    <row r="296" spans="1:33" x14ac:dyDescent="0.35">
      <c r="A296" s="116" t="s">
        <v>13</v>
      </c>
      <c r="B296" s="22">
        <f t="shared" ref="B296:Y296" si="468">B253/$Z$253</f>
        <v>0.97045009784735814</v>
      </c>
      <c r="C296" s="22">
        <f t="shared" si="468"/>
        <v>0</v>
      </c>
      <c r="D296" s="22">
        <f t="shared" si="468"/>
        <v>0</v>
      </c>
      <c r="E296" s="22">
        <f t="shared" si="468"/>
        <v>0</v>
      </c>
      <c r="F296" s="22">
        <f t="shared" si="468"/>
        <v>0</v>
      </c>
      <c r="G296" s="22">
        <f t="shared" si="468"/>
        <v>0</v>
      </c>
      <c r="H296" s="22">
        <f t="shared" si="468"/>
        <v>0</v>
      </c>
      <c r="I296" s="22">
        <f t="shared" si="468"/>
        <v>0</v>
      </c>
      <c r="J296" s="22">
        <f t="shared" si="468"/>
        <v>0</v>
      </c>
      <c r="K296" s="22">
        <f t="shared" si="468"/>
        <v>0</v>
      </c>
      <c r="L296" s="22">
        <f t="shared" si="468"/>
        <v>0</v>
      </c>
      <c r="M296" s="22">
        <f t="shared" si="468"/>
        <v>0</v>
      </c>
      <c r="N296" s="22">
        <f t="shared" si="468"/>
        <v>0</v>
      </c>
      <c r="O296" s="22">
        <f t="shared" si="468"/>
        <v>3.9138943248532291E-4</v>
      </c>
      <c r="P296" s="22">
        <f t="shared" si="468"/>
        <v>0</v>
      </c>
      <c r="Q296" s="22">
        <f t="shared" si="468"/>
        <v>0</v>
      </c>
      <c r="R296" s="22">
        <f t="shared" si="468"/>
        <v>0</v>
      </c>
      <c r="S296" s="22">
        <f t="shared" si="468"/>
        <v>0</v>
      </c>
      <c r="T296" s="22">
        <f t="shared" si="468"/>
        <v>0</v>
      </c>
      <c r="U296" s="22">
        <f t="shared" si="468"/>
        <v>0</v>
      </c>
      <c r="V296" s="22">
        <f t="shared" si="468"/>
        <v>0</v>
      </c>
      <c r="W296" s="22">
        <f t="shared" si="468"/>
        <v>2.7788649706457922E-2</v>
      </c>
      <c r="X296" s="22">
        <f t="shared" si="468"/>
        <v>0</v>
      </c>
      <c r="Y296" s="383">
        <f t="shared" si="468"/>
        <v>1.3698630136986301E-3</v>
      </c>
    </row>
    <row r="297" spans="1:33" x14ac:dyDescent="0.35">
      <c r="A297" s="116" t="s">
        <v>16</v>
      </c>
      <c r="B297" s="22">
        <f t="shared" ref="B297:Y297" si="469">B257/$Z$257</f>
        <v>0</v>
      </c>
      <c r="C297" s="22">
        <f t="shared" si="469"/>
        <v>0</v>
      </c>
      <c r="D297" s="22">
        <f t="shared" si="469"/>
        <v>0</v>
      </c>
      <c r="E297" s="22">
        <f t="shared" si="469"/>
        <v>0</v>
      </c>
      <c r="F297" s="22">
        <f t="shared" si="469"/>
        <v>0</v>
      </c>
      <c r="G297" s="22">
        <f t="shared" si="469"/>
        <v>0</v>
      </c>
      <c r="H297" s="22">
        <f t="shared" si="469"/>
        <v>0</v>
      </c>
      <c r="I297" s="22">
        <f t="shared" si="469"/>
        <v>0</v>
      </c>
      <c r="J297" s="22">
        <f t="shared" si="469"/>
        <v>1</v>
      </c>
      <c r="K297" s="22">
        <f t="shared" si="469"/>
        <v>0</v>
      </c>
      <c r="L297" s="22">
        <f t="shared" si="469"/>
        <v>0</v>
      </c>
      <c r="M297" s="22">
        <f t="shared" si="469"/>
        <v>0</v>
      </c>
      <c r="N297" s="22">
        <f t="shared" si="469"/>
        <v>0</v>
      </c>
      <c r="O297" s="22">
        <f t="shared" si="469"/>
        <v>0</v>
      </c>
      <c r="P297" s="22">
        <f t="shared" si="469"/>
        <v>0</v>
      </c>
      <c r="Q297" s="22">
        <f t="shared" si="469"/>
        <v>0</v>
      </c>
      <c r="R297" s="22">
        <f t="shared" si="469"/>
        <v>0</v>
      </c>
      <c r="S297" s="22">
        <f t="shared" si="469"/>
        <v>0</v>
      </c>
      <c r="T297" s="22">
        <f t="shared" si="469"/>
        <v>0</v>
      </c>
      <c r="U297" s="22">
        <f t="shared" si="469"/>
        <v>0</v>
      </c>
      <c r="V297" s="22">
        <f t="shared" si="469"/>
        <v>0</v>
      </c>
      <c r="W297" s="22">
        <f t="shared" si="469"/>
        <v>0</v>
      </c>
      <c r="X297" s="22">
        <f t="shared" si="469"/>
        <v>0</v>
      </c>
      <c r="Y297" s="385">
        <f t="shared" si="469"/>
        <v>0</v>
      </c>
    </row>
    <row r="298" spans="1:33" x14ac:dyDescent="0.35">
      <c r="A298" s="116" t="s">
        <v>15</v>
      </c>
      <c r="B298" s="22">
        <f t="shared" ref="B298:Y298" si="470">B261/$Z$261</f>
        <v>0</v>
      </c>
      <c r="C298" s="22">
        <f t="shared" si="470"/>
        <v>0</v>
      </c>
      <c r="D298" s="22">
        <f t="shared" si="470"/>
        <v>0</v>
      </c>
      <c r="E298" s="22">
        <f t="shared" si="470"/>
        <v>0</v>
      </c>
      <c r="F298" s="22">
        <f t="shared" si="470"/>
        <v>0</v>
      </c>
      <c r="G298" s="22">
        <f t="shared" si="470"/>
        <v>0</v>
      </c>
      <c r="H298" s="22">
        <f t="shared" si="470"/>
        <v>0</v>
      </c>
      <c r="I298" s="22">
        <f t="shared" si="470"/>
        <v>0</v>
      </c>
      <c r="J298" s="22">
        <f t="shared" si="470"/>
        <v>0</v>
      </c>
      <c r="K298" s="22">
        <f t="shared" si="470"/>
        <v>0</v>
      </c>
      <c r="L298" s="22">
        <f t="shared" si="470"/>
        <v>0</v>
      </c>
      <c r="M298" s="22">
        <f t="shared" si="470"/>
        <v>0</v>
      </c>
      <c r="N298" s="22">
        <f t="shared" si="470"/>
        <v>0</v>
      </c>
      <c r="O298" s="22">
        <f t="shared" si="470"/>
        <v>0.58791208791208793</v>
      </c>
      <c r="P298" s="22">
        <f t="shared" si="470"/>
        <v>0</v>
      </c>
      <c r="Q298" s="22">
        <f t="shared" si="470"/>
        <v>0</v>
      </c>
      <c r="R298" s="22">
        <f t="shared" si="470"/>
        <v>0</v>
      </c>
      <c r="S298" s="22">
        <f t="shared" si="470"/>
        <v>0.25824175824175821</v>
      </c>
      <c r="T298" s="22">
        <f t="shared" si="470"/>
        <v>0</v>
      </c>
      <c r="U298" s="22">
        <f t="shared" si="470"/>
        <v>0</v>
      </c>
      <c r="V298" s="22">
        <f t="shared" si="470"/>
        <v>0.15384615384615385</v>
      </c>
      <c r="W298" s="22">
        <f t="shared" si="470"/>
        <v>0</v>
      </c>
      <c r="X298" s="22">
        <f t="shared" si="470"/>
        <v>0</v>
      </c>
      <c r="Y298" s="385">
        <f t="shared" si="470"/>
        <v>0</v>
      </c>
    </row>
    <row r="299" spans="1:33" x14ac:dyDescent="0.35">
      <c r="A299" s="116" t="s">
        <v>70</v>
      </c>
      <c r="B299" s="22">
        <f t="shared" ref="B299:Y299" si="471">B266/$Z$266</f>
        <v>0</v>
      </c>
      <c r="C299" s="22">
        <f t="shared" si="471"/>
        <v>0</v>
      </c>
      <c r="D299" s="22">
        <f t="shared" si="471"/>
        <v>0</v>
      </c>
      <c r="E299" s="22">
        <f t="shared" si="471"/>
        <v>0</v>
      </c>
      <c r="F299" s="22">
        <f t="shared" si="471"/>
        <v>0</v>
      </c>
      <c r="G299" s="22">
        <f t="shared" si="471"/>
        <v>0</v>
      </c>
      <c r="H299" s="22">
        <f t="shared" si="471"/>
        <v>0</v>
      </c>
      <c r="I299" s="22">
        <f t="shared" si="471"/>
        <v>0</v>
      </c>
      <c r="J299" s="22">
        <f t="shared" si="471"/>
        <v>0</v>
      </c>
      <c r="K299" s="22">
        <f t="shared" si="471"/>
        <v>0</v>
      </c>
      <c r="L299" s="22">
        <f t="shared" si="471"/>
        <v>0</v>
      </c>
      <c r="M299" s="22">
        <f t="shared" si="471"/>
        <v>0</v>
      </c>
      <c r="N299" s="22">
        <f t="shared" si="471"/>
        <v>0</v>
      </c>
      <c r="O299" s="22">
        <f t="shared" si="471"/>
        <v>0</v>
      </c>
      <c r="P299" s="22">
        <f t="shared" si="471"/>
        <v>0</v>
      </c>
      <c r="Q299" s="22">
        <f t="shared" si="471"/>
        <v>0</v>
      </c>
      <c r="R299" s="22">
        <f t="shared" si="471"/>
        <v>0</v>
      </c>
      <c r="S299" s="22">
        <f t="shared" si="471"/>
        <v>0</v>
      </c>
      <c r="T299" s="22">
        <f t="shared" si="471"/>
        <v>0</v>
      </c>
      <c r="U299" s="22">
        <f t="shared" si="471"/>
        <v>0</v>
      </c>
      <c r="V299" s="22">
        <f t="shared" si="471"/>
        <v>0</v>
      </c>
      <c r="W299" s="22">
        <f t="shared" si="471"/>
        <v>0</v>
      </c>
      <c r="X299" s="22">
        <f t="shared" si="471"/>
        <v>0</v>
      </c>
      <c r="Y299" s="385">
        <f t="shared" si="471"/>
        <v>1</v>
      </c>
    </row>
    <row r="300" spans="1:33" x14ac:dyDescent="0.35">
      <c r="A300" s="116" t="s">
        <v>14</v>
      </c>
      <c r="B300" s="22">
        <f t="shared" ref="B300:Y300" si="472">B268/$Z$268</f>
        <v>0.61418417799752778</v>
      </c>
      <c r="C300" s="22">
        <f t="shared" si="472"/>
        <v>4.6353522867737928E-3</v>
      </c>
      <c r="D300" s="22">
        <f t="shared" si="472"/>
        <v>0</v>
      </c>
      <c r="E300" s="22">
        <f t="shared" si="472"/>
        <v>0</v>
      </c>
      <c r="F300" s="22">
        <f t="shared" si="472"/>
        <v>0</v>
      </c>
      <c r="G300" s="22">
        <f t="shared" si="472"/>
        <v>0</v>
      </c>
      <c r="H300" s="22">
        <f t="shared" si="472"/>
        <v>7.5710754017305282E-3</v>
      </c>
      <c r="I300" s="22">
        <f t="shared" si="472"/>
        <v>0</v>
      </c>
      <c r="J300" s="22">
        <f t="shared" si="472"/>
        <v>0</v>
      </c>
      <c r="K300" s="22">
        <f t="shared" si="472"/>
        <v>0</v>
      </c>
      <c r="L300" s="22">
        <f t="shared" si="472"/>
        <v>5.4079110012360916E-3</v>
      </c>
      <c r="M300" s="22">
        <f t="shared" si="472"/>
        <v>1.6996291718170574E-3</v>
      </c>
      <c r="N300" s="22">
        <f t="shared" si="472"/>
        <v>0</v>
      </c>
      <c r="O300" s="22">
        <f t="shared" si="472"/>
        <v>0</v>
      </c>
      <c r="P300" s="22">
        <f t="shared" si="472"/>
        <v>1.5451174289245976E-4</v>
      </c>
      <c r="Q300" s="22">
        <f t="shared" si="472"/>
        <v>3.862793572311494E-3</v>
      </c>
      <c r="R300" s="22">
        <f t="shared" si="472"/>
        <v>0.18634116192830649</v>
      </c>
      <c r="S300" s="22">
        <f t="shared" si="472"/>
        <v>2.5185414091470942E-2</v>
      </c>
      <c r="T300" s="22">
        <f t="shared" si="472"/>
        <v>0.13844252163164397</v>
      </c>
      <c r="U300" s="22">
        <f t="shared" si="472"/>
        <v>2.1631644004944371E-3</v>
      </c>
      <c r="V300" s="22">
        <f t="shared" si="472"/>
        <v>4.3263288009888741E-3</v>
      </c>
      <c r="W300" s="22">
        <f t="shared" si="472"/>
        <v>0</v>
      </c>
      <c r="X300" s="22">
        <f t="shared" si="472"/>
        <v>6.0259579728059306E-3</v>
      </c>
      <c r="Y300" s="385">
        <f t="shared" si="472"/>
        <v>0</v>
      </c>
    </row>
    <row r="301" spans="1:33" x14ac:dyDescent="0.35">
      <c r="A301" s="116" t="s">
        <v>17</v>
      </c>
      <c r="B301" s="22">
        <f t="shared" ref="B301:Y301" si="473">B273/$Z$273</f>
        <v>0</v>
      </c>
      <c r="C301" s="22">
        <f t="shared" si="473"/>
        <v>0</v>
      </c>
      <c r="D301" s="22">
        <f t="shared" si="473"/>
        <v>0</v>
      </c>
      <c r="E301" s="22">
        <f t="shared" si="473"/>
        <v>0</v>
      </c>
      <c r="F301" s="22">
        <f t="shared" si="473"/>
        <v>0</v>
      </c>
      <c r="G301" s="22">
        <f t="shared" si="473"/>
        <v>0</v>
      </c>
      <c r="H301" s="22">
        <f t="shared" si="473"/>
        <v>0</v>
      </c>
      <c r="I301" s="22">
        <f t="shared" si="473"/>
        <v>0</v>
      </c>
      <c r="J301" s="22">
        <f t="shared" si="473"/>
        <v>0</v>
      </c>
      <c r="K301" s="22">
        <f t="shared" si="473"/>
        <v>0</v>
      </c>
      <c r="L301" s="22">
        <f t="shared" si="473"/>
        <v>0</v>
      </c>
      <c r="M301" s="22">
        <f t="shared" si="473"/>
        <v>0</v>
      </c>
      <c r="N301" s="22">
        <f t="shared" si="473"/>
        <v>0</v>
      </c>
      <c r="O301" s="22">
        <f t="shared" si="473"/>
        <v>0</v>
      </c>
      <c r="P301" s="22">
        <f t="shared" si="473"/>
        <v>0</v>
      </c>
      <c r="Q301" s="22">
        <f t="shared" si="473"/>
        <v>0</v>
      </c>
      <c r="R301" s="22">
        <f t="shared" si="473"/>
        <v>0</v>
      </c>
      <c r="S301" s="22">
        <f t="shared" si="473"/>
        <v>0</v>
      </c>
      <c r="T301" s="22">
        <f t="shared" si="473"/>
        <v>0</v>
      </c>
      <c r="U301" s="22">
        <f t="shared" si="473"/>
        <v>0</v>
      </c>
      <c r="V301" s="22">
        <f t="shared" si="473"/>
        <v>0</v>
      </c>
      <c r="W301" s="22">
        <f t="shared" si="473"/>
        <v>0.77777777777777779</v>
      </c>
      <c r="X301" s="22">
        <f t="shared" si="473"/>
        <v>0</v>
      </c>
      <c r="Y301" s="383">
        <f t="shared" si="473"/>
        <v>0.22222222222222221</v>
      </c>
    </row>
    <row r="302" spans="1:33" x14ac:dyDescent="0.35">
      <c r="A302" s="116" t="s">
        <v>64</v>
      </c>
      <c r="B302" s="22">
        <f t="shared" ref="B302:Y302" si="474">B276/$Z$276</f>
        <v>0</v>
      </c>
      <c r="C302" s="22">
        <f t="shared" si="474"/>
        <v>0</v>
      </c>
      <c r="D302" s="22">
        <f t="shared" si="474"/>
        <v>0</v>
      </c>
      <c r="E302" s="22">
        <f t="shared" si="474"/>
        <v>0</v>
      </c>
      <c r="F302" s="22">
        <f t="shared" si="474"/>
        <v>0</v>
      </c>
      <c r="G302" s="22">
        <f t="shared" si="474"/>
        <v>0</v>
      </c>
      <c r="H302" s="22">
        <f t="shared" si="474"/>
        <v>0</v>
      </c>
      <c r="I302" s="22">
        <f t="shared" si="474"/>
        <v>0</v>
      </c>
      <c r="J302" s="22">
        <f t="shared" si="474"/>
        <v>0</v>
      </c>
      <c r="K302" s="22">
        <f t="shared" si="474"/>
        <v>0</v>
      </c>
      <c r="L302" s="22">
        <f t="shared" si="474"/>
        <v>0</v>
      </c>
      <c r="M302" s="22">
        <f t="shared" si="474"/>
        <v>0</v>
      </c>
      <c r="N302" s="22">
        <f t="shared" si="474"/>
        <v>0</v>
      </c>
      <c r="O302" s="22">
        <f t="shared" si="474"/>
        <v>0</v>
      </c>
      <c r="P302" s="22">
        <f t="shared" si="474"/>
        <v>0</v>
      </c>
      <c r="Q302" s="22">
        <f t="shared" si="474"/>
        <v>0</v>
      </c>
      <c r="R302" s="22">
        <f t="shared" si="474"/>
        <v>0</v>
      </c>
      <c r="S302" s="22">
        <f t="shared" si="474"/>
        <v>0</v>
      </c>
      <c r="T302" s="22">
        <f t="shared" si="474"/>
        <v>0</v>
      </c>
      <c r="U302" s="22">
        <f t="shared" si="474"/>
        <v>0</v>
      </c>
      <c r="V302" s="22">
        <f t="shared" si="474"/>
        <v>0</v>
      </c>
      <c r="W302" s="22">
        <f t="shared" si="474"/>
        <v>0</v>
      </c>
      <c r="X302" s="22">
        <f t="shared" si="474"/>
        <v>0</v>
      </c>
      <c r="Y302" s="385">
        <f t="shared" si="474"/>
        <v>1</v>
      </c>
    </row>
    <row r="303" spans="1:33" x14ac:dyDescent="0.35">
      <c r="A303" s="116" t="s">
        <v>20</v>
      </c>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384"/>
    </row>
    <row r="304" spans="1:33" x14ac:dyDescent="0.35">
      <c r="A304" s="116" t="s">
        <v>23</v>
      </c>
      <c r="B304" s="22">
        <f t="shared" ref="B304:Y304" si="475">B283/$Z$283</f>
        <v>0</v>
      </c>
      <c r="C304" s="22">
        <f t="shared" si="475"/>
        <v>0</v>
      </c>
      <c r="D304" s="22">
        <f t="shared" si="475"/>
        <v>0</v>
      </c>
      <c r="E304" s="22">
        <f t="shared" si="475"/>
        <v>0</v>
      </c>
      <c r="F304" s="22">
        <f t="shared" si="475"/>
        <v>0</v>
      </c>
      <c r="G304" s="22">
        <f t="shared" si="475"/>
        <v>0</v>
      </c>
      <c r="H304" s="22">
        <f t="shared" si="475"/>
        <v>0</v>
      </c>
      <c r="I304" s="22">
        <f t="shared" si="475"/>
        <v>0</v>
      </c>
      <c r="J304" s="22">
        <f t="shared" si="475"/>
        <v>0</v>
      </c>
      <c r="K304" s="22">
        <f t="shared" si="475"/>
        <v>0</v>
      </c>
      <c r="L304" s="22">
        <f t="shared" si="475"/>
        <v>0</v>
      </c>
      <c r="M304" s="22">
        <f t="shared" si="475"/>
        <v>0</v>
      </c>
      <c r="N304" s="22">
        <f t="shared" si="475"/>
        <v>0</v>
      </c>
      <c r="O304" s="22">
        <f t="shared" si="475"/>
        <v>0</v>
      </c>
      <c r="P304" s="22">
        <f t="shared" si="475"/>
        <v>0</v>
      </c>
      <c r="Q304" s="22">
        <f t="shared" si="475"/>
        <v>0.73333333333333339</v>
      </c>
      <c r="R304" s="22">
        <f t="shared" si="475"/>
        <v>0</v>
      </c>
      <c r="S304" s="22">
        <f t="shared" si="475"/>
        <v>0</v>
      </c>
      <c r="T304" s="22">
        <f t="shared" si="475"/>
        <v>0</v>
      </c>
      <c r="U304" s="22">
        <f t="shared" si="475"/>
        <v>0</v>
      </c>
      <c r="V304" s="22">
        <f t="shared" si="475"/>
        <v>0</v>
      </c>
      <c r="W304" s="22">
        <f t="shared" si="475"/>
        <v>0.26666666666666666</v>
      </c>
      <c r="X304" s="22">
        <f t="shared" si="475"/>
        <v>0</v>
      </c>
      <c r="Y304" s="385">
        <f t="shared" si="475"/>
        <v>0</v>
      </c>
    </row>
    <row r="305" spans="1:33" x14ac:dyDescent="0.35">
      <c r="A305" s="116" t="s">
        <v>24</v>
      </c>
      <c r="B305" s="22">
        <f t="shared" ref="B305:Y305" si="476">B285/$Z$285</f>
        <v>0.97872340425531912</v>
      </c>
      <c r="C305" s="22">
        <f t="shared" si="476"/>
        <v>0</v>
      </c>
      <c r="D305" s="22">
        <f t="shared" si="476"/>
        <v>0</v>
      </c>
      <c r="E305" s="22">
        <f t="shared" si="476"/>
        <v>0</v>
      </c>
      <c r="F305" s="22">
        <f t="shared" si="476"/>
        <v>0</v>
      </c>
      <c r="G305" s="22">
        <f t="shared" si="476"/>
        <v>0</v>
      </c>
      <c r="H305" s="22">
        <f t="shared" si="476"/>
        <v>0</v>
      </c>
      <c r="I305" s="22">
        <f t="shared" si="476"/>
        <v>0</v>
      </c>
      <c r="J305" s="22">
        <f t="shared" si="476"/>
        <v>0</v>
      </c>
      <c r="K305" s="22">
        <f t="shared" si="476"/>
        <v>0</v>
      </c>
      <c r="L305" s="22">
        <f t="shared" si="476"/>
        <v>0</v>
      </c>
      <c r="M305" s="22">
        <f t="shared" si="476"/>
        <v>0</v>
      </c>
      <c r="N305" s="22">
        <f t="shared" si="476"/>
        <v>0</v>
      </c>
      <c r="O305" s="22">
        <f t="shared" si="476"/>
        <v>2.1276595744680854E-2</v>
      </c>
      <c r="P305" s="22">
        <f t="shared" si="476"/>
        <v>0</v>
      </c>
      <c r="Q305" s="22">
        <f t="shared" si="476"/>
        <v>0</v>
      </c>
      <c r="R305" s="22">
        <f t="shared" si="476"/>
        <v>0</v>
      </c>
      <c r="S305" s="22">
        <f t="shared" si="476"/>
        <v>0</v>
      </c>
      <c r="T305" s="22">
        <f t="shared" si="476"/>
        <v>0</v>
      </c>
      <c r="U305" s="22">
        <f t="shared" si="476"/>
        <v>0</v>
      </c>
      <c r="V305" s="22">
        <f t="shared" si="476"/>
        <v>0</v>
      </c>
      <c r="W305" s="22">
        <f t="shared" si="476"/>
        <v>0</v>
      </c>
      <c r="X305" s="22">
        <f t="shared" si="476"/>
        <v>0</v>
      </c>
      <c r="Y305" s="385">
        <f t="shared" si="476"/>
        <v>0</v>
      </c>
    </row>
    <row r="306" spans="1:33" x14ac:dyDescent="0.35">
      <c r="A306" s="116" t="s">
        <v>25</v>
      </c>
      <c r="B306" s="22">
        <f t="shared" ref="B306:Y306" si="477">B289/$Z$289</f>
        <v>0.72506393861892571</v>
      </c>
      <c r="C306" s="22">
        <f t="shared" si="477"/>
        <v>2.3976982097186693E-3</v>
      </c>
      <c r="D306" s="22">
        <f t="shared" si="477"/>
        <v>0</v>
      </c>
      <c r="E306" s="22">
        <f t="shared" si="477"/>
        <v>0</v>
      </c>
      <c r="F306" s="22">
        <f t="shared" si="477"/>
        <v>0</v>
      </c>
      <c r="G306" s="22">
        <f t="shared" si="477"/>
        <v>0</v>
      </c>
      <c r="H306" s="22">
        <f t="shared" si="477"/>
        <v>3.91624040920716E-3</v>
      </c>
      <c r="I306" s="22">
        <f t="shared" si="477"/>
        <v>0</v>
      </c>
      <c r="J306" s="22">
        <f t="shared" si="477"/>
        <v>6.3938618925831183E-3</v>
      </c>
      <c r="K306" s="22">
        <f t="shared" si="477"/>
        <v>0</v>
      </c>
      <c r="L306" s="22">
        <f t="shared" si="477"/>
        <v>2.7973145780051138E-3</v>
      </c>
      <c r="M306" s="22">
        <f t="shared" si="477"/>
        <v>8.7915601023017865E-4</v>
      </c>
      <c r="N306" s="22">
        <f t="shared" si="477"/>
        <v>0</v>
      </c>
      <c r="O306" s="22">
        <f t="shared" si="477"/>
        <v>8.7915601023017872E-3</v>
      </c>
      <c r="P306" s="22">
        <f t="shared" si="477"/>
        <v>7.9923273657288968E-5</v>
      </c>
      <c r="Q306" s="22">
        <f t="shared" si="477"/>
        <v>7.2730179028132969E-3</v>
      </c>
      <c r="R306" s="22">
        <f t="shared" si="477"/>
        <v>9.638746803069051E-2</v>
      </c>
      <c r="S306" s="22">
        <f t="shared" si="477"/>
        <v>1.6783887468030684E-2</v>
      </c>
      <c r="T306" s="22">
        <f t="shared" si="477"/>
        <v>8.6876598465473118E-2</v>
      </c>
      <c r="U306" s="22">
        <f t="shared" si="477"/>
        <v>1.3746803069053706E-2</v>
      </c>
      <c r="V306" s="22">
        <f t="shared" si="477"/>
        <v>4.4757033248081831E-3</v>
      </c>
      <c r="W306" s="22">
        <f t="shared" si="477"/>
        <v>1.3826726342710993E-2</v>
      </c>
      <c r="X306" s="22">
        <f t="shared" si="477"/>
        <v>3.1170076726342701E-3</v>
      </c>
      <c r="Y306" s="383">
        <f t="shared" si="477"/>
        <v>7.1930946291560082E-3</v>
      </c>
    </row>
    <row r="308" spans="1:33" ht="18.5" x14ac:dyDescent="0.45">
      <c r="A308" s="108"/>
      <c r="D308" s="109"/>
      <c r="AA308" s="110"/>
    </row>
    <row r="309" spans="1:33" ht="15" x14ac:dyDescent="0.35">
      <c r="A309" s="284" t="s">
        <v>75</v>
      </c>
      <c r="B309" s="284"/>
    </row>
    <row r="310" spans="1:33" ht="15.5" x14ac:dyDescent="0.35">
      <c r="A310" s="288" t="s">
        <v>98</v>
      </c>
    </row>
    <row r="312" spans="1:33" ht="76.5" customHeight="1" x14ac:dyDescent="0.35">
      <c r="A312" s="125" t="s">
        <v>88</v>
      </c>
      <c r="B312" s="198" t="s">
        <v>89</v>
      </c>
      <c r="C312" s="198">
        <v>2000</v>
      </c>
      <c r="D312" s="198">
        <v>2001</v>
      </c>
      <c r="E312" s="198">
        <v>2002</v>
      </c>
      <c r="F312" s="198">
        <v>2003</v>
      </c>
      <c r="G312" s="198">
        <v>2004</v>
      </c>
      <c r="H312" s="198">
        <v>2005</v>
      </c>
      <c r="I312" s="198">
        <v>2006</v>
      </c>
      <c r="J312" s="198">
        <v>2007</v>
      </c>
      <c r="K312" s="198">
        <v>2008</v>
      </c>
      <c r="L312" s="198">
        <v>2009</v>
      </c>
      <c r="M312" s="198">
        <v>2010</v>
      </c>
      <c r="N312" s="198">
        <v>2011</v>
      </c>
      <c r="O312" s="198">
        <v>2012</v>
      </c>
      <c r="P312" s="198">
        <v>2013</v>
      </c>
      <c r="Q312" s="198">
        <v>2014</v>
      </c>
      <c r="R312" s="198">
        <v>2015</v>
      </c>
      <c r="S312" s="198">
        <v>2016</v>
      </c>
      <c r="T312" s="198">
        <v>2017</v>
      </c>
      <c r="U312" s="198">
        <v>2018</v>
      </c>
      <c r="V312" s="198">
        <v>2019</v>
      </c>
      <c r="W312" s="198">
        <v>2020</v>
      </c>
      <c r="X312" s="198">
        <v>2021</v>
      </c>
      <c r="Y312" s="198" t="s">
        <v>90</v>
      </c>
      <c r="Z312" s="198" t="s">
        <v>91</v>
      </c>
      <c r="AA312" s="199" t="s">
        <v>92</v>
      </c>
      <c r="AC312" s="127" t="s">
        <v>110</v>
      </c>
      <c r="AD312" s="127" t="s">
        <v>108</v>
      </c>
      <c r="AE312" s="127" t="s">
        <v>94</v>
      </c>
      <c r="AF312" s="127" t="s">
        <v>96</v>
      </c>
      <c r="AG312" s="127" t="s">
        <v>97</v>
      </c>
    </row>
    <row r="313" spans="1:33" x14ac:dyDescent="0.35">
      <c r="A313" s="11" t="s">
        <v>5</v>
      </c>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v>0</v>
      </c>
      <c r="AA313" s="143">
        <f t="shared" ref="AA313:AA339" si="478">Z313/$Z$340</f>
        <v>0</v>
      </c>
      <c r="AC313" s="119">
        <f t="shared" ref="AC313:AC340" si="479">SUM(B313:U313)</f>
        <v>0</v>
      </c>
      <c r="AD313" s="119">
        <f t="shared" ref="AD313:AD340" si="480">SUM(V313:X313)</f>
        <v>0</v>
      </c>
      <c r="AE313" s="119">
        <f>Y313</f>
        <v>0</v>
      </c>
      <c r="AF313" s="119">
        <f t="shared" ref="AF313:AF340" si="481">SUM(AC313:AE313)</f>
        <v>0</v>
      </c>
      <c r="AG313" s="143"/>
    </row>
    <row r="314" spans="1:33" x14ac:dyDescent="0.35">
      <c r="A314" s="6" t="s">
        <v>8</v>
      </c>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v>0</v>
      </c>
      <c r="AA314" s="24">
        <f t="shared" si="478"/>
        <v>0</v>
      </c>
      <c r="AC314" s="12">
        <f t="shared" si="479"/>
        <v>0</v>
      </c>
      <c r="AD314" s="12">
        <f t="shared" si="480"/>
        <v>0</v>
      </c>
      <c r="AE314" s="12">
        <f t="shared" ref="AE314:AE340" si="482">Y314</f>
        <v>0</v>
      </c>
      <c r="AF314" s="12">
        <f t="shared" si="481"/>
        <v>0</v>
      </c>
      <c r="AG314" s="22"/>
    </row>
    <row r="315" spans="1:33" x14ac:dyDescent="0.35">
      <c r="A315" s="11" t="s">
        <v>12</v>
      </c>
      <c r="B315" s="131">
        <v>0.13</v>
      </c>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31">
        <f>SUM(Z316:Z318)</f>
        <v>0.13</v>
      </c>
      <c r="AA315" s="143">
        <f t="shared" si="478"/>
        <v>5.2305463909229895E-4</v>
      </c>
      <c r="AC315" s="119">
        <f t="shared" si="479"/>
        <v>0.13</v>
      </c>
      <c r="AD315" s="119">
        <f t="shared" si="480"/>
        <v>0</v>
      </c>
      <c r="AE315" s="119">
        <f t="shared" si="482"/>
        <v>0</v>
      </c>
      <c r="AF315" s="119">
        <f t="shared" si="481"/>
        <v>0.13</v>
      </c>
      <c r="AG315" s="143">
        <f>AD315/AF315</f>
        <v>0</v>
      </c>
    </row>
    <row r="316" spans="1:33" x14ac:dyDescent="0.35">
      <c r="A316" s="6" t="s">
        <v>31</v>
      </c>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v>0</v>
      </c>
      <c r="AA316" s="24">
        <f t="shared" si="478"/>
        <v>0</v>
      </c>
      <c r="AC316" s="12">
        <f t="shared" si="479"/>
        <v>0</v>
      </c>
      <c r="AD316" s="12">
        <f t="shared" si="480"/>
        <v>0</v>
      </c>
      <c r="AE316" s="12">
        <f t="shared" si="482"/>
        <v>0</v>
      </c>
      <c r="AF316" s="12">
        <f t="shared" si="481"/>
        <v>0</v>
      </c>
      <c r="AG316" s="22"/>
    </row>
    <row r="317" spans="1:33" x14ac:dyDescent="0.35">
      <c r="A317" s="6" t="s">
        <v>32</v>
      </c>
      <c r="B317" s="54">
        <v>0.13</v>
      </c>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54">
        <f>SUM(B317:Y317)</f>
        <v>0.13</v>
      </c>
      <c r="AA317" s="24">
        <f t="shared" si="478"/>
        <v>5.2305463909229895E-4</v>
      </c>
      <c r="AC317" s="12">
        <f t="shared" si="479"/>
        <v>0.13</v>
      </c>
      <c r="AD317" s="12">
        <f t="shared" si="480"/>
        <v>0</v>
      </c>
      <c r="AE317" s="12">
        <f t="shared" si="482"/>
        <v>0</v>
      </c>
      <c r="AF317" s="12">
        <f t="shared" si="481"/>
        <v>0.13</v>
      </c>
      <c r="AG317" s="22">
        <f>AD317/AF317</f>
        <v>0</v>
      </c>
    </row>
    <row r="318" spans="1:33" x14ac:dyDescent="0.35">
      <c r="A318" s="6" t="s">
        <v>33</v>
      </c>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v>0</v>
      </c>
      <c r="AA318" s="24">
        <f t="shared" si="478"/>
        <v>0</v>
      </c>
      <c r="AC318" s="12">
        <f t="shared" si="479"/>
        <v>0</v>
      </c>
      <c r="AD318" s="12">
        <f t="shared" si="480"/>
        <v>0</v>
      </c>
      <c r="AE318" s="12">
        <f t="shared" si="482"/>
        <v>0</v>
      </c>
      <c r="AF318" s="12">
        <f t="shared" si="481"/>
        <v>0</v>
      </c>
      <c r="AG318" s="22"/>
    </row>
    <row r="319" spans="1:33" x14ac:dyDescent="0.35">
      <c r="A319" s="11" t="s">
        <v>13</v>
      </c>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v>0</v>
      </c>
      <c r="AA319" s="143">
        <f t="shared" si="478"/>
        <v>0</v>
      </c>
      <c r="AC319" s="119">
        <f t="shared" si="479"/>
        <v>0</v>
      </c>
      <c r="AD319" s="119">
        <f t="shared" si="480"/>
        <v>0</v>
      </c>
      <c r="AE319" s="119">
        <f t="shared" si="482"/>
        <v>0</v>
      </c>
      <c r="AF319" s="119">
        <f t="shared" si="481"/>
        <v>0</v>
      </c>
      <c r="AG319" s="143"/>
    </row>
    <row r="320" spans="1:33" x14ac:dyDescent="0.35">
      <c r="A320" s="6" t="s">
        <v>61</v>
      </c>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v>0</v>
      </c>
      <c r="AA320" s="24">
        <f t="shared" si="478"/>
        <v>0</v>
      </c>
      <c r="AC320" s="12">
        <f t="shared" si="479"/>
        <v>0</v>
      </c>
      <c r="AD320" s="12">
        <f t="shared" si="480"/>
        <v>0</v>
      </c>
      <c r="AE320" s="12">
        <f t="shared" si="482"/>
        <v>0</v>
      </c>
      <c r="AF320" s="12">
        <f t="shared" si="481"/>
        <v>0</v>
      </c>
      <c r="AG320" s="22"/>
    </row>
    <row r="321" spans="1:44" x14ac:dyDescent="0.35">
      <c r="A321" s="6" t="s">
        <v>36</v>
      </c>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v>0</v>
      </c>
      <c r="AA321" s="24">
        <f t="shared" si="478"/>
        <v>0</v>
      </c>
      <c r="AC321" s="12">
        <f t="shared" si="479"/>
        <v>0</v>
      </c>
      <c r="AD321" s="12">
        <f t="shared" si="480"/>
        <v>0</v>
      </c>
      <c r="AE321" s="12">
        <f t="shared" si="482"/>
        <v>0</v>
      </c>
      <c r="AF321" s="12">
        <f t="shared" si="481"/>
        <v>0</v>
      </c>
      <c r="AG321" s="22"/>
    </row>
    <row r="322" spans="1:44" x14ac:dyDescent="0.35">
      <c r="A322" s="11" t="s">
        <v>14</v>
      </c>
      <c r="B322" s="119">
        <f t="shared" ref="B322:X322" si="483">SUM(B323:B326)</f>
        <v>108.99000000000002</v>
      </c>
      <c r="C322" s="119">
        <f t="shared" si="483"/>
        <v>14.239999999999998</v>
      </c>
      <c r="D322" s="119">
        <f t="shared" si="483"/>
        <v>0.88</v>
      </c>
      <c r="E322" s="119"/>
      <c r="F322" s="119"/>
      <c r="G322" s="119">
        <f t="shared" si="483"/>
        <v>3.3499999999999996</v>
      </c>
      <c r="H322" s="119">
        <f t="shared" si="483"/>
        <v>3.29</v>
      </c>
      <c r="I322" s="119"/>
      <c r="J322" s="119">
        <f t="shared" si="483"/>
        <v>1.25</v>
      </c>
      <c r="K322" s="119">
        <f t="shared" si="483"/>
        <v>0.93</v>
      </c>
      <c r="L322" s="119">
        <f t="shared" si="483"/>
        <v>2.1</v>
      </c>
      <c r="M322" s="119">
        <f t="shared" si="483"/>
        <v>10.530000000000001</v>
      </c>
      <c r="N322" s="119">
        <f t="shared" si="483"/>
        <v>1.24</v>
      </c>
      <c r="O322" s="119">
        <f t="shared" si="483"/>
        <v>1.86</v>
      </c>
      <c r="P322" s="119">
        <f t="shared" si="483"/>
        <v>4.5299999999999994</v>
      </c>
      <c r="Q322" s="119">
        <f t="shared" si="483"/>
        <v>6.7799999999999994</v>
      </c>
      <c r="R322" s="119">
        <f t="shared" si="483"/>
        <v>6.9500000000000011</v>
      </c>
      <c r="S322" s="119">
        <f t="shared" si="483"/>
        <v>38.619999999999997</v>
      </c>
      <c r="T322" s="119">
        <f t="shared" si="483"/>
        <v>13.850000000000001</v>
      </c>
      <c r="U322" s="119">
        <f t="shared" si="483"/>
        <v>16.12</v>
      </c>
      <c r="V322" s="119">
        <f t="shared" si="483"/>
        <v>5.870000000000001</v>
      </c>
      <c r="W322" s="119">
        <f t="shared" si="483"/>
        <v>1.75</v>
      </c>
      <c r="X322" s="119">
        <f t="shared" si="483"/>
        <v>3.92</v>
      </c>
      <c r="Y322" s="119"/>
      <c r="Z322" s="119">
        <f>SUM(Z323:Z326)</f>
        <v>247.05</v>
      </c>
      <c r="AA322" s="143">
        <f t="shared" si="478"/>
        <v>0.99400498913655744</v>
      </c>
      <c r="AC322" s="119">
        <f t="shared" si="479"/>
        <v>235.51000000000002</v>
      </c>
      <c r="AD322" s="119">
        <f t="shared" si="480"/>
        <v>11.540000000000001</v>
      </c>
      <c r="AE322" s="119">
        <f t="shared" si="482"/>
        <v>0</v>
      </c>
      <c r="AF322" s="119">
        <f t="shared" si="481"/>
        <v>247.05</v>
      </c>
      <c r="AG322" s="143">
        <f>AD322/AF322</f>
        <v>4.6711192066383328E-2</v>
      </c>
    </row>
    <row r="323" spans="1:44" x14ac:dyDescent="0.35">
      <c r="A323" s="6" t="s">
        <v>37</v>
      </c>
      <c r="B323" s="12">
        <v>14.160000000000002</v>
      </c>
      <c r="C323" s="12"/>
      <c r="D323" s="12">
        <v>0.88</v>
      </c>
      <c r="E323" s="12"/>
      <c r="F323" s="12"/>
      <c r="G323" s="12"/>
      <c r="H323" s="12"/>
      <c r="I323" s="12"/>
      <c r="J323" s="12"/>
      <c r="K323" s="12"/>
      <c r="L323" s="12"/>
      <c r="M323" s="12">
        <v>0.54</v>
      </c>
      <c r="N323" s="12"/>
      <c r="O323" s="12"/>
      <c r="P323" s="12"/>
      <c r="Q323" s="12"/>
      <c r="R323" s="12"/>
      <c r="S323" s="12">
        <v>2.67</v>
      </c>
      <c r="T323" s="54">
        <v>0.25</v>
      </c>
      <c r="U323" s="12">
        <v>1.35</v>
      </c>
      <c r="V323" s="12">
        <v>0.56999999999999995</v>
      </c>
      <c r="W323" s="12"/>
      <c r="X323" s="12"/>
      <c r="Y323" s="12"/>
      <c r="Z323" s="12">
        <f>SUM(B323:Y323)</f>
        <v>20.420000000000002</v>
      </c>
      <c r="AA323" s="24">
        <f t="shared" si="478"/>
        <v>8.215981330972881E-2</v>
      </c>
      <c r="AC323" s="12">
        <f t="shared" si="479"/>
        <v>19.850000000000001</v>
      </c>
      <c r="AD323" s="12">
        <f t="shared" si="480"/>
        <v>0.56999999999999995</v>
      </c>
      <c r="AE323" s="12">
        <f t="shared" si="482"/>
        <v>0</v>
      </c>
      <c r="AF323" s="12">
        <f t="shared" si="481"/>
        <v>20.420000000000002</v>
      </c>
      <c r="AG323" s="22">
        <f>AD323/AF323</f>
        <v>2.7913809990205676E-2</v>
      </c>
    </row>
    <row r="324" spans="1:44" x14ac:dyDescent="0.35">
      <c r="A324" s="6" t="s">
        <v>38</v>
      </c>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v>0</v>
      </c>
      <c r="AA324" s="24">
        <f t="shared" si="478"/>
        <v>0</v>
      </c>
      <c r="AC324" s="12">
        <f t="shared" si="479"/>
        <v>0</v>
      </c>
      <c r="AD324" s="12">
        <f t="shared" si="480"/>
        <v>0</v>
      </c>
      <c r="AE324" s="12">
        <f t="shared" si="482"/>
        <v>0</v>
      </c>
      <c r="AF324" s="12">
        <f t="shared" si="481"/>
        <v>0</v>
      </c>
      <c r="AG324" s="22"/>
    </row>
    <row r="325" spans="1:44" x14ac:dyDescent="0.35">
      <c r="A325" s="6" t="s">
        <v>39</v>
      </c>
      <c r="B325" s="54">
        <v>0.02</v>
      </c>
      <c r="C325" s="12"/>
      <c r="D325" s="12"/>
      <c r="E325" s="12"/>
      <c r="F325" s="12"/>
      <c r="G325" s="12"/>
      <c r="H325" s="12"/>
      <c r="I325" s="12"/>
      <c r="J325" s="12"/>
      <c r="K325" s="12"/>
      <c r="L325" s="12"/>
      <c r="M325" s="12"/>
      <c r="N325" s="12"/>
      <c r="O325" s="12"/>
      <c r="P325" s="12"/>
      <c r="Q325" s="12"/>
      <c r="R325" s="12"/>
      <c r="S325" s="54">
        <v>0.01</v>
      </c>
      <c r="T325" s="12"/>
      <c r="U325" s="12"/>
      <c r="V325" s="12"/>
      <c r="W325" s="12"/>
      <c r="X325" s="12"/>
      <c r="Y325" s="12"/>
      <c r="Z325" s="54">
        <f>SUM(B325:Y325)</f>
        <v>0.03</v>
      </c>
      <c r="AA325" s="24">
        <f t="shared" si="478"/>
        <v>1.2070491671360745E-4</v>
      </c>
      <c r="AC325" s="12">
        <f t="shared" si="479"/>
        <v>0.03</v>
      </c>
      <c r="AD325" s="12">
        <f t="shared" si="480"/>
        <v>0</v>
      </c>
      <c r="AE325" s="12">
        <f t="shared" si="482"/>
        <v>0</v>
      </c>
      <c r="AF325" s="12">
        <f t="shared" si="481"/>
        <v>0.03</v>
      </c>
      <c r="AG325" s="22">
        <f>AD325/AF325</f>
        <v>0</v>
      </c>
    </row>
    <row r="326" spans="1:44" x14ac:dyDescent="0.35">
      <c r="A326" s="6" t="s">
        <v>40</v>
      </c>
      <c r="B326" s="12">
        <v>94.810000000000016</v>
      </c>
      <c r="C326" s="12">
        <v>14.239999999999998</v>
      </c>
      <c r="D326" s="12"/>
      <c r="E326" s="12"/>
      <c r="F326" s="12"/>
      <c r="G326" s="12">
        <v>3.3499999999999996</v>
      </c>
      <c r="H326" s="12">
        <v>3.29</v>
      </c>
      <c r="I326" s="12"/>
      <c r="J326" s="12">
        <v>1.25</v>
      </c>
      <c r="K326" s="12">
        <v>0.93</v>
      </c>
      <c r="L326" s="12">
        <v>2.1</v>
      </c>
      <c r="M326" s="12">
        <v>9.99</v>
      </c>
      <c r="N326" s="12">
        <v>1.24</v>
      </c>
      <c r="O326" s="12">
        <v>1.86</v>
      </c>
      <c r="P326" s="12">
        <v>4.5299999999999994</v>
      </c>
      <c r="Q326" s="12">
        <v>6.7799999999999994</v>
      </c>
      <c r="R326" s="12">
        <v>6.9500000000000011</v>
      </c>
      <c r="S326" s="12">
        <v>35.94</v>
      </c>
      <c r="T326" s="12">
        <v>13.600000000000001</v>
      </c>
      <c r="U326" s="12">
        <v>14.77</v>
      </c>
      <c r="V326" s="12">
        <v>5.3000000000000007</v>
      </c>
      <c r="W326" s="12">
        <v>1.75</v>
      </c>
      <c r="X326" s="12">
        <v>3.92</v>
      </c>
      <c r="Y326" s="12"/>
      <c r="Z326" s="12">
        <f>SUM(B326:Y326)</f>
        <v>226.60000000000002</v>
      </c>
      <c r="AA326" s="24">
        <f t="shared" si="478"/>
        <v>0.9117244709101151</v>
      </c>
      <c r="AC326" s="12">
        <f t="shared" si="479"/>
        <v>215.63000000000002</v>
      </c>
      <c r="AD326" s="12">
        <f t="shared" si="480"/>
        <v>10.97</v>
      </c>
      <c r="AE326" s="12">
        <f t="shared" si="482"/>
        <v>0</v>
      </c>
      <c r="AF326" s="12">
        <f t="shared" si="481"/>
        <v>226.60000000000002</v>
      </c>
      <c r="AG326" s="22">
        <f>AD326/AF326</f>
        <v>4.8411297440423655E-2</v>
      </c>
    </row>
    <row r="327" spans="1:44" x14ac:dyDescent="0.35">
      <c r="A327" s="11" t="s">
        <v>15</v>
      </c>
      <c r="B327" s="119"/>
      <c r="C327" s="119"/>
      <c r="D327" s="119"/>
      <c r="E327" s="119"/>
      <c r="F327" s="119"/>
      <c r="G327" s="119"/>
      <c r="H327" s="119"/>
      <c r="I327" s="119"/>
      <c r="J327" s="119"/>
      <c r="K327" s="119"/>
      <c r="L327" s="119"/>
      <c r="M327" s="119"/>
      <c r="N327" s="119"/>
      <c r="O327" s="119"/>
      <c r="P327" s="119"/>
      <c r="Q327" s="119"/>
      <c r="R327" s="119"/>
      <c r="S327" s="131">
        <v>0.35</v>
      </c>
      <c r="T327" s="119"/>
      <c r="U327" s="119"/>
      <c r="V327" s="119"/>
      <c r="W327" s="119"/>
      <c r="X327" s="119"/>
      <c r="Y327" s="119"/>
      <c r="Z327" s="131">
        <v>0.35</v>
      </c>
      <c r="AA327" s="143">
        <f t="shared" si="478"/>
        <v>1.4082240283254202E-3</v>
      </c>
      <c r="AC327" s="119">
        <f t="shared" si="479"/>
        <v>0.35</v>
      </c>
      <c r="AD327" s="119">
        <f t="shared" si="480"/>
        <v>0</v>
      </c>
      <c r="AE327" s="119">
        <f t="shared" si="482"/>
        <v>0</v>
      </c>
      <c r="AF327" s="119">
        <f t="shared" si="481"/>
        <v>0.35</v>
      </c>
      <c r="AG327" s="143">
        <f>AD327/AF327</f>
        <v>0</v>
      </c>
      <c r="AO327" s="342"/>
      <c r="AP327" s="342" t="s">
        <v>256</v>
      </c>
      <c r="AQ327" s="342" t="s">
        <v>96</v>
      </c>
      <c r="AR327" s="342" t="s">
        <v>257</v>
      </c>
    </row>
    <row r="328" spans="1:44" x14ac:dyDescent="0.35">
      <c r="A328" s="6" t="s">
        <v>41</v>
      </c>
      <c r="B328" s="12"/>
      <c r="C328" s="12"/>
      <c r="D328" s="12"/>
      <c r="E328" s="12"/>
      <c r="F328" s="12"/>
      <c r="G328" s="12"/>
      <c r="H328" s="12"/>
      <c r="I328" s="12"/>
      <c r="J328" s="12"/>
      <c r="K328" s="12"/>
      <c r="L328" s="12"/>
      <c r="M328" s="12"/>
      <c r="N328" s="12"/>
      <c r="O328" s="12"/>
      <c r="P328" s="12"/>
      <c r="Q328" s="12"/>
      <c r="R328" s="12"/>
      <c r="S328" s="54">
        <v>0.35</v>
      </c>
      <c r="T328" s="12"/>
      <c r="U328" s="12"/>
      <c r="V328" s="12"/>
      <c r="W328" s="12"/>
      <c r="X328" s="12"/>
      <c r="Y328" s="12"/>
      <c r="Z328" s="54">
        <v>0.35</v>
      </c>
      <c r="AA328" s="24">
        <f t="shared" si="478"/>
        <v>1.4082240283254202E-3</v>
      </c>
      <c r="AC328" s="12">
        <f t="shared" si="479"/>
        <v>0.35</v>
      </c>
      <c r="AD328" s="12">
        <f t="shared" si="480"/>
        <v>0</v>
      </c>
      <c r="AE328" s="12">
        <f t="shared" si="482"/>
        <v>0</v>
      </c>
      <c r="AF328" s="12">
        <f t="shared" si="481"/>
        <v>0.35</v>
      </c>
      <c r="AG328" s="22">
        <f>AD328/AF328</f>
        <v>0</v>
      </c>
      <c r="AJ328" s="210" t="s">
        <v>255</v>
      </c>
      <c r="AO328" s="406" t="s">
        <v>14</v>
      </c>
      <c r="AP328" s="12">
        <v>11.540000000000001</v>
      </c>
      <c r="AQ328" s="12">
        <v>247.05</v>
      </c>
      <c r="AR328" s="190">
        <f>AP328/AQ328</f>
        <v>4.6711192066383328E-2</v>
      </c>
    </row>
    <row r="329" spans="1:44" x14ac:dyDescent="0.35">
      <c r="A329" s="6" t="s">
        <v>45</v>
      </c>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v>0</v>
      </c>
      <c r="AA329" s="24">
        <f t="shared" si="478"/>
        <v>0</v>
      </c>
      <c r="AC329" s="12">
        <f t="shared" si="479"/>
        <v>0</v>
      </c>
      <c r="AD329" s="12">
        <f t="shared" si="480"/>
        <v>0</v>
      </c>
      <c r="AE329" s="12">
        <f t="shared" si="482"/>
        <v>0</v>
      </c>
      <c r="AF329" s="12">
        <f t="shared" si="481"/>
        <v>0</v>
      </c>
      <c r="AG329" s="22"/>
      <c r="AK329" t="s">
        <v>256</v>
      </c>
      <c r="AL329" t="s">
        <v>96</v>
      </c>
      <c r="AM329" t="s">
        <v>257</v>
      </c>
      <c r="AO329" s="11" t="s">
        <v>17</v>
      </c>
      <c r="AP329" s="54">
        <v>0.01</v>
      </c>
      <c r="AQ329" s="54">
        <v>0.24000000000000005</v>
      </c>
      <c r="AR329" s="190">
        <f t="shared" ref="AR329" si="484">AP329/AQ329</f>
        <v>4.1666666666666657E-2</v>
      </c>
    </row>
    <row r="330" spans="1:44" x14ac:dyDescent="0.35">
      <c r="A330" s="11" t="s">
        <v>16</v>
      </c>
      <c r="B330" s="119"/>
      <c r="C330" s="119"/>
      <c r="D330" s="119"/>
      <c r="E330" s="119"/>
      <c r="F330" s="119"/>
      <c r="G330" s="119"/>
      <c r="H330" s="119"/>
      <c r="I330" s="119"/>
      <c r="J330" s="119"/>
      <c r="K330" s="119"/>
      <c r="L330" s="119"/>
      <c r="M330" s="119"/>
      <c r="N330" s="119"/>
      <c r="O330" s="119"/>
      <c r="P330" s="119"/>
      <c r="Q330" s="119"/>
      <c r="R330" s="119"/>
      <c r="S330" s="119">
        <v>0.76</v>
      </c>
      <c r="T330" s="119">
        <v>0.01</v>
      </c>
      <c r="U330" s="119"/>
      <c r="V330" s="119"/>
      <c r="W330" s="119"/>
      <c r="X330" s="119"/>
      <c r="Y330" s="119"/>
      <c r="Z330" s="119">
        <f>SUM(Z331:Z333)</f>
        <v>0.77</v>
      </c>
      <c r="AA330" s="143">
        <f t="shared" si="478"/>
        <v>3.0980928623159246E-3</v>
      </c>
      <c r="AC330" s="119">
        <f t="shared" si="479"/>
        <v>0.77</v>
      </c>
      <c r="AD330" s="119">
        <f t="shared" si="480"/>
        <v>0</v>
      </c>
      <c r="AE330" s="119">
        <f t="shared" si="482"/>
        <v>0</v>
      </c>
      <c r="AF330" s="119">
        <f t="shared" si="481"/>
        <v>0.77</v>
      </c>
      <c r="AG330" s="143">
        <f>AD330/AF330</f>
        <v>0</v>
      </c>
      <c r="AJ330" s="6" t="s">
        <v>40</v>
      </c>
      <c r="AK330" s="54">
        <v>10.97</v>
      </c>
      <c r="AL330" s="12">
        <v>226.60000000000002</v>
      </c>
      <c r="AM330" s="382">
        <f>AK330/AL330</f>
        <v>4.8411297440423655E-2</v>
      </c>
    </row>
    <row r="331" spans="1:44" x14ac:dyDescent="0.35">
      <c r="A331" s="6" t="s">
        <v>48</v>
      </c>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v>0</v>
      </c>
      <c r="AA331" s="24">
        <f t="shared" si="478"/>
        <v>0</v>
      </c>
      <c r="AC331" s="12">
        <f t="shared" si="479"/>
        <v>0</v>
      </c>
      <c r="AD331" s="12">
        <f t="shared" si="480"/>
        <v>0</v>
      </c>
      <c r="AE331" s="12">
        <f t="shared" si="482"/>
        <v>0</v>
      </c>
      <c r="AF331" s="12">
        <f t="shared" si="481"/>
        <v>0</v>
      </c>
      <c r="AG331" s="22"/>
      <c r="AJ331" s="6" t="s">
        <v>37</v>
      </c>
      <c r="AK331" s="54">
        <v>0.56999999999999995</v>
      </c>
      <c r="AL331" s="12">
        <v>20.420000000000002</v>
      </c>
      <c r="AM331" s="382">
        <f t="shared" ref="AM331:AM332" si="485">AK331/AL331</f>
        <v>2.7913809990205676E-2</v>
      </c>
    </row>
    <row r="332" spans="1:44" x14ac:dyDescent="0.35">
      <c r="A332" s="6" t="s">
        <v>53</v>
      </c>
      <c r="B332" s="12"/>
      <c r="C332" s="12"/>
      <c r="D332" s="12"/>
      <c r="E332" s="12"/>
      <c r="F332" s="12"/>
      <c r="G332" s="12"/>
      <c r="H332" s="12"/>
      <c r="I332" s="12"/>
      <c r="J332" s="12"/>
      <c r="K332" s="12"/>
      <c r="L332" s="12"/>
      <c r="M332" s="12"/>
      <c r="N332" s="12"/>
      <c r="O332" s="12"/>
      <c r="P332" s="12"/>
      <c r="Q332" s="12"/>
      <c r="R332" s="12"/>
      <c r="S332" s="12">
        <v>0.76</v>
      </c>
      <c r="T332" s="54">
        <v>0.01</v>
      </c>
      <c r="U332" s="12"/>
      <c r="V332" s="12"/>
      <c r="W332" s="12"/>
      <c r="X332" s="12"/>
      <c r="Y332" s="12"/>
      <c r="Z332" s="54">
        <f>SUM(B332:Y332)</f>
        <v>0.77</v>
      </c>
      <c r="AA332" s="24">
        <f t="shared" si="478"/>
        <v>3.0980928623159246E-3</v>
      </c>
      <c r="AC332" s="12">
        <f t="shared" si="479"/>
        <v>0.77</v>
      </c>
      <c r="AD332" s="12">
        <f t="shared" si="480"/>
        <v>0</v>
      </c>
      <c r="AE332" s="12">
        <f t="shared" si="482"/>
        <v>0</v>
      </c>
      <c r="AF332" s="12">
        <f t="shared" si="481"/>
        <v>0.77</v>
      </c>
      <c r="AG332" s="22">
        <f>AD332/AF332</f>
        <v>0</v>
      </c>
      <c r="AJ332" s="6" t="s">
        <v>56</v>
      </c>
      <c r="AK332" s="54">
        <v>0.01</v>
      </c>
      <c r="AL332" s="54">
        <v>0.24000000000000005</v>
      </c>
      <c r="AM332" s="382">
        <f t="shared" si="485"/>
        <v>4.1666666666666657E-2</v>
      </c>
    </row>
    <row r="333" spans="1:44" x14ac:dyDescent="0.35">
      <c r="A333" s="6" t="s">
        <v>54</v>
      </c>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v>0</v>
      </c>
      <c r="AA333" s="24">
        <f t="shared" si="478"/>
        <v>0</v>
      </c>
      <c r="AC333" s="12">
        <f t="shared" si="479"/>
        <v>0</v>
      </c>
      <c r="AD333" s="12">
        <f t="shared" si="480"/>
        <v>0</v>
      </c>
      <c r="AE333" s="12">
        <f t="shared" si="482"/>
        <v>0</v>
      </c>
      <c r="AF333" s="12">
        <f t="shared" si="481"/>
        <v>0</v>
      </c>
      <c r="AG333" s="22"/>
    </row>
    <row r="334" spans="1:44" x14ac:dyDescent="0.35">
      <c r="A334" s="11" t="s">
        <v>17</v>
      </c>
      <c r="B334" s="119"/>
      <c r="C334" s="119"/>
      <c r="D334" s="119"/>
      <c r="E334" s="119"/>
      <c r="F334" s="119"/>
      <c r="G334" s="119"/>
      <c r="H334" s="119"/>
      <c r="I334" s="119"/>
      <c r="J334" s="119"/>
      <c r="K334" s="119"/>
      <c r="L334" s="119"/>
      <c r="M334" s="130">
        <v>0.08</v>
      </c>
      <c r="N334" s="119"/>
      <c r="O334" s="130">
        <v>7.0000000000000007E-2</v>
      </c>
      <c r="P334" s="119"/>
      <c r="Q334" s="119"/>
      <c r="R334" s="119"/>
      <c r="S334" s="119"/>
      <c r="T334" s="119"/>
      <c r="U334" s="130">
        <v>0.08</v>
      </c>
      <c r="V334" s="119"/>
      <c r="W334" s="119"/>
      <c r="X334" s="131">
        <v>0.01</v>
      </c>
      <c r="Y334" s="119"/>
      <c r="Z334" s="130">
        <f>SUM(M334:X334)</f>
        <v>0.24000000000000005</v>
      </c>
      <c r="AA334" s="143">
        <f t="shared" si="478"/>
        <v>9.6563933370885982E-4</v>
      </c>
      <c r="AC334" s="119">
        <f t="shared" si="479"/>
        <v>0.23000000000000004</v>
      </c>
      <c r="AD334" s="119">
        <f t="shared" si="480"/>
        <v>0.01</v>
      </c>
      <c r="AE334" s="119">
        <f t="shared" si="482"/>
        <v>0</v>
      </c>
      <c r="AF334" s="119">
        <f t="shared" si="481"/>
        <v>0.24000000000000005</v>
      </c>
      <c r="AG334" s="143">
        <f>AD334/AF334</f>
        <v>4.1666666666666657E-2</v>
      </c>
    </row>
    <row r="335" spans="1:44" x14ac:dyDescent="0.35">
      <c r="A335" s="6" t="s">
        <v>56</v>
      </c>
      <c r="B335" s="12"/>
      <c r="C335" s="12"/>
      <c r="D335" s="12"/>
      <c r="E335" s="12"/>
      <c r="F335" s="12"/>
      <c r="G335" s="12"/>
      <c r="H335" s="12"/>
      <c r="I335" s="12"/>
      <c r="J335" s="12"/>
      <c r="K335" s="12"/>
      <c r="L335" s="12"/>
      <c r="M335" s="55">
        <v>0.08</v>
      </c>
      <c r="N335" s="12"/>
      <c r="O335" s="55">
        <v>7.0000000000000007E-2</v>
      </c>
      <c r="P335" s="12"/>
      <c r="Q335" s="12"/>
      <c r="R335" s="12"/>
      <c r="S335" s="12"/>
      <c r="T335" s="12"/>
      <c r="U335" s="55">
        <v>0.08</v>
      </c>
      <c r="V335" s="12"/>
      <c r="W335" s="12"/>
      <c r="X335" s="54">
        <v>0.01</v>
      </c>
      <c r="Y335" s="12"/>
      <c r="Z335" s="55">
        <f>SUM(B335:Y335)</f>
        <v>0.24000000000000005</v>
      </c>
      <c r="AA335" s="24">
        <f t="shared" si="478"/>
        <v>9.6563933370885982E-4</v>
      </c>
      <c r="AC335" s="12">
        <f t="shared" si="479"/>
        <v>0.23000000000000004</v>
      </c>
      <c r="AD335" s="12">
        <f t="shared" si="480"/>
        <v>0.01</v>
      </c>
      <c r="AE335" s="12">
        <f t="shared" si="482"/>
        <v>0</v>
      </c>
      <c r="AF335" s="12">
        <f t="shared" si="481"/>
        <v>0.24000000000000005</v>
      </c>
      <c r="AG335" s="22">
        <f>AD335/AF335</f>
        <v>4.1666666666666657E-2</v>
      </c>
    </row>
    <row r="336" spans="1:44" x14ac:dyDescent="0.35">
      <c r="A336" s="11" t="s">
        <v>20</v>
      </c>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v>0</v>
      </c>
      <c r="AA336" s="143">
        <f t="shared" si="478"/>
        <v>0</v>
      </c>
      <c r="AC336" s="119">
        <f t="shared" si="479"/>
        <v>0</v>
      </c>
      <c r="AD336" s="119">
        <f t="shared" si="480"/>
        <v>0</v>
      </c>
      <c r="AE336" s="119">
        <f t="shared" si="482"/>
        <v>0</v>
      </c>
      <c r="AF336" s="119">
        <f t="shared" si="481"/>
        <v>0</v>
      </c>
      <c r="AG336" s="143"/>
    </row>
    <row r="337" spans="1:33" x14ac:dyDescent="0.35">
      <c r="A337" s="6" t="s">
        <v>20</v>
      </c>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v>0</v>
      </c>
      <c r="AA337" s="24">
        <f t="shared" si="478"/>
        <v>0</v>
      </c>
      <c r="AC337" s="12">
        <f t="shared" si="479"/>
        <v>0</v>
      </c>
      <c r="AD337" s="12">
        <f t="shared" si="480"/>
        <v>0</v>
      </c>
      <c r="AE337" s="12">
        <f t="shared" si="482"/>
        <v>0</v>
      </c>
      <c r="AF337" s="12">
        <f t="shared" si="481"/>
        <v>0</v>
      </c>
      <c r="AG337" s="22"/>
    </row>
    <row r="338" spans="1:33" x14ac:dyDescent="0.35">
      <c r="A338" s="11" t="s">
        <v>23</v>
      </c>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v>0</v>
      </c>
      <c r="AA338" s="143">
        <f t="shared" si="478"/>
        <v>0</v>
      </c>
      <c r="AC338" s="119">
        <f t="shared" si="479"/>
        <v>0</v>
      </c>
      <c r="AD338" s="119">
        <f t="shared" si="480"/>
        <v>0</v>
      </c>
      <c r="AE338" s="119">
        <f t="shared" si="482"/>
        <v>0</v>
      </c>
      <c r="AF338" s="119">
        <f t="shared" si="481"/>
        <v>0</v>
      </c>
      <c r="AG338" s="143"/>
    </row>
    <row r="339" spans="1:33" x14ac:dyDescent="0.35">
      <c r="A339" s="6" t="s">
        <v>23</v>
      </c>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v>0</v>
      </c>
      <c r="AA339" s="24">
        <f t="shared" si="478"/>
        <v>0</v>
      </c>
      <c r="AC339" s="12">
        <f t="shared" si="479"/>
        <v>0</v>
      </c>
      <c r="AD339" s="12">
        <f t="shared" si="480"/>
        <v>0</v>
      </c>
      <c r="AE339" s="12">
        <f t="shared" si="482"/>
        <v>0</v>
      </c>
      <c r="AF339" s="12">
        <f t="shared" si="481"/>
        <v>0</v>
      </c>
      <c r="AG339" s="22"/>
    </row>
    <row r="340" spans="1:33" ht="15.5" x14ac:dyDescent="0.35">
      <c r="A340" s="43" t="s">
        <v>25</v>
      </c>
      <c r="B340" s="142">
        <f>SUM(B313,B315,B319,B322,B327,B330,B334,B336,B338)</f>
        <v>109.12000000000002</v>
      </c>
      <c r="C340" s="142">
        <f t="shared" ref="C340:Y340" si="486">SUM(C313,C315,C319,C322,C327,C330,C334,C336,C338)</f>
        <v>14.239999999999998</v>
      </c>
      <c r="D340" s="142">
        <f t="shared" si="486"/>
        <v>0.88</v>
      </c>
      <c r="E340" s="142">
        <f t="shared" si="486"/>
        <v>0</v>
      </c>
      <c r="F340" s="142">
        <f t="shared" si="486"/>
        <v>0</v>
      </c>
      <c r="G340" s="142">
        <f t="shared" si="486"/>
        <v>3.3499999999999996</v>
      </c>
      <c r="H340" s="142">
        <f t="shared" si="486"/>
        <v>3.29</v>
      </c>
      <c r="I340" s="142">
        <f t="shared" si="486"/>
        <v>0</v>
      </c>
      <c r="J340" s="142">
        <f t="shared" si="486"/>
        <v>1.25</v>
      </c>
      <c r="K340" s="142">
        <f t="shared" si="486"/>
        <v>0.93</v>
      </c>
      <c r="L340" s="142">
        <f t="shared" si="486"/>
        <v>2.1</v>
      </c>
      <c r="M340" s="142">
        <f t="shared" si="486"/>
        <v>10.610000000000001</v>
      </c>
      <c r="N340" s="142">
        <f t="shared" si="486"/>
        <v>1.24</v>
      </c>
      <c r="O340" s="142">
        <f t="shared" si="486"/>
        <v>1.9300000000000002</v>
      </c>
      <c r="P340" s="142">
        <f t="shared" si="486"/>
        <v>4.5299999999999994</v>
      </c>
      <c r="Q340" s="142">
        <f t="shared" si="486"/>
        <v>6.7799999999999994</v>
      </c>
      <c r="R340" s="142">
        <f t="shared" si="486"/>
        <v>6.9500000000000011</v>
      </c>
      <c r="S340" s="142">
        <f t="shared" si="486"/>
        <v>39.729999999999997</v>
      </c>
      <c r="T340" s="142">
        <f t="shared" si="486"/>
        <v>13.860000000000001</v>
      </c>
      <c r="U340" s="142">
        <f t="shared" si="486"/>
        <v>16.2</v>
      </c>
      <c r="V340" s="142">
        <f t="shared" si="486"/>
        <v>5.870000000000001</v>
      </c>
      <c r="W340" s="142">
        <f t="shared" si="486"/>
        <v>1.75</v>
      </c>
      <c r="X340" s="142">
        <f t="shared" si="486"/>
        <v>3.9299999999999997</v>
      </c>
      <c r="Y340" s="142">
        <f t="shared" si="486"/>
        <v>0</v>
      </c>
      <c r="Z340" s="142">
        <f>SUM(Z313,Z315,Z319,Z322,Z327,Z330,Z334,Z336:Z337,Z338)</f>
        <v>248.54000000000002</v>
      </c>
      <c r="AA340" s="188">
        <f>SUM(AA313,AA315,AA319,AA322,AA327,AA330,AA334,AA336,AA338)</f>
        <v>0.99999999999999989</v>
      </c>
      <c r="AC340" s="142">
        <f t="shared" si="479"/>
        <v>236.99</v>
      </c>
      <c r="AD340" s="142">
        <f t="shared" si="480"/>
        <v>11.55</v>
      </c>
      <c r="AE340" s="142">
        <f t="shared" si="482"/>
        <v>0</v>
      </c>
      <c r="AF340" s="142">
        <f t="shared" si="481"/>
        <v>248.54000000000002</v>
      </c>
      <c r="AG340" s="197">
        <f>AD340/AF340</f>
        <v>4.6471392934738877E-2</v>
      </c>
    </row>
    <row r="341" spans="1:33" x14ac:dyDescent="0.35">
      <c r="A341" s="378" t="s">
        <v>253</v>
      </c>
      <c r="B341" s="379"/>
      <c r="C341" s="379">
        <f>C340+B340</f>
        <v>123.36000000000001</v>
      </c>
      <c r="D341" s="379">
        <f>D340+C341</f>
        <v>124.24000000000001</v>
      </c>
      <c r="E341" s="379">
        <f>E340+D341</f>
        <v>124.24000000000001</v>
      </c>
      <c r="F341" s="379">
        <f t="shared" ref="F341" si="487">F340+E341</f>
        <v>124.24000000000001</v>
      </c>
      <c r="G341" s="379">
        <f t="shared" ref="G341" si="488">G340+F341</f>
        <v>127.59</v>
      </c>
      <c r="H341" s="379">
        <f t="shared" ref="H341" si="489">H340+G341</f>
        <v>130.88</v>
      </c>
      <c r="I341" s="379">
        <f t="shared" ref="I341" si="490">I340+H341</f>
        <v>130.88</v>
      </c>
      <c r="J341" s="379">
        <f t="shared" ref="J341" si="491">J340+I341</f>
        <v>132.13</v>
      </c>
      <c r="K341" s="379">
        <f t="shared" ref="K341" si="492">K340+J341</f>
        <v>133.06</v>
      </c>
      <c r="L341" s="379">
        <f t="shared" ref="L341" si="493">L340+K341</f>
        <v>135.16</v>
      </c>
      <c r="M341" s="379">
        <f t="shared" ref="M341" si="494">M340+L341</f>
        <v>145.77000000000001</v>
      </c>
      <c r="N341" s="379">
        <f t="shared" ref="N341" si="495">N340+M341</f>
        <v>147.01000000000002</v>
      </c>
      <c r="O341" s="379">
        <f t="shared" ref="O341" si="496">O340+N341</f>
        <v>148.94000000000003</v>
      </c>
      <c r="P341" s="379">
        <f t="shared" ref="P341" si="497">P340+O341</f>
        <v>153.47000000000003</v>
      </c>
      <c r="Q341" s="379">
        <f t="shared" ref="Q341" si="498">Q340+P341</f>
        <v>160.25000000000003</v>
      </c>
      <c r="R341" s="379">
        <f t="shared" ref="R341" si="499">R340+Q341</f>
        <v>167.20000000000002</v>
      </c>
      <c r="S341" s="379">
        <f t="shared" ref="S341" si="500">S340+R341</f>
        <v>206.93</v>
      </c>
      <c r="T341" s="379">
        <f t="shared" ref="T341" si="501">T340+S341</f>
        <v>220.79000000000002</v>
      </c>
      <c r="U341" s="379">
        <f t="shared" ref="U341" si="502">U340+T341</f>
        <v>236.99</v>
      </c>
      <c r="V341" s="379">
        <f t="shared" ref="V341" si="503">V340+U341</f>
        <v>242.86</v>
      </c>
      <c r="W341" s="379">
        <f t="shared" ref="W341" si="504">W340+V341</f>
        <v>244.61</v>
      </c>
      <c r="X341" s="379">
        <f t="shared" ref="X341" si="505">X340+W341</f>
        <v>248.54000000000002</v>
      </c>
    </row>
    <row r="342" spans="1:33" x14ac:dyDescent="0.35">
      <c r="A342" s="380" t="s">
        <v>254</v>
      </c>
      <c r="B342" s="379"/>
      <c r="C342" s="381"/>
      <c r="D342" s="381">
        <f>D341/C341-1</f>
        <v>7.1335927367055518E-3</v>
      </c>
      <c r="E342" s="381">
        <f t="shared" ref="E342" si="506">E341/D341-1</f>
        <v>0</v>
      </c>
      <c r="F342" s="381">
        <f t="shared" ref="F342" si="507">F341/E341-1</f>
        <v>0</v>
      </c>
      <c r="G342" s="381">
        <f t="shared" ref="G342" si="508">G341/F341-1</f>
        <v>2.6963940759819671E-2</v>
      </c>
      <c r="H342" s="381">
        <f t="shared" ref="H342" si="509">H341/G341-1</f>
        <v>2.5785719884003466E-2</v>
      </c>
      <c r="I342" s="381">
        <f t="shared" ref="I342" si="510">I341/H341-1</f>
        <v>0</v>
      </c>
      <c r="J342" s="381">
        <f t="shared" ref="J342" si="511">J341/I341-1</f>
        <v>9.5507334963325086E-3</v>
      </c>
      <c r="K342" s="381">
        <f t="shared" ref="K342" si="512">K341/J341-1</f>
        <v>7.0385226670703904E-3</v>
      </c>
      <c r="L342" s="381">
        <f t="shared" ref="L342" si="513">L341/K341-1</f>
        <v>1.5782353825341877E-2</v>
      </c>
      <c r="M342" s="381">
        <f t="shared" ref="M342" si="514">M341/L341-1</f>
        <v>7.8499556081681021E-2</v>
      </c>
      <c r="N342" s="381">
        <f t="shared" ref="N342" si="515">N341/M341-1</f>
        <v>8.5065514166153822E-3</v>
      </c>
      <c r="O342" s="381">
        <f t="shared" ref="O342" si="516">O341/N341-1</f>
        <v>1.3128358615060343E-2</v>
      </c>
      <c r="P342" s="381">
        <f t="shared" ref="P342" si="517">P341/O341-1</f>
        <v>3.0414932187458055E-2</v>
      </c>
      <c r="Q342" s="381">
        <f t="shared" ref="Q342" si="518">Q341/P341-1</f>
        <v>4.417801524727949E-2</v>
      </c>
      <c r="R342" s="381">
        <f t="shared" ref="R342" si="519">R341/Q341-1</f>
        <v>4.3369734789391545E-2</v>
      </c>
      <c r="S342" s="381">
        <f t="shared" ref="S342" si="520">S341/R341-1</f>
        <v>0.23761961722488034</v>
      </c>
      <c r="T342" s="381">
        <f t="shared" ref="T342" si="521">T341/S341-1</f>
        <v>6.6979171700575213E-2</v>
      </c>
      <c r="U342" s="381">
        <f t="shared" ref="U342" si="522">U341/T341-1</f>
        <v>7.3372888264866987E-2</v>
      </c>
      <c r="V342" s="381">
        <f t="shared" ref="V342" si="523">V341/U341-1</f>
        <v>2.4768977593991437E-2</v>
      </c>
      <c r="W342" s="381">
        <f t="shared" ref="W342" si="524">W341/V341-1</f>
        <v>7.2057975788519801E-3</v>
      </c>
      <c r="X342" s="381">
        <f t="shared" ref="X342" si="525">X341/W341-1</f>
        <v>1.6066391398552815E-2</v>
      </c>
    </row>
    <row r="343" spans="1:33" ht="15.5" x14ac:dyDescent="0.35">
      <c r="A343" s="146" t="s">
        <v>99</v>
      </c>
      <c r="B343" s="147" t="s">
        <v>100</v>
      </c>
      <c r="C343" s="147">
        <v>2000</v>
      </c>
      <c r="D343" s="147">
        <v>2001</v>
      </c>
      <c r="E343" s="147">
        <v>2002</v>
      </c>
      <c r="F343" s="147">
        <v>2003</v>
      </c>
      <c r="G343" s="147">
        <v>2004</v>
      </c>
      <c r="H343" s="147">
        <v>2005</v>
      </c>
      <c r="I343" s="147">
        <v>2006</v>
      </c>
      <c r="J343" s="147">
        <v>2007</v>
      </c>
      <c r="K343" s="147">
        <v>2008</v>
      </c>
      <c r="L343" s="147">
        <v>2009</v>
      </c>
      <c r="M343" s="147">
        <v>2010</v>
      </c>
      <c r="N343" s="147">
        <v>2011</v>
      </c>
      <c r="O343" s="147">
        <v>2012</v>
      </c>
      <c r="P343" s="147">
        <v>2013</v>
      </c>
      <c r="Q343" s="147">
        <v>2014</v>
      </c>
      <c r="R343" s="147">
        <v>2015</v>
      </c>
      <c r="S343" s="147">
        <v>2016</v>
      </c>
      <c r="T343" s="147">
        <v>2017</v>
      </c>
      <c r="U343" s="147">
        <v>2018</v>
      </c>
      <c r="V343" s="147">
        <v>2019</v>
      </c>
      <c r="W343" s="147">
        <v>2020</v>
      </c>
      <c r="X343" s="147">
        <v>2021</v>
      </c>
      <c r="Y343" s="183" t="s">
        <v>90</v>
      </c>
    </row>
    <row r="344" spans="1:33" x14ac:dyDescent="0.35">
      <c r="A344" s="11" t="s">
        <v>5</v>
      </c>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384"/>
    </row>
    <row r="345" spans="1:33" x14ac:dyDescent="0.35">
      <c r="A345" s="11" t="s">
        <v>12</v>
      </c>
      <c r="B345" s="22">
        <f t="shared" ref="B345:Y345" si="526">B315/$Z$315</f>
        <v>1</v>
      </c>
      <c r="C345" s="22">
        <f t="shared" si="526"/>
        <v>0</v>
      </c>
      <c r="D345" s="22">
        <f t="shared" si="526"/>
        <v>0</v>
      </c>
      <c r="E345" s="22">
        <f t="shared" si="526"/>
        <v>0</v>
      </c>
      <c r="F345" s="22">
        <f t="shared" si="526"/>
        <v>0</v>
      </c>
      <c r="G345" s="22">
        <f t="shared" si="526"/>
        <v>0</v>
      </c>
      <c r="H345" s="22">
        <f t="shared" si="526"/>
        <v>0</v>
      </c>
      <c r="I345" s="22">
        <f t="shared" si="526"/>
        <v>0</v>
      </c>
      <c r="J345" s="22">
        <f t="shared" si="526"/>
        <v>0</v>
      </c>
      <c r="K345" s="22">
        <f t="shared" si="526"/>
        <v>0</v>
      </c>
      <c r="L345" s="22">
        <f t="shared" si="526"/>
        <v>0</v>
      </c>
      <c r="M345" s="22">
        <f t="shared" si="526"/>
        <v>0</v>
      </c>
      <c r="N345" s="22">
        <f t="shared" si="526"/>
        <v>0</v>
      </c>
      <c r="O345" s="22">
        <f t="shared" si="526"/>
        <v>0</v>
      </c>
      <c r="P345" s="22">
        <f t="shared" si="526"/>
        <v>0</v>
      </c>
      <c r="Q345" s="22">
        <f t="shared" si="526"/>
        <v>0</v>
      </c>
      <c r="R345" s="22">
        <f t="shared" si="526"/>
        <v>0</v>
      </c>
      <c r="S345" s="22">
        <f t="shared" si="526"/>
        <v>0</v>
      </c>
      <c r="T345" s="22">
        <f t="shared" si="526"/>
        <v>0</v>
      </c>
      <c r="U345" s="22">
        <f t="shared" si="526"/>
        <v>0</v>
      </c>
      <c r="V345" s="22">
        <f t="shared" si="526"/>
        <v>0</v>
      </c>
      <c r="W345" s="22">
        <f t="shared" si="526"/>
        <v>0</v>
      </c>
      <c r="X345" s="22">
        <f t="shared" si="526"/>
        <v>0</v>
      </c>
      <c r="Y345" s="385">
        <f t="shared" si="526"/>
        <v>0</v>
      </c>
    </row>
    <row r="346" spans="1:33" x14ac:dyDescent="0.35">
      <c r="A346" s="11" t="s">
        <v>13</v>
      </c>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385"/>
    </row>
    <row r="347" spans="1:33" x14ac:dyDescent="0.35">
      <c r="A347" s="11" t="s">
        <v>14</v>
      </c>
      <c r="B347" s="22">
        <f t="shared" ref="B347:Y347" si="527">B322/$Z$322</f>
        <v>0.44116575591985435</v>
      </c>
      <c r="C347" s="22">
        <f t="shared" si="527"/>
        <v>5.7640153815017192E-2</v>
      </c>
      <c r="D347" s="22">
        <f t="shared" si="527"/>
        <v>3.5620319773325237E-3</v>
      </c>
      <c r="E347" s="22">
        <f t="shared" si="527"/>
        <v>0</v>
      </c>
      <c r="F347" s="22">
        <f t="shared" si="527"/>
        <v>0</v>
      </c>
      <c r="G347" s="22">
        <f t="shared" si="527"/>
        <v>1.356000809552722E-2</v>
      </c>
      <c r="H347" s="22">
        <f t="shared" si="527"/>
        <v>1.3317142278890913E-2</v>
      </c>
      <c r="I347" s="22">
        <f t="shared" si="527"/>
        <v>0</v>
      </c>
      <c r="J347" s="22">
        <f t="shared" si="527"/>
        <v>5.059704513256426E-3</v>
      </c>
      <c r="K347" s="22">
        <f t="shared" si="527"/>
        <v>3.7644201578627807E-3</v>
      </c>
      <c r="L347" s="22">
        <f t="shared" si="527"/>
        <v>8.5003035822707948E-3</v>
      </c>
      <c r="M347" s="22">
        <f t="shared" si="527"/>
        <v>4.2622950819672135E-2</v>
      </c>
      <c r="N347" s="22">
        <f t="shared" si="527"/>
        <v>5.0192268771503739E-3</v>
      </c>
      <c r="O347" s="22">
        <f t="shared" si="527"/>
        <v>7.5288403157255613E-3</v>
      </c>
      <c r="P347" s="22">
        <f t="shared" si="527"/>
        <v>1.8336369156041282E-2</v>
      </c>
      <c r="Q347" s="22">
        <f t="shared" si="527"/>
        <v>2.744383727990285E-2</v>
      </c>
      <c r="R347" s="22">
        <f t="shared" si="527"/>
        <v>2.813195709370573E-2</v>
      </c>
      <c r="S347" s="22">
        <f t="shared" si="527"/>
        <v>0.15632463064157051</v>
      </c>
      <c r="T347" s="22">
        <f t="shared" si="527"/>
        <v>5.6061526006881204E-2</v>
      </c>
      <c r="U347" s="22">
        <f t="shared" si="527"/>
        <v>6.5249949402954865E-2</v>
      </c>
      <c r="V347" s="22">
        <f t="shared" si="527"/>
        <v>2.3760372394252178E-2</v>
      </c>
      <c r="W347" s="22">
        <f t="shared" si="527"/>
        <v>7.0835863185589962E-3</v>
      </c>
      <c r="X347" s="22">
        <f t="shared" si="527"/>
        <v>1.5867233353572149E-2</v>
      </c>
      <c r="Y347" s="385">
        <f t="shared" si="527"/>
        <v>0</v>
      </c>
    </row>
    <row r="348" spans="1:33" x14ac:dyDescent="0.35">
      <c r="A348" s="11" t="s">
        <v>15</v>
      </c>
      <c r="B348" s="22">
        <f t="shared" ref="B348:Y348" si="528">B327/$Z$327</f>
        <v>0</v>
      </c>
      <c r="C348" s="22">
        <f t="shared" si="528"/>
        <v>0</v>
      </c>
      <c r="D348" s="22">
        <f t="shared" si="528"/>
        <v>0</v>
      </c>
      <c r="E348" s="22">
        <f t="shared" si="528"/>
        <v>0</v>
      </c>
      <c r="F348" s="22">
        <f t="shared" si="528"/>
        <v>0</v>
      </c>
      <c r="G348" s="22">
        <f t="shared" si="528"/>
        <v>0</v>
      </c>
      <c r="H348" s="22">
        <f t="shared" si="528"/>
        <v>0</v>
      </c>
      <c r="I348" s="22">
        <f t="shared" si="528"/>
        <v>0</v>
      </c>
      <c r="J348" s="22">
        <f t="shared" si="528"/>
        <v>0</v>
      </c>
      <c r="K348" s="22">
        <f t="shared" si="528"/>
        <v>0</v>
      </c>
      <c r="L348" s="22">
        <f t="shared" si="528"/>
        <v>0</v>
      </c>
      <c r="M348" s="22">
        <f t="shared" si="528"/>
        <v>0</v>
      </c>
      <c r="N348" s="22">
        <f t="shared" si="528"/>
        <v>0</v>
      </c>
      <c r="O348" s="22">
        <f t="shared" si="528"/>
        <v>0</v>
      </c>
      <c r="P348" s="22">
        <f t="shared" si="528"/>
        <v>0</v>
      </c>
      <c r="Q348" s="22">
        <f t="shared" si="528"/>
        <v>0</v>
      </c>
      <c r="R348" s="22">
        <f t="shared" si="528"/>
        <v>0</v>
      </c>
      <c r="S348" s="22">
        <f t="shared" si="528"/>
        <v>1</v>
      </c>
      <c r="T348" s="22">
        <f t="shared" si="528"/>
        <v>0</v>
      </c>
      <c r="U348" s="22">
        <f t="shared" si="528"/>
        <v>0</v>
      </c>
      <c r="V348" s="22">
        <f t="shared" si="528"/>
        <v>0</v>
      </c>
      <c r="W348" s="22">
        <f t="shared" si="528"/>
        <v>0</v>
      </c>
      <c r="X348" s="22">
        <f t="shared" si="528"/>
        <v>0</v>
      </c>
      <c r="Y348" s="385">
        <f t="shared" si="528"/>
        <v>0</v>
      </c>
    </row>
    <row r="349" spans="1:33" x14ac:dyDescent="0.35">
      <c r="A349" s="11" t="s">
        <v>16</v>
      </c>
      <c r="B349" s="22">
        <f t="shared" ref="B349:Y349" si="529">B330/$Z$330</f>
        <v>0</v>
      </c>
      <c r="C349" s="22">
        <f t="shared" si="529"/>
        <v>0</v>
      </c>
      <c r="D349" s="22">
        <f t="shared" si="529"/>
        <v>0</v>
      </c>
      <c r="E349" s="22">
        <f t="shared" si="529"/>
        <v>0</v>
      </c>
      <c r="F349" s="22">
        <f t="shared" si="529"/>
        <v>0</v>
      </c>
      <c r="G349" s="22">
        <f t="shared" si="529"/>
        <v>0</v>
      </c>
      <c r="H349" s="22">
        <f t="shared" si="529"/>
        <v>0</v>
      </c>
      <c r="I349" s="22">
        <f t="shared" si="529"/>
        <v>0</v>
      </c>
      <c r="J349" s="22">
        <f t="shared" si="529"/>
        <v>0</v>
      </c>
      <c r="K349" s="22">
        <f t="shared" si="529"/>
        <v>0</v>
      </c>
      <c r="L349" s="22">
        <f t="shared" si="529"/>
        <v>0</v>
      </c>
      <c r="M349" s="22">
        <f t="shared" si="529"/>
        <v>0</v>
      </c>
      <c r="N349" s="22">
        <f t="shared" si="529"/>
        <v>0</v>
      </c>
      <c r="O349" s="22">
        <f t="shared" si="529"/>
        <v>0</v>
      </c>
      <c r="P349" s="22">
        <f t="shared" si="529"/>
        <v>0</v>
      </c>
      <c r="Q349" s="22">
        <f t="shared" si="529"/>
        <v>0</v>
      </c>
      <c r="R349" s="22">
        <f t="shared" si="529"/>
        <v>0</v>
      </c>
      <c r="S349" s="22">
        <f t="shared" si="529"/>
        <v>0.98701298701298701</v>
      </c>
      <c r="T349" s="22">
        <f t="shared" si="529"/>
        <v>1.2987012987012986E-2</v>
      </c>
      <c r="U349" s="22">
        <f t="shared" si="529"/>
        <v>0</v>
      </c>
      <c r="V349" s="22">
        <f t="shared" si="529"/>
        <v>0</v>
      </c>
      <c r="W349" s="22">
        <f t="shared" si="529"/>
        <v>0</v>
      </c>
      <c r="X349" s="22">
        <f t="shared" si="529"/>
        <v>0</v>
      </c>
      <c r="Y349" s="385">
        <f t="shared" si="529"/>
        <v>0</v>
      </c>
    </row>
    <row r="350" spans="1:33" x14ac:dyDescent="0.35">
      <c r="A350" s="11" t="s">
        <v>17</v>
      </c>
      <c r="B350" s="22">
        <f t="shared" ref="B350:Y350" si="530">B334/$Z$334</f>
        <v>0</v>
      </c>
      <c r="C350" s="22">
        <f t="shared" si="530"/>
        <v>0</v>
      </c>
      <c r="D350" s="22">
        <f t="shared" si="530"/>
        <v>0</v>
      </c>
      <c r="E350" s="22">
        <f t="shared" si="530"/>
        <v>0</v>
      </c>
      <c r="F350" s="22">
        <f t="shared" si="530"/>
        <v>0</v>
      </c>
      <c r="G350" s="22">
        <f t="shared" si="530"/>
        <v>0</v>
      </c>
      <c r="H350" s="22">
        <f t="shared" si="530"/>
        <v>0</v>
      </c>
      <c r="I350" s="22">
        <f t="shared" si="530"/>
        <v>0</v>
      </c>
      <c r="J350" s="22">
        <f t="shared" si="530"/>
        <v>0</v>
      </c>
      <c r="K350" s="22">
        <f t="shared" si="530"/>
        <v>0</v>
      </c>
      <c r="L350" s="22">
        <f t="shared" si="530"/>
        <v>0</v>
      </c>
      <c r="M350" s="22">
        <f t="shared" si="530"/>
        <v>0.33333333333333326</v>
      </c>
      <c r="N350" s="22">
        <f t="shared" si="530"/>
        <v>0</v>
      </c>
      <c r="O350" s="22">
        <f t="shared" si="530"/>
        <v>0.29166666666666663</v>
      </c>
      <c r="P350" s="22">
        <f t="shared" si="530"/>
        <v>0</v>
      </c>
      <c r="Q350" s="22">
        <f t="shared" si="530"/>
        <v>0</v>
      </c>
      <c r="R350" s="22">
        <f t="shared" si="530"/>
        <v>0</v>
      </c>
      <c r="S350" s="22">
        <f t="shared" si="530"/>
        <v>0</v>
      </c>
      <c r="T350" s="22">
        <f t="shared" si="530"/>
        <v>0</v>
      </c>
      <c r="U350" s="22">
        <f t="shared" si="530"/>
        <v>0.33333333333333326</v>
      </c>
      <c r="V350" s="22">
        <f t="shared" si="530"/>
        <v>0</v>
      </c>
      <c r="W350" s="22">
        <f t="shared" si="530"/>
        <v>0</v>
      </c>
      <c r="X350" s="22">
        <f t="shared" si="530"/>
        <v>4.1666666666666657E-2</v>
      </c>
      <c r="Y350" s="385">
        <f t="shared" si="530"/>
        <v>0</v>
      </c>
    </row>
    <row r="351" spans="1:33" x14ac:dyDescent="0.35">
      <c r="A351" s="11" t="s">
        <v>20</v>
      </c>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385"/>
    </row>
    <row r="352" spans="1:33" x14ac:dyDescent="0.35">
      <c r="A352" s="11" t="s">
        <v>23</v>
      </c>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385"/>
    </row>
    <row r="353" spans="1:25" x14ac:dyDescent="0.35">
      <c r="A353" s="11" t="s">
        <v>25</v>
      </c>
      <c r="B353" s="22">
        <f t="shared" ref="B353:Y353" si="531">B340/$Z$340</f>
        <v>0.43904401705962826</v>
      </c>
      <c r="C353" s="22">
        <f t="shared" si="531"/>
        <v>5.7294600466725666E-2</v>
      </c>
      <c r="D353" s="22">
        <f t="shared" si="531"/>
        <v>3.5406775569324853E-3</v>
      </c>
      <c r="E353" s="22">
        <f t="shared" si="531"/>
        <v>0</v>
      </c>
      <c r="F353" s="22">
        <f t="shared" si="531"/>
        <v>0</v>
      </c>
      <c r="G353" s="22">
        <f t="shared" si="531"/>
        <v>1.3478715699686165E-2</v>
      </c>
      <c r="H353" s="22">
        <f t="shared" si="531"/>
        <v>1.3237305866258951E-2</v>
      </c>
      <c r="I353" s="22">
        <f t="shared" si="531"/>
        <v>0</v>
      </c>
      <c r="J353" s="22">
        <f t="shared" si="531"/>
        <v>5.0293715297336445E-3</v>
      </c>
      <c r="K353" s="22">
        <f t="shared" si="531"/>
        <v>3.7418524181218314E-3</v>
      </c>
      <c r="L353" s="22">
        <f t="shared" si="531"/>
        <v>8.4493441699525218E-3</v>
      </c>
      <c r="M353" s="22">
        <f t="shared" si="531"/>
        <v>4.2689305544379177E-2</v>
      </c>
      <c r="N353" s="22">
        <f t="shared" si="531"/>
        <v>4.9891365574957752E-3</v>
      </c>
      <c r="O353" s="22">
        <f t="shared" si="531"/>
        <v>7.765349641908747E-3</v>
      </c>
      <c r="P353" s="22">
        <f t="shared" si="531"/>
        <v>1.8226442423754725E-2</v>
      </c>
      <c r="Q353" s="22">
        <f t="shared" si="531"/>
        <v>2.7279311177275282E-2</v>
      </c>
      <c r="R353" s="22">
        <f t="shared" si="531"/>
        <v>2.7963305705319064E-2</v>
      </c>
      <c r="S353" s="22">
        <f t="shared" si="531"/>
        <v>0.15985354470105412</v>
      </c>
      <c r="T353" s="22">
        <f t="shared" si="531"/>
        <v>5.5765671521686648E-2</v>
      </c>
      <c r="U353" s="22">
        <f t="shared" si="531"/>
        <v>6.5180655025348019E-2</v>
      </c>
      <c r="V353" s="22">
        <f t="shared" si="531"/>
        <v>2.3617928703629196E-2</v>
      </c>
      <c r="W353" s="22">
        <f t="shared" si="531"/>
        <v>7.0411201416271021E-3</v>
      </c>
      <c r="X353" s="22">
        <f t="shared" si="531"/>
        <v>1.5812344089482577E-2</v>
      </c>
      <c r="Y353" s="385">
        <f t="shared" si="531"/>
        <v>0</v>
      </c>
    </row>
  </sheetData>
  <hyperlinks>
    <hyperlink ref="B1" r:id="rId1" xr:uid="{00000000-0004-0000-0E00-000000000000}"/>
    <hyperlink ref="P1" location="ÍNDICE!A1" display="ÍNDICE!A1" xr:uid="{00000000-0004-0000-0E00-000001000000}"/>
    <hyperlink ref="B5" location="'AVE-EDAD'!A9" display="SECANO" xr:uid="{00000000-0004-0000-0E00-000002000000}"/>
    <hyperlink ref="C5" location="'AVE-EDAD'!A78" display="REGADÍO" xr:uid="{00000000-0004-0000-0E00-000003000000}"/>
    <hyperlink ref="B6" location="'AVE-EDAD'!A125" display="SECANO" xr:uid="{00000000-0004-0000-0E00-000004000000}"/>
    <hyperlink ref="C6" location="'AVE-EDAD'!A194" display="REGADÍO" xr:uid="{00000000-0004-0000-0E00-000005000000}"/>
    <hyperlink ref="B7" location="'AVE-EDAD'!A242" display="SECANO" xr:uid="{00000000-0004-0000-0E00-000006000000}"/>
    <hyperlink ref="C7" location="'AVE-EDAD'!A311" display="REGADÍO" xr:uid="{00000000-0004-0000-0E00-000007000000}"/>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BD257"/>
  <sheetViews>
    <sheetView topLeftCell="AB61" workbookViewId="0"/>
  </sheetViews>
  <sheetFormatPr baseColWidth="10" defaultRowHeight="14.5" x14ac:dyDescent="0.35"/>
  <cols>
    <col min="1" max="1" width="36.1796875" bestFit="1" customWidth="1"/>
    <col min="2" max="23" width="10.81640625" customWidth="1"/>
    <col min="24" max="24" width="17" bestFit="1" customWidth="1"/>
    <col min="25" max="25" width="23.81640625" customWidth="1"/>
    <col min="26" max="26" width="19.453125" bestFit="1" customWidth="1"/>
    <col min="27" max="27" width="15.81640625" customWidth="1"/>
    <col min="29" max="29" width="16" bestFit="1" customWidth="1"/>
    <col min="30" max="30" width="15" bestFit="1" customWidth="1"/>
    <col min="31" max="31" width="15.453125" bestFit="1" customWidth="1"/>
    <col min="32" max="32" width="9.81640625" bestFit="1" customWidth="1"/>
    <col min="33" max="33" width="18" bestFit="1" customWidth="1"/>
    <col min="35" max="35" width="22" bestFit="1" customWidth="1"/>
    <col min="36" max="36" width="15.81640625" bestFit="1" customWidth="1"/>
  </cols>
  <sheetData>
    <row r="1" spans="1:56" x14ac:dyDescent="0.35">
      <c r="A1" s="1" t="s">
        <v>10</v>
      </c>
      <c r="B1" s="2" t="s">
        <v>102</v>
      </c>
      <c r="O1" t="s">
        <v>143</v>
      </c>
      <c r="P1" s="2" t="s">
        <v>144</v>
      </c>
    </row>
    <row r="4" spans="1:56" ht="17.5" x14ac:dyDescent="0.35">
      <c r="A4" s="291" t="s">
        <v>106</v>
      </c>
      <c r="B4" t="s">
        <v>243</v>
      </c>
      <c r="BD4" t="s">
        <v>278</v>
      </c>
    </row>
    <row r="5" spans="1:56" x14ac:dyDescent="0.35">
      <c r="A5" s="293" t="s">
        <v>135</v>
      </c>
      <c r="B5" s="329" t="s">
        <v>223</v>
      </c>
      <c r="C5" s="330" t="s">
        <v>224</v>
      </c>
    </row>
    <row r="6" spans="1:56" x14ac:dyDescent="0.35">
      <c r="A6" s="292" t="s">
        <v>112</v>
      </c>
      <c r="B6" s="329" t="s">
        <v>223</v>
      </c>
      <c r="C6" s="330" t="s">
        <v>224</v>
      </c>
    </row>
    <row r="7" spans="1:56" x14ac:dyDescent="0.35">
      <c r="A7" s="292" t="s">
        <v>111</v>
      </c>
      <c r="B7" s="337" t="s">
        <v>223</v>
      </c>
      <c r="C7" s="338" t="s">
        <v>224</v>
      </c>
    </row>
    <row r="9" spans="1:56" ht="23.5" x14ac:dyDescent="0.55000000000000004">
      <c r="A9" s="289" t="s">
        <v>77</v>
      </c>
      <c r="B9" s="205"/>
    </row>
    <row r="10" spans="1:56" ht="15.5" x14ac:dyDescent="0.35">
      <c r="A10" s="237" t="s">
        <v>136</v>
      </c>
    </row>
    <row r="12" spans="1:56" ht="52" x14ac:dyDescent="0.35">
      <c r="A12" s="213" t="s">
        <v>88</v>
      </c>
      <c r="B12" s="213" t="s">
        <v>89</v>
      </c>
      <c r="C12" s="213">
        <v>2000</v>
      </c>
      <c r="D12" s="213">
        <v>2001</v>
      </c>
      <c r="E12" s="213">
        <v>2002</v>
      </c>
      <c r="F12" s="213">
        <v>2003</v>
      </c>
      <c r="G12" s="213">
        <v>2004</v>
      </c>
      <c r="H12" s="213">
        <v>2005</v>
      </c>
      <c r="I12" s="213">
        <v>2006</v>
      </c>
      <c r="J12" s="213">
        <v>2007</v>
      </c>
      <c r="K12" s="213">
        <v>2008</v>
      </c>
      <c r="L12" s="213">
        <v>2009</v>
      </c>
      <c r="M12" s="213">
        <v>2010</v>
      </c>
      <c r="N12" s="213">
        <v>2011</v>
      </c>
      <c r="O12" s="213">
        <v>2012</v>
      </c>
      <c r="P12" s="213">
        <v>2013</v>
      </c>
      <c r="Q12" s="213">
        <v>2014</v>
      </c>
      <c r="R12" s="213">
        <v>2015</v>
      </c>
      <c r="S12" s="213">
        <v>2016</v>
      </c>
      <c r="T12" s="213">
        <v>2017</v>
      </c>
      <c r="U12" s="213">
        <v>2018</v>
      </c>
      <c r="V12" s="213">
        <v>2019</v>
      </c>
      <c r="W12" s="213">
        <v>2020</v>
      </c>
      <c r="X12" s="213">
        <v>2021</v>
      </c>
      <c r="Y12" s="187" t="s">
        <v>90</v>
      </c>
      <c r="Z12" s="187" t="s">
        <v>91</v>
      </c>
      <c r="AA12" s="187" t="s">
        <v>92</v>
      </c>
      <c r="AC12" s="187" t="s">
        <v>93</v>
      </c>
      <c r="AD12" s="187" t="s">
        <v>107</v>
      </c>
      <c r="AE12" s="187" t="s">
        <v>94</v>
      </c>
      <c r="AF12" s="187" t="s">
        <v>96</v>
      </c>
      <c r="AG12" s="187" t="s">
        <v>97</v>
      </c>
    </row>
    <row r="13" spans="1:56" x14ac:dyDescent="0.35">
      <c r="A13" s="116" t="s">
        <v>5</v>
      </c>
      <c r="B13" s="117">
        <f t="shared" ref="B13:Z13" si="0">B180+B95</f>
        <v>850.46</v>
      </c>
      <c r="C13" s="117">
        <f t="shared" si="0"/>
        <v>45.99</v>
      </c>
      <c r="D13" s="117">
        <f t="shared" si="0"/>
        <v>0</v>
      </c>
      <c r="E13" s="117">
        <f t="shared" si="0"/>
        <v>0.03</v>
      </c>
      <c r="F13" s="117">
        <f t="shared" si="0"/>
        <v>0.22</v>
      </c>
      <c r="G13" s="117">
        <f t="shared" si="0"/>
        <v>3.33</v>
      </c>
      <c r="H13" s="117">
        <f t="shared" si="0"/>
        <v>1.35</v>
      </c>
      <c r="I13" s="117">
        <f t="shared" si="0"/>
        <v>0</v>
      </c>
      <c r="J13" s="117">
        <f t="shared" si="0"/>
        <v>0.21</v>
      </c>
      <c r="K13" s="117">
        <f t="shared" si="0"/>
        <v>0</v>
      </c>
      <c r="L13" s="117">
        <f t="shared" si="0"/>
        <v>6.59</v>
      </c>
      <c r="M13" s="117">
        <f t="shared" si="0"/>
        <v>8.7899999999999991</v>
      </c>
      <c r="N13" s="117">
        <f t="shared" si="0"/>
        <v>0</v>
      </c>
      <c r="O13" s="117">
        <f t="shared" si="0"/>
        <v>0</v>
      </c>
      <c r="P13" s="117">
        <f t="shared" si="0"/>
        <v>0</v>
      </c>
      <c r="Q13" s="117">
        <f t="shared" si="0"/>
        <v>0.15</v>
      </c>
      <c r="R13" s="117">
        <f t="shared" si="0"/>
        <v>14.64</v>
      </c>
      <c r="S13" s="117">
        <f t="shared" si="0"/>
        <v>2.95</v>
      </c>
      <c r="T13" s="117">
        <f t="shared" si="0"/>
        <v>2</v>
      </c>
      <c r="U13" s="117">
        <f t="shared" si="0"/>
        <v>2.4299999999999997</v>
      </c>
      <c r="V13" s="117">
        <f t="shared" si="0"/>
        <v>4.1899999999999995</v>
      </c>
      <c r="W13" s="117">
        <f t="shared" si="0"/>
        <v>19.62</v>
      </c>
      <c r="X13" s="117">
        <f t="shared" si="0"/>
        <v>85.56</v>
      </c>
      <c r="Y13" s="117">
        <f t="shared" si="0"/>
        <v>0.28000000000000003</v>
      </c>
      <c r="Z13" s="117">
        <f t="shared" si="0"/>
        <v>1048.7900000000002</v>
      </c>
      <c r="AA13" s="185">
        <f t="shared" ref="AA13:AA38" si="1">Z13/$Z$39</f>
        <v>6.749092004231709E-2</v>
      </c>
      <c r="AC13" s="117">
        <f>SUM(B13:T13)</f>
        <v>936.71000000000015</v>
      </c>
      <c r="AD13" s="117">
        <f>SUM(U13:X13)</f>
        <v>111.80000000000001</v>
      </c>
      <c r="AE13" s="117">
        <f>Y13</f>
        <v>0.28000000000000003</v>
      </c>
      <c r="AF13" s="117">
        <f>SUM(AC13:AE13)</f>
        <v>1048.7900000000002</v>
      </c>
      <c r="AG13" s="185">
        <f>AD13/AF13</f>
        <v>0.1065990331715596</v>
      </c>
    </row>
    <row r="14" spans="1:56" x14ac:dyDescent="0.35">
      <c r="A14" s="6" t="s">
        <v>78</v>
      </c>
      <c r="B14" s="12">
        <f t="shared" ref="B14:Z14" si="2">B181+B96</f>
        <v>4.1500000000000004</v>
      </c>
      <c r="C14" s="12">
        <f t="shared" si="2"/>
        <v>1.6400000000000001</v>
      </c>
      <c r="D14" s="12">
        <f t="shared" si="2"/>
        <v>0</v>
      </c>
      <c r="E14" s="12">
        <f t="shared" si="2"/>
        <v>0.03</v>
      </c>
      <c r="F14" s="12">
        <f t="shared" si="2"/>
        <v>0.22</v>
      </c>
      <c r="G14" s="12">
        <f t="shared" si="2"/>
        <v>0</v>
      </c>
      <c r="H14" s="12">
        <f t="shared" si="2"/>
        <v>0.14000000000000001</v>
      </c>
      <c r="I14" s="12">
        <f t="shared" si="2"/>
        <v>0</v>
      </c>
      <c r="J14" s="12">
        <f t="shared" si="2"/>
        <v>0</v>
      </c>
      <c r="K14" s="12">
        <f t="shared" si="2"/>
        <v>0</v>
      </c>
      <c r="L14" s="12">
        <f t="shared" si="2"/>
        <v>0</v>
      </c>
      <c r="M14" s="12">
        <f t="shared" si="2"/>
        <v>0.04</v>
      </c>
      <c r="N14" s="12">
        <f t="shared" si="2"/>
        <v>0</v>
      </c>
      <c r="O14" s="12">
        <f t="shared" si="2"/>
        <v>0</v>
      </c>
      <c r="P14" s="12">
        <f t="shared" si="2"/>
        <v>0</v>
      </c>
      <c r="Q14" s="12">
        <f t="shared" si="2"/>
        <v>0</v>
      </c>
      <c r="R14" s="12">
        <f t="shared" si="2"/>
        <v>0.28999999999999998</v>
      </c>
      <c r="S14" s="12">
        <f t="shared" si="2"/>
        <v>0</v>
      </c>
      <c r="T14" s="12">
        <f t="shared" si="2"/>
        <v>0</v>
      </c>
      <c r="U14" s="12">
        <f t="shared" si="2"/>
        <v>0</v>
      </c>
      <c r="V14" s="12">
        <f t="shared" si="2"/>
        <v>0</v>
      </c>
      <c r="W14" s="12">
        <f t="shared" si="2"/>
        <v>0</v>
      </c>
      <c r="X14" s="12">
        <f t="shared" si="2"/>
        <v>0</v>
      </c>
      <c r="Y14" s="12">
        <f t="shared" si="2"/>
        <v>0.11</v>
      </c>
      <c r="Z14" s="12">
        <f t="shared" si="2"/>
        <v>6.62</v>
      </c>
      <c r="AA14" s="22">
        <f t="shared" si="1"/>
        <v>4.2600510176502357E-4</v>
      </c>
      <c r="AC14" s="12">
        <f>SUM(B14:T14)</f>
        <v>6.5100000000000007</v>
      </c>
      <c r="AD14" s="12">
        <f>SUM(U14:X14)</f>
        <v>0</v>
      </c>
      <c r="AE14" s="12">
        <f>Y14</f>
        <v>0.11</v>
      </c>
      <c r="AF14" s="12">
        <f>SUM(AC14:AE14)</f>
        <v>6.620000000000001</v>
      </c>
      <c r="AG14" s="22">
        <f>AD14/AF14</f>
        <v>0</v>
      </c>
    </row>
    <row r="15" spans="1:56" x14ac:dyDescent="0.35">
      <c r="A15" s="6" t="s">
        <v>7</v>
      </c>
      <c r="B15" s="12">
        <f t="shared" ref="B15:Z15" si="3">B182+B97</f>
        <v>6.74</v>
      </c>
      <c r="C15" s="12">
        <f t="shared" si="3"/>
        <v>19.010000000000002</v>
      </c>
      <c r="D15" s="12">
        <f t="shared" si="3"/>
        <v>0</v>
      </c>
      <c r="E15" s="12">
        <f t="shared" si="3"/>
        <v>0</v>
      </c>
      <c r="F15" s="12">
        <f t="shared" si="3"/>
        <v>0</v>
      </c>
      <c r="G15" s="12">
        <f t="shared" si="3"/>
        <v>0</v>
      </c>
      <c r="H15" s="12">
        <f t="shared" si="3"/>
        <v>0.06</v>
      </c>
      <c r="I15" s="12">
        <f t="shared" si="3"/>
        <v>0</v>
      </c>
      <c r="J15" s="12">
        <f t="shared" si="3"/>
        <v>0.21</v>
      </c>
      <c r="K15" s="12">
        <f t="shared" si="3"/>
        <v>0</v>
      </c>
      <c r="L15" s="12">
        <f t="shared" si="3"/>
        <v>0.38</v>
      </c>
      <c r="M15" s="12">
        <f t="shared" si="3"/>
        <v>0.05</v>
      </c>
      <c r="N15" s="12">
        <f t="shared" si="3"/>
        <v>0</v>
      </c>
      <c r="O15" s="12">
        <f t="shared" si="3"/>
        <v>0</v>
      </c>
      <c r="P15" s="12">
        <f t="shared" si="3"/>
        <v>0</v>
      </c>
      <c r="Q15" s="12">
        <f t="shared" si="3"/>
        <v>0</v>
      </c>
      <c r="R15" s="12">
        <f t="shared" si="3"/>
        <v>0.28999999999999998</v>
      </c>
      <c r="S15" s="12">
        <f t="shared" si="3"/>
        <v>0.81</v>
      </c>
      <c r="T15" s="12">
        <f t="shared" si="3"/>
        <v>1.88</v>
      </c>
      <c r="U15" s="12">
        <f t="shared" si="3"/>
        <v>0</v>
      </c>
      <c r="V15" s="12">
        <f t="shared" si="3"/>
        <v>0</v>
      </c>
      <c r="W15" s="12">
        <f t="shared" si="3"/>
        <v>0</v>
      </c>
      <c r="X15" s="12">
        <f t="shared" si="3"/>
        <v>0</v>
      </c>
      <c r="Y15" s="12">
        <f t="shared" si="3"/>
        <v>0.1</v>
      </c>
      <c r="Z15" s="12">
        <f t="shared" si="3"/>
        <v>29.530000000000008</v>
      </c>
      <c r="AA15" s="22">
        <f t="shared" si="1"/>
        <v>1.900291639746397E-3</v>
      </c>
      <c r="AC15" s="12">
        <f t="shared" ref="AC15:AC21" si="4">SUM(B15:T15)</f>
        <v>29.429999999999996</v>
      </c>
      <c r="AD15" s="12">
        <f t="shared" ref="AD15:AD21" si="5">SUM(U15:X15)</f>
        <v>0</v>
      </c>
      <c r="AE15" s="12">
        <f t="shared" ref="AE15:AE21" si="6">Y15</f>
        <v>0.1</v>
      </c>
      <c r="AF15" s="12">
        <f t="shared" ref="AF15:AF21" si="7">SUM(AC15:AE15)</f>
        <v>29.529999999999998</v>
      </c>
      <c r="AG15" s="22">
        <f t="shared" ref="AG15:AG21" si="8">AD15/AF15</f>
        <v>0</v>
      </c>
    </row>
    <row r="16" spans="1:56" x14ac:dyDescent="0.35">
      <c r="A16" s="6" t="s">
        <v>8</v>
      </c>
      <c r="B16" s="12">
        <f t="shared" ref="B16:Z16" si="9">B183+B98</f>
        <v>0</v>
      </c>
      <c r="C16" s="12">
        <f t="shared" si="9"/>
        <v>0</v>
      </c>
      <c r="D16" s="12">
        <f t="shared" si="9"/>
        <v>0</v>
      </c>
      <c r="E16" s="12">
        <f t="shared" si="9"/>
        <v>0</v>
      </c>
      <c r="F16" s="12">
        <f t="shared" si="9"/>
        <v>0</v>
      </c>
      <c r="G16" s="12">
        <f t="shared" si="9"/>
        <v>0</v>
      </c>
      <c r="H16" s="12">
        <f t="shared" si="9"/>
        <v>0</v>
      </c>
      <c r="I16" s="12">
        <f t="shared" si="9"/>
        <v>0</v>
      </c>
      <c r="J16" s="12">
        <f t="shared" si="9"/>
        <v>0</v>
      </c>
      <c r="K16" s="12">
        <f t="shared" si="9"/>
        <v>0</v>
      </c>
      <c r="L16" s="12">
        <f t="shared" si="9"/>
        <v>0</v>
      </c>
      <c r="M16" s="12">
        <f t="shared" si="9"/>
        <v>0</v>
      </c>
      <c r="N16" s="12">
        <f t="shared" si="9"/>
        <v>0</v>
      </c>
      <c r="O16" s="12">
        <f t="shared" si="9"/>
        <v>0</v>
      </c>
      <c r="P16" s="12">
        <f t="shared" si="9"/>
        <v>0</v>
      </c>
      <c r="Q16" s="12">
        <f t="shared" si="9"/>
        <v>0</v>
      </c>
      <c r="R16" s="12">
        <f t="shared" si="9"/>
        <v>0</v>
      </c>
      <c r="S16" s="12">
        <f t="shared" si="9"/>
        <v>0.62</v>
      </c>
      <c r="T16" s="12">
        <f t="shared" si="9"/>
        <v>0</v>
      </c>
      <c r="U16" s="12">
        <f t="shared" si="9"/>
        <v>0</v>
      </c>
      <c r="V16" s="12">
        <f t="shared" si="9"/>
        <v>0</v>
      </c>
      <c r="W16" s="12">
        <f t="shared" si="9"/>
        <v>0</v>
      </c>
      <c r="X16" s="12">
        <f t="shared" si="9"/>
        <v>0</v>
      </c>
      <c r="Y16" s="12">
        <f t="shared" si="9"/>
        <v>0</v>
      </c>
      <c r="Z16" s="12">
        <f t="shared" si="9"/>
        <v>0.62</v>
      </c>
      <c r="AA16" s="22">
        <f t="shared" si="1"/>
        <v>3.9897758775576226E-5</v>
      </c>
      <c r="AC16" s="12">
        <f t="shared" si="4"/>
        <v>0.62</v>
      </c>
      <c r="AD16" s="12">
        <f t="shared" si="5"/>
        <v>0</v>
      </c>
      <c r="AE16" s="12">
        <f t="shared" si="6"/>
        <v>0</v>
      </c>
      <c r="AF16" s="12">
        <f t="shared" si="7"/>
        <v>0.62</v>
      </c>
      <c r="AG16" s="22">
        <f t="shared" si="8"/>
        <v>0</v>
      </c>
    </row>
    <row r="17" spans="1:43" x14ac:dyDescent="0.35">
      <c r="A17" s="6" t="s">
        <v>26</v>
      </c>
      <c r="B17" s="12">
        <f t="shared" ref="B17:Z17" si="10">B184+B99</f>
        <v>18.240000000000002</v>
      </c>
      <c r="C17" s="12">
        <f t="shared" si="10"/>
        <v>0.34</v>
      </c>
      <c r="D17" s="12">
        <f t="shared" si="10"/>
        <v>0</v>
      </c>
      <c r="E17" s="12">
        <f t="shared" si="10"/>
        <v>0</v>
      </c>
      <c r="F17" s="12">
        <f t="shared" si="10"/>
        <v>0</v>
      </c>
      <c r="G17" s="12">
        <f t="shared" si="10"/>
        <v>1.79</v>
      </c>
      <c r="H17" s="12">
        <f t="shared" si="10"/>
        <v>0</v>
      </c>
      <c r="I17" s="12">
        <f t="shared" si="10"/>
        <v>0</v>
      </c>
      <c r="J17" s="12">
        <f t="shared" si="10"/>
        <v>0</v>
      </c>
      <c r="K17" s="12">
        <f t="shared" si="10"/>
        <v>0</v>
      </c>
      <c r="L17" s="12">
        <f t="shared" si="10"/>
        <v>0</v>
      </c>
      <c r="M17" s="12">
        <f t="shared" si="10"/>
        <v>0</v>
      </c>
      <c r="N17" s="12">
        <f t="shared" si="10"/>
        <v>0</v>
      </c>
      <c r="O17" s="12">
        <f t="shared" si="10"/>
        <v>0</v>
      </c>
      <c r="P17" s="12">
        <f t="shared" si="10"/>
        <v>0</v>
      </c>
      <c r="Q17" s="12">
        <f t="shared" si="10"/>
        <v>0</v>
      </c>
      <c r="R17" s="12">
        <f t="shared" si="10"/>
        <v>0</v>
      </c>
      <c r="S17" s="12">
        <f t="shared" si="10"/>
        <v>0</v>
      </c>
      <c r="T17" s="12">
        <f t="shared" si="10"/>
        <v>0</v>
      </c>
      <c r="U17" s="12">
        <f t="shared" si="10"/>
        <v>0</v>
      </c>
      <c r="V17" s="12">
        <f t="shared" si="10"/>
        <v>0</v>
      </c>
      <c r="W17" s="12">
        <f t="shared" si="10"/>
        <v>0</v>
      </c>
      <c r="X17" s="12">
        <f t="shared" si="10"/>
        <v>0</v>
      </c>
      <c r="Y17" s="12">
        <f t="shared" si="10"/>
        <v>0</v>
      </c>
      <c r="Z17" s="12">
        <f t="shared" si="10"/>
        <v>20.37</v>
      </c>
      <c r="AA17" s="22">
        <f t="shared" si="1"/>
        <v>1.3108344294491738E-3</v>
      </c>
      <c r="AC17" s="12">
        <f t="shared" si="4"/>
        <v>20.37</v>
      </c>
      <c r="AD17" s="12">
        <f t="shared" si="5"/>
        <v>0</v>
      </c>
      <c r="AE17" s="12">
        <f t="shared" si="6"/>
        <v>0</v>
      </c>
      <c r="AF17" s="12">
        <f t="shared" si="7"/>
        <v>20.37</v>
      </c>
      <c r="AG17" s="22">
        <f t="shared" si="8"/>
        <v>0</v>
      </c>
    </row>
    <row r="18" spans="1:43" x14ac:dyDescent="0.35">
      <c r="A18" s="6" t="s">
        <v>27</v>
      </c>
      <c r="B18" s="12">
        <f t="shared" ref="B18:Z18" si="11">B185+B100</f>
        <v>704.65</v>
      </c>
      <c r="C18" s="12">
        <f t="shared" si="11"/>
        <v>18.98</v>
      </c>
      <c r="D18" s="12">
        <f t="shared" si="11"/>
        <v>0</v>
      </c>
      <c r="E18" s="12">
        <f t="shared" si="11"/>
        <v>0</v>
      </c>
      <c r="F18" s="12">
        <f t="shared" si="11"/>
        <v>0</v>
      </c>
      <c r="G18" s="12">
        <f t="shared" si="11"/>
        <v>0</v>
      </c>
      <c r="H18" s="12">
        <f t="shared" si="11"/>
        <v>0</v>
      </c>
      <c r="I18" s="12">
        <f t="shared" si="11"/>
        <v>0</v>
      </c>
      <c r="J18" s="12">
        <f t="shared" si="11"/>
        <v>0</v>
      </c>
      <c r="K18" s="12">
        <f t="shared" si="11"/>
        <v>0</v>
      </c>
      <c r="L18" s="12">
        <f t="shared" si="11"/>
        <v>0.04</v>
      </c>
      <c r="M18" s="12">
        <f t="shared" si="11"/>
        <v>0</v>
      </c>
      <c r="N18" s="12">
        <f t="shared" si="11"/>
        <v>0</v>
      </c>
      <c r="O18" s="12">
        <f t="shared" si="11"/>
        <v>0</v>
      </c>
      <c r="P18" s="12">
        <f t="shared" si="11"/>
        <v>0</v>
      </c>
      <c r="Q18" s="12">
        <f t="shared" si="11"/>
        <v>0</v>
      </c>
      <c r="R18" s="12">
        <f t="shared" si="11"/>
        <v>0</v>
      </c>
      <c r="S18" s="12">
        <f t="shared" si="11"/>
        <v>0</v>
      </c>
      <c r="T18" s="12">
        <f t="shared" si="11"/>
        <v>0</v>
      </c>
      <c r="U18" s="12">
        <f t="shared" si="11"/>
        <v>0</v>
      </c>
      <c r="V18" s="12">
        <f t="shared" si="11"/>
        <v>2.98</v>
      </c>
      <c r="W18" s="12">
        <f t="shared" si="11"/>
        <v>11.46</v>
      </c>
      <c r="X18" s="12">
        <f t="shared" si="11"/>
        <v>56.48</v>
      </c>
      <c r="Y18" s="12">
        <f t="shared" si="11"/>
        <v>0</v>
      </c>
      <c r="Z18" s="12">
        <f t="shared" si="11"/>
        <v>794.58999999999992</v>
      </c>
      <c r="AA18" s="22">
        <f t="shared" si="1"/>
        <v>5.1132838944330822E-2</v>
      </c>
      <c r="AC18" s="12">
        <f t="shared" si="4"/>
        <v>723.67</v>
      </c>
      <c r="AD18" s="12">
        <f t="shared" si="5"/>
        <v>70.92</v>
      </c>
      <c r="AE18" s="12">
        <f t="shared" si="6"/>
        <v>0</v>
      </c>
      <c r="AF18" s="12">
        <f t="shared" si="7"/>
        <v>794.58999999999992</v>
      </c>
      <c r="AG18" s="22">
        <f t="shared" si="8"/>
        <v>8.925357731660355E-2</v>
      </c>
    </row>
    <row r="19" spans="1:43" x14ac:dyDescent="0.35">
      <c r="A19" s="6" t="s">
        <v>28</v>
      </c>
      <c r="B19" s="12">
        <f t="shared" ref="B19:Z19" si="12">B186+B101</f>
        <v>0.31</v>
      </c>
      <c r="C19" s="12">
        <f t="shared" si="12"/>
        <v>0</v>
      </c>
      <c r="D19" s="12">
        <f t="shared" si="12"/>
        <v>0</v>
      </c>
      <c r="E19" s="12">
        <f t="shared" si="12"/>
        <v>0</v>
      </c>
      <c r="F19" s="12">
        <f t="shared" si="12"/>
        <v>0</v>
      </c>
      <c r="G19" s="12">
        <f t="shared" si="12"/>
        <v>0</v>
      </c>
      <c r="H19" s="12">
        <f t="shared" si="12"/>
        <v>0</v>
      </c>
      <c r="I19" s="12">
        <f t="shared" si="12"/>
        <v>0</v>
      </c>
      <c r="J19" s="12">
        <f t="shared" si="12"/>
        <v>0</v>
      </c>
      <c r="K19" s="12">
        <f t="shared" si="12"/>
        <v>0</v>
      </c>
      <c r="L19" s="12">
        <f t="shared" si="12"/>
        <v>0</v>
      </c>
      <c r="M19" s="12">
        <f t="shared" si="12"/>
        <v>0</v>
      </c>
      <c r="N19" s="12">
        <f t="shared" si="12"/>
        <v>0</v>
      </c>
      <c r="O19" s="12">
        <f t="shared" si="12"/>
        <v>0</v>
      </c>
      <c r="P19" s="12">
        <f t="shared" si="12"/>
        <v>0</v>
      </c>
      <c r="Q19" s="12">
        <f t="shared" si="12"/>
        <v>0</v>
      </c>
      <c r="R19" s="12">
        <f t="shared" si="12"/>
        <v>0</v>
      </c>
      <c r="S19" s="12">
        <f t="shared" si="12"/>
        <v>0</v>
      </c>
      <c r="T19" s="12">
        <f t="shared" si="12"/>
        <v>0</v>
      </c>
      <c r="U19" s="12">
        <f t="shared" si="12"/>
        <v>0</v>
      </c>
      <c r="V19" s="12">
        <f t="shared" si="12"/>
        <v>0</v>
      </c>
      <c r="W19" s="12">
        <f t="shared" si="12"/>
        <v>0</v>
      </c>
      <c r="X19" s="12">
        <f t="shared" si="12"/>
        <v>0</v>
      </c>
      <c r="Y19" s="12">
        <f t="shared" si="12"/>
        <v>0</v>
      </c>
      <c r="Z19" s="12">
        <f t="shared" si="12"/>
        <v>0.31</v>
      </c>
      <c r="AA19" s="22">
        <f t="shared" si="1"/>
        <v>1.9948879387788113E-5</v>
      </c>
      <c r="AC19" s="12">
        <f t="shared" si="4"/>
        <v>0.31</v>
      </c>
      <c r="AD19" s="12">
        <f t="shared" si="5"/>
        <v>0</v>
      </c>
      <c r="AE19" s="12">
        <f t="shared" si="6"/>
        <v>0</v>
      </c>
      <c r="AF19" s="12">
        <f t="shared" si="7"/>
        <v>0.31</v>
      </c>
      <c r="AG19" s="22">
        <f t="shared" si="8"/>
        <v>0</v>
      </c>
    </row>
    <row r="20" spans="1:43" x14ac:dyDescent="0.35">
      <c r="A20" s="6" t="s">
        <v>29</v>
      </c>
      <c r="B20" s="12">
        <f t="shared" ref="B20:Z20" si="13">B187+B102</f>
        <v>91.53</v>
      </c>
      <c r="C20" s="12">
        <f t="shared" si="13"/>
        <v>4.6099999999999994</v>
      </c>
      <c r="D20" s="12">
        <f t="shared" si="13"/>
        <v>0</v>
      </c>
      <c r="E20" s="12">
        <f t="shared" si="13"/>
        <v>0</v>
      </c>
      <c r="F20" s="12">
        <f t="shared" si="13"/>
        <v>0</v>
      </c>
      <c r="G20" s="12">
        <f t="shared" si="13"/>
        <v>1.54</v>
      </c>
      <c r="H20" s="12">
        <f t="shared" si="13"/>
        <v>0.86</v>
      </c>
      <c r="I20" s="12">
        <f t="shared" si="13"/>
        <v>0</v>
      </c>
      <c r="J20" s="12">
        <f t="shared" si="13"/>
        <v>0</v>
      </c>
      <c r="K20" s="12">
        <f t="shared" si="13"/>
        <v>0</v>
      </c>
      <c r="L20" s="12">
        <f t="shared" si="13"/>
        <v>6.17</v>
      </c>
      <c r="M20" s="12">
        <f t="shared" si="13"/>
        <v>7.71</v>
      </c>
      <c r="N20" s="12">
        <f t="shared" si="13"/>
        <v>0</v>
      </c>
      <c r="O20" s="12">
        <f t="shared" si="13"/>
        <v>0</v>
      </c>
      <c r="P20" s="12">
        <f t="shared" si="13"/>
        <v>0</v>
      </c>
      <c r="Q20" s="12">
        <f t="shared" si="13"/>
        <v>0.15</v>
      </c>
      <c r="R20" s="12">
        <f t="shared" si="13"/>
        <v>1.95</v>
      </c>
      <c r="S20" s="12">
        <f t="shared" si="13"/>
        <v>1.52</v>
      </c>
      <c r="T20" s="12">
        <f t="shared" si="13"/>
        <v>0.12000000000000001</v>
      </c>
      <c r="U20" s="12">
        <f t="shared" si="13"/>
        <v>2.4299999999999997</v>
      </c>
      <c r="V20" s="12">
        <f t="shared" si="13"/>
        <v>1.21</v>
      </c>
      <c r="W20" s="12">
        <f t="shared" si="13"/>
        <v>8.16</v>
      </c>
      <c r="X20" s="12">
        <f t="shared" si="13"/>
        <v>17.63</v>
      </c>
      <c r="Y20" s="12">
        <f t="shared" si="13"/>
        <v>7.0000000000000007E-2</v>
      </c>
      <c r="Z20" s="12">
        <f t="shared" si="13"/>
        <v>145.66</v>
      </c>
      <c r="AA20" s="22">
        <f t="shared" si="1"/>
        <v>9.3733992633071497E-3</v>
      </c>
      <c r="AC20" s="12">
        <f t="shared" si="4"/>
        <v>116.16000000000001</v>
      </c>
      <c r="AD20" s="12">
        <f t="shared" si="5"/>
        <v>29.43</v>
      </c>
      <c r="AE20" s="12">
        <f t="shared" si="6"/>
        <v>7.0000000000000007E-2</v>
      </c>
      <c r="AF20" s="12">
        <f t="shared" si="7"/>
        <v>145.66</v>
      </c>
      <c r="AG20" s="22">
        <f t="shared" si="8"/>
        <v>0.20204586022243581</v>
      </c>
    </row>
    <row r="21" spans="1:43" x14ac:dyDescent="0.35">
      <c r="A21" s="6" t="s">
        <v>30</v>
      </c>
      <c r="B21" s="12">
        <f t="shared" ref="B21:Z21" si="14">B188+B103</f>
        <v>24.840000000000003</v>
      </c>
      <c r="C21" s="12">
        <f t="shared" si="14"/>
        <v>1.4100000000000001</v>
      </c>
      <c r="D21" s="12">
        <f t="shared" si="14"/>
        <v>0</v>
      </c>
      <c r="E21" s="12">
        <f t="shared" si="14"/>
        <v>0</v>
      </c>
      <c r="F21" s="12">
        <f t="shared" si="14"/>
        <v>0</v>
      </c>
      <c r="G21" s="12">
        <f t="shared" si="14"/>
        <v>0</v>
      </c>
      <c r="H21" s="12">
        <f t="shared" si="14"/>
        <v>0.28999999999999998</v>
      </c>
      <c r="I21" s="12">
        <f t="shared" si="14"/>
        <v>0</v>
      </c>
      <c r="J21" s="12">
        <f t="shared" si="14"/>
        <v>0</v>
      </c>
      <c r="K21" s="12">
        <f t="shared" si="14"/>
        <v>0</v>
      </c>
      <c r="L21" s="12">
        <f t="shared" si="14"/>
        <v>0</v>
      </c>
      <c r="M21" s="12">
        <f t="shared" si="14"/>
        <v>0.99</v>
      </c>
      <c r="N21" s="12">
        <f t="shared" si="14"/>
        <v>0</v>
      </c>
      <c r="O21" s="12">
        <f t="shared" si="14"/>
        <v>0</v>
      </c>
      <c r="P21" s="12">
        <f t="shared" si="14"/>
        <v>0</v>
      </c>
      <c r="Q21" s="12">
        <f t="shared" si="14"/>
        <v>0</v>
      </c>
      <c r="R21" s="12">
        <f t="shared" si="14"/>
        <v>12.11</v>
      </c>
      <c r="S21" s="12">
        <f t="shared" si="14"/>
        <v>0</v>
      </c>
      <c r="T21" s="12">
        <f t="shared" si="14"/>
        <v>0</v>
      </c>
      <c r="U21" s="12">
        <f t="shared" si="14"/>
        <v>0</v>
      </c>
      <c r="V21" s="12">
        <f t="shared" si="14"/>
        <v>0</v>
      </c>
      <c r="W21" s="12">
        <f t="shared" si="14"/>
        <v>0</v>
      </c>
      <c r="X21" s="12">
        <f t="shared" si="14"/>
        <v>11.45</v>
      </c>
      <c r="Y21" s="12">
        <f t="shared" si="14"/>
        <v>0</v>
      </c>
      <c r="Z21" s="12">
        <f t="shared" si="14"/>
        <v>51.09</v>
      </c>
      <c r="AA21" s="22">
        <f t="shared" si="1"/>
        <v>3.2877040255551442E-3</v>
      </c>
      <c r="AC21" s="12">
        <f t="shared" si="4"/>
        <v>39.64</v>
      </c>
      <c r="AD21" s="12">
        <f t="shared" si="5"/>
        <v>11.45</v>
      </c>
      <c r="AE21" s="12">
        <f t="shared" si="6"/>
        <v>0</v>
      </c>
      <c r="AF21" s="12">
        <f t="shared" si="7"/>
        <v>51.09</v>
      </c>
      <c r="AG21" s="22">
        <f t="shared" si="8"/>
        <v>0.22411430808377369</v>
      </c>
    </row>
    <row r="22" spans="1:43" x14ac:dyDescent="0.35">
      <c r="A22" s="116" t="s">
        <v>15</v>
      </c>
      <c r="B22" s="117">
        <f t="shared" ref="B22:Z22" si="15">B189+B104</f>
        <v>0</v>
      </c>
      <c r="C22" s="117">
        <f t="shared" si="15"/>
        <v>0</v>
      </c>
      <c r="D22" s="117">
        <f t="shared" si="15"/>
        <v>0</v>
      </c>
      <c r="E22" s="117">
        <f t="shared" si="15"/>
        <v>0</v>
      </c>
      <c r="F22" s="117">
        <f t="shared" si="15"/>
        <v>0</v>
      </c>
      <c r="G22" s="117">
        <f t="shared" si="15"/>
        <v>0</v>
      </c>
      <c r="H22" s="117">
        <f t="shared" si="15"/>
        <v>0</v>
      </c>
      <c r="I22" s="117">
        <f t="shared" si="15"/>
        <v>0</v>
      </c>
      <c r="J22" s="117">
        <f t="shared" si="15"/>
        <v>0</v>
      </c>
      <c r="K22" s="117">
        <f t="shared" si="15"/>
        <v>0</v>
      </c>
      <c r="L22" s="117">
        <f t="shared" si="15"/>
        <v>0</v>
      </c>
      <c r="M22" s="117">
        <f t="shared" si="15"/>
        <v>0</v>
      </c>
      <c r="N22" s="117">
        <f t="shared" si="15"/>
        <v>0</v>
      </c>
      <c r="O22" s="117">
        <f t="shared" si="15"/>
        <v>0</v>
      </c>
      <c r="P22" s="117">
        <f t="shared" si="15"/>
        <v>0</v>
      </c>
      <c r="Q22" s="117">
        <f t="shared" si="15"/>
        <v>0</v>
      </c>
      <c r="R22" s="117">
        <f t="shared" si="15"/>
        <v>0</v>
      </c>
      <c r="S22" s="117">
        <f t="shared" si="15"/>
        <v>0</v>
      </c>
      <c r="T22" s="117">
        <f t="shared" si="15"/>
        <v>0</v>
      </c>
      <c r="U22" s="117">
        <f t="shared" si="15"/>
        <v>0</v>
      </c>
      <c r="V22" s="117">
        <f t="shared" si="15"/>
        <v>0</v>
      </c>
      <c r="W22" s="117">
        <f t="shared" si="15"/>
        <v>0</v>
      </c>
      <c r="X22" s="117">
        <f t="shared" si="15"/>
        <v>0</v>
      </c>
      <c r="Y22" s="117">
        <f t="shared" si="15"/>
        <v>0</v>
      </c>
      <c r="Z22" s="117">
        <f t="shared" si="15"/>
        <v>0</v>
      </c>
      <c r="AA22" s="185">
        <f t="shared" si="1"/>
        <v>0</v>
      </c>
      <c r="AC22" s="117">
        <f>SUM(B22:T22)</f>
        <v>0</v>
      </c>
      <c r="AD22" s="117">
        <f>SUM(U22:X22)</f>
        <v>0</v>
      </c>
      <c r="AE22" s="117">
        <f>Y22</f>
        <v>0</v>
      </c>
      <c r="AF22" s="117">
        <f>SUM(AC22:AE22)</f>
        <v>0</v>
      </c>
      <c r="AG22" s="185"/>
    </row>
    <row r="23" spans="1:43" x14ac:dyDescent="0.35">
      <c r="A23" s="6" t="s">
        <v>45</v>
      </c>
      <c r="B23" s="12">
        <f t="shared" ref="B23:Z23" si="16">B190+B105</f>
        <v>0</v>
      </c>
      <c r="C23" s="12">
        <f t="shared" si="16"/>
        <v>0</v>
      </c>
      <c r="D23" s="12">
        <f t="shared" si="16"/>
        <v>0</v>
      </c>
      <c r="E23" s="12">
        <f t="shared" si="16"/>
        <v>0</v>
      </c>
      <c r="F23" s="12">
        <f t="shared" si="16"/>
        <v>0</v>
      </c>
      <c r="G23" s="12">
        <f t="shared" si="16"/>
        <v>0</v>
      </c>
      <c r="H23" s="12">
        <f t="shared" si="16"/>
        <v>0</v>
      </c>
      <c r="I23" s="12">
        <f t="shared" si="16"/>
        <v>0</v>
      </c>
      <c r="J23" s="12">
        <f t="shared" si="16"/>
        <v>0</v>
      </c>
      <c r="K23" s="12">
        <f t="shared" si="16"/>
        <v>0</v>
      </c>
      <c r="L23" s="12">
        <f t="shared" si="16"/>
        <v>0</v>
      </c>
      <c r="M23" s="12">
        <f t="shared" si="16"/>
        <v>0</v>
      </c>
      <c r="N23" s="12">
        <f t="shared" si="16"/>
        <v>0</v>
      </c>
      <c r="O23" s="12">
        <f t="shared" si="16"/>
        <v>0</v>
      </c>
      <c r="P23" s="12">
        <f t="shared" si="16"/>
        <v>0</v>
      </c>
      <c r="Q23" s="12">
        <f t="shared" si="16"/>
        <v>0</v>
      </c>
      <c r="R23" s="12">
        <f t="shared" si="16"/>
        <v>0</v>
      </c>
      <c r="S23" s="12">
        <f t="shared" si="16"/>
        <v>0</v>
      </c>
      <c r="T23" s="12">
        <f t="shared" si="16"/>
        <v>0</v>
      </c>
      <c r="U23" s="12">
        <f t="shared" si="16"/>
        <v>0</v>
      </c>
      <c r="V23" s="12">
        <f t="shared" si="16"/>
        <v>0</v>
      </c>
      <c r="W23" s="12">
        <f t="shared" si="16"/>
        <v>0</v>
      </c>
      <c r="X23" s="12">
        <f t="shared" si="16"/>
        <v>0</v>
      </c>
      <c r="Y23" s="12">
        <f t="shared" si="16"/>
        <v>0</v>
      </c>
      <c r="Z23" s="12">
        <f t="shared" si="16"/>
        <v>0</v>
      </c>
      <c r="AA23" s="22">
        <f t="shared" si="1"/>
        <v>0</v>
      </c>
      <c r="AC23" s="12">
        <f t="shared" ref="AC23:AC24" si="17">SUM(B23:T23)</f>
        <v>0</v>
      </c>
      <c r="AD23" s="12">
        <f t="shared" ref="AD23:AD24" si="18">SUM(U23:X23)</f>
        <v>0</v>
      </c>
      <c r="AE23" s="12">
        <f t="shared" ref="AE23:AE24" si="19">Y23</f>
        <v>0</v>
      </c>
      <c r="AF23" s="12">
        <f t="shared" ref="AF23:AF24" si="20">SUM(AC23:AE23)</f>
        <v>0</v>
      </c>
      <c r="AG23" s="22"/>
    </row>
    <row r="24" spans="1:43" x14ac:dyDescent="0.35">
      <c r="A24" s="6" t="s">
        <v>42</v>
      </c>
      <c r="B24" s="12">
        <f t="shared" ref="B24:Z24" si="21">B191+B106</f>
        <v>0</v>
      </c>
      <c r="C24" s="12">
        <f t="shared" si="21"/>
        <v>0</v>
      </c>
      <c r="D24" s="12">
        <f t="shared" si="21"/>
        <v>0</v>
      </c>
      <c r="E24" s="12">
        <f t="shared" si="21"/>
        <v>0</v>
      </c>
      <c r="F24" s="12">
        <f t="shared" si="21"/>
        <v>0</v>
      </c>
      <c r="G24" s="12">
        <f t="shared" si="21"/>
        <v>0</v>
      </c>
      <c r="H24" s="12">
        <f t="shared" si="21"/>
        <v>0</v>
      </c>
      <c r="I24" s="12">
        <f t="shared" si="21"/>
        <v>0</v>
      </c>
      <c r="J24" s="12">
        <f t="shared" si="21"/>
        <v>0</v>
      </c>
      <c r="K24" s="12">
        <f t="shared" si="21"/>
        <v>0</v>
      </c>
      <c r="L24" s="12">
        <f t="shared" si="21"/>
        <v>0</v>
      </c>
      <c r="M24" s="12">
        <f t="shared" si="21"/>
        <v>0</v>
      </c>
      <c r="N24" s="12">
        <f t="shared" si="21"/>
        <v>0</v>
      </c>
      <c r="O24" s="12">
        <f t="shared" si="21"/>
        <v>0</v>
      </c>
      <c r="P24" s="12">
        <f t="shared" si="21"/>
        <v>0</v>
      </c>
      <c r="Q24" s="12">
        <f t="shared" si="21"/>
        <v>0</v>
      </c>
      <c r="R24" s="12">
        <f t="shared" si="21"/>
        <v>0</v>
      </c>
      <c r="S24" s="12">
        <f t="shared" si="21"/>
        <v>0</v>
      </c>
      <c r="T24" s="12">
        <f t="shared" si="21"/>
        <v>0</v>
      </c>
      <c r="U24" s="12">
        <f t="shared" si="21"/>
        <v>0</v>
      </c>
      <c r="V24" s="12">
        <f t="shared" si="21"/>
        <v>0</v>
      </c>
      <c r="W24" s="12">
        <f t="shared" si="21"/>
        <v>0</v>
      </c>
      <c r="X24" s="12">
        <f t="shared" si="21"/>
        <v>0</v>
      </c>
      <c r="Y24" s="12">
        <f t="shared" si="21"/>
        <v>0</v>
      </c>
      <c r="Z24" s="12">
        <f t="shared" si="21"/>
        <v>0</v>
      </c>
      <c r="AA24" s="22">
        <f t="shared" si="1"/>
        <v>0</v>
      </c>
      <c r="AC24" s="12">
        <f t="shared" si="17"/>
        <v>0</v>
      </c>
      <c r="AD24" s="12">
        <f t="shared" si="18"/>
        <v>0</v>
      </c>
      <c r="AE24" s="12">
        <f t="shared" si="19"/>
        <v>0</v>
      </c>
      <c r="AF24" s="12">
        <f t="shared" si="20"/>
        <v>0</v>
      </c>
      <c r="AG24" s="22"/>
    </row>
    <row r="25" spans="1:43" x14ac:dyDescent="0.35">
      <c r="A25" s="116" t="s">
        <v>13</v>
      </c>
      <c r="B25" s="117">
        <f t="shared" ref="B25:Z25" si="22">B192+B107</f>
        <v>7210.0800000000609</v>
      </c>
      <c r="C25" s="117">
        <f t="shared" si="22"/>
        <v>130.88000000000005</v>
      </c>
      <c r="D25" s="117">
        <f t="shared" si="22"/>
        <v>6.41</v>
      </c>
      <c r="E25" s="117">
        <f t="shared" si="22"/>
        <v>8.17</v>
      </c>
      <c r="F25" s="117">
        <f t="shared" si="22"/>
        <v>1.4100000000000001</v>
      </c>
      <c r="G25" s="117">
        <f t="shared" si="22"/>
        <v>6.1</v>
      </c>
      <c r="H25" s="117">
        <f t="shared" si="22"/>
        <v>18.84</v>
      </c>
      <c r="I25" s="117">
        <f t="shared" si="22"/>
        <v>7.4799999999999995</v>
      </c>
      <c r="J25" s="117">
        <f t="shared" si="22"/>
        <v>6.29</v>
      </c>
      <c r="K25" s="117">
        <f t="shared" si="22"/>
        <v>7.9000000000000012</v>
      </c>
      <c r="L25" s="117">
        <f t="shared" si="22"/>
        <v>5.6199999999999992</v>
      </c>
      <c r="M25" s="117">
        <f t="shared" si="22"/>
        <v>9.6999999999999993</v>
      </c>
      <c r="N25" s="117">
        <f t="shared" si="22"/>
        <v>3.23</v>
      </c>
      <c r="O25" s="117">
        <f t="shared" si="22"/>
        <v>20.58</v>
      </c>
      <c r="P25" s="117">
        <f t="shared" si="22"/>
        <v>1.7</v>
      </c>
      <c r="Q25" s="117">
        <f t="shared" si="22"/>
        <v>7.33</v>
      </c>
      <c r="R25" s="117">
        <f t="shared" si="22"/>
        <v>8.33</v>
      </c>
      <c r="S25" s="117">
        <f t="shared" si="22"/>
        <v>4.2700000000000005</v>
      </c>
      <c r="T25" s="117">
        <f t="shared" si="22"/>
        <v>4.57</v>
      </c>
      <c r="U25" s="117">
        <f t="shared" si="22"/>
        <v>9</v>
      </c>
      <c r="V25" s="117">
        <f t="shared" si="22"/>
        <v>22.919999999999998</v>
      </c>
      <c r="W25" s="117">
        <f t="shared" si="22"/>
        <v>9.58</v>
      </c>
      <c r="X25" s="117">
        <f t="shared" si="22"/>
        <v>23.060000000000002</v>
      </c>
      <c r="Y25" s="117">
        <f t="shared" si="22"/>
        <v>68.150000000000006</v>
      </c>
      <c r="Z25" s="117">
        <f t="shared" si="22"/>
        <v>7601.6000000000604</v>
      </c>
      <c r="AA25" s="185">
        <f t="shared" si="1"/>
        <v>0.48917226307810102</v>
      </c>
      <c r="AC25" s="117">
        <f>SUM(B25:T25)</f>
        <v>7468.8900000000594</v>
      </c>
      <c r="AD25" s="117">
        <f>SUM(U25:X25)</f>
        <v>64.56</v>
      </c>
      <c r="AE25" s="117">
        <f>Y25</f>
        <v>68.150000000000006</v>
      </c>
      <c r="AF25" s="117">
        <f>SUM(AC25:AE25)</f>
        <v>7601.6000000000595</v>
      </c>
      <c r="AG25" s="185">
        <f>AD25/AF25</f>
        <v>8.4929488528730137E-3</v>
      </c>
      <c r="AN25" s="342"/>
      <c r="AO25" s="342" t="s">
        <v>256</v>
      </c>
      <c r="AP25" s="342" t="s">
        <v>96</v>
      </c>
      <c r="AQ25" s="342" t="s">
        <v>257</v>
      </c>
    </row>
    <row r="26" spans="1:43" x14ac:dyDescent="0.35">
      <c r="A26" s="6" t="s">
        <v>34</v>
      </c>
      <c r="B26" s="12">
        <f t="shared" ref="B26:Z26" si="23">B193+B108</f>
        <v>187.17000000000019</v>
      </c>
      <c r="C26" s="12">
        <f t="shared" si="23"/>
        <v>50.680000000000021</v>
      </c>
      <c r="D26" s="12">
        <f t="shared" si="23"/>
        <v>0.30000000000000004</v>
      </c>
      <c r="E26" s="12">
        <f t="shared" si="23"/>
        <v>0</v>
      </c>
      <c r="F26" s="12">
        <f t="shared" si="23"/>
        <v>0</v>
      </c>
      <c r="G26" s="12">
        <f t="shared" si="23"/>
        <v>0</v>
      </c>
      <c r="H26" s="12">
        <f t="shared" si="23"/>
        <v>0.60000000000000009</v>
      </c>
      <c r="I26" s="12">
        <f t="shared" si="23"/>
        <v>1.1200000000000001</v>
      </c>
      <c r="J26" s="12">
        <f t="shared" si="23"/>
        <v>0</v>
      </c>
      <c r="K26" s="12">
        <f t="shared" si="23"/>
        <v>0.57000000000000006</v>
      </c>
      <c r="L26" s="12">
        <f t="shared" si="23"/>
        <v>0.37</v>
      </c>
      <c r="M26" s="12">
        <f t="shared" si="23"/>
        <v>2.4500000000000002</v>
      </c>
      <c r="N26" s="12">
        <f t="shared" si="23"/>
        <v>0</v>
      </c>
      <c r="O26" s="12">
        <f t="shared" si="23"/>
        <v>0.04</v>
      </c>
      <c r="P26" s="12">
        <f t="shared" si="23"/>
        <v>0</v>
      </c>
      <c r="Q26" s="12">
        <f t="shared" si="23"/>
        <v>0.47</v>
      </c>
      <c r="R26" s="12">
        <f t="shared" si="23"/>
        <v>1.8900000000000001</v>
      </c>
      <c r="S26" s="12">
        <f t="shared" si="23"/>
        <v>0.3</v>
      </c>
      <c r="T26" s="12">
        <f t="shared" si="23"/>
        <v>0</v>
      </c>
      <c r="U26" s="12">
        <f t="shared" si="23"/>
        <v>0</v>
      </c>
      <c r="V26" s="12">
        <f t="shared" si="23"/>
        <v>0.1</v>
      </c>
      <c r="W26" s="12">
        <f t="shared" si="23"/>
        <v>7.0000000000000007E-2</v>
      </c>
      <c r="X26" s="12">
        <f t="shared" si="23"/>
        <v>1.2100000000000002</v>
      </c>
      <c r="Y26" s="12">
        <f t="shared" si="23"/>
        <v>1.7700000000000005</v>
      </c>
      <c r="Z26" s="12">
        <f t="shared" si="23"/>
        <v>249.11000000000018</v>
      </c>
      <c r="AA26" s="22">
        <f t="shared" si="1"/>
        <v>1.6030533368683549E-2</v>
      </c>
      <c r="AC26" s="12">
        <f t="shared" ref="AC26:AC28" si="24">SUM(B26:T26)</f>
        <v>245.96000000000018</v>
      </c>
      <c r="AD26" s="12">
        <f t="shared" ref="AD26:AD28" si="25">SUM(U26:X26)</f>
        <v>1.3800000000000001</v>
      </c>
      <c r="AE26" s="12">
        <f t="shared" ref="AE26:AE28" si="26">Y26</f>
        <v>1.7700000000000005</v>
      </c>
      <c r="AF26" s="12">
        <f t="shared" ref="AF26:AF28" si="27">SUM(AC26:AE26)</f>
        <v>249.11000000000018</v>
      </c>
      <c r="AG26" s="22">
        <f t="shared" ref="AG26:AG28" si="28">AD26/AF26</f>
        <v>5.5397214082132358E-3</v>
      </c>
      <c r="AI26" s="210" t="s">
        <v>255</v>
      </c>
      <c r="AN26" s="116" t="s">
        <v>18</v>
      </c>
      <c r="AO26" s="89">
        <v>170.54999999999998</v>
      </c>
      <c r="AP26" s="89">
        <v>2551.3099999999977</v>
      </c>
      <c r="AQ26" s="190">
        <f t="shared" ref="AQ26" si="29">AO26/AP26</f>
        <v>6.6848011413744371E-2</v>
      </c>
    </row>
    <row r="27" spans="1:43" x14ac:dyDescent="0.35">
      <c r="A27" s="6" t="s">
        <v>61</v>
      </c>
      <c r="B27" s="12">
        <f t="shared" ref="B27:Z27" si="30">B194+B109</f>
        <v>2687.2200000000103</v>
      </c>
      <c r="C27" s="12">
        <f t="shared" si="30"/>
        <v>30.789999999999996</v>
      </c>
      <c r="D27" s="12">
        <f t="shared" si="30"/>
        <v>1.21</v>
      </c>
      <c r="E27" s="12">
        <f t="shared" si="30"/>
        <v>5.96</v>
      </c>
      <c r="F27" s="12">
        <f t="shared" si="30"/>
        <v>0.79</v>
      </c>
      <c r="G27" s="12">
        <f t="shared" si="30"/>
        <v>2.9400000000000004</v>
      </c>
      <c r="H27" s="12">
        <f t="shared" si="30"/>
        <v>11.59</v>
      </c>
      <c r="I27" s="12">
        <f t="shared" si="30"/>
        <v>3.48</v>
      </c>
      <c r="J27" s="12">
        <f t="shared" si="30"/>
        <v>4.41</v>
      </c>
      <c r="K27" s="12">
        <f t="shared" si="30"/>
        <v>5.2900000000000009</v>
      </c>
      <c r="L27" s="12">
        <f t="shared" si="30"/>
        <v>1.6</v>
      </c>
      <c r="M27" s="12">
        <f t="shared" si="30"/>
        <v>2.14</v>
      </c>
      <c r="N27" s="12">
        <f t="shared" si="30"/>
        <v>0.32</v>
      </c>
      <c r="O27" s="12">
        <f t="shared" si="30"/>
        <v>19.23</v>
      </c>
      <c r="P27" s="12">
        <f t="shared" si="30"/>
        <v>0.74</v>
      </c>
      <c r="Q27" s="12">
        <f t="shared" si="30"/>
        <v>3.5700000000000003</v>
      </c>
      <c r="R27" s="12">
        <f t="shared" si="30"/>
        <v>3.1899999999999995</v>
      </c>
      <c r="S27" s="12">
        <f t="shared" si="30"/>
        <v>1.6</v>
      </c>
      <c r="T27" s="12">
        <f t="shared" si="30"/>
        <v>1.55</v>
      </c>
      <c r="U27" s="12">
        <f t="shared" si="30"/>
        <v>3.83</v>
      </c>
      <c r="V27" s="12">
        <f t="shared" si="30"/>
        <v>4.78</v>
      </c>
      <c r="W27" s="12">
        <f t="shared" si="30"/>
        <v>3.5</v>
      </c>
      <c r="X27" s="12">
        <f t="shared" si="30"/>
        <v>8.16</v>
      </c>
      <c r="Y27" s="12">
        <f t="shared" si="30"/>
        <v>17.959999999999997</v>
      </c>
      <c r="Z27" s="12">
        <f t="shared" si="30"/>
        <v>2825.8500000000104</v>
      </c>
      <c r="AA27" s="22">
        <f t="shared" si="1"/>
        <v>0.18184690586445562</v>
      </c>
      <c r="AC27" s="12">
        <f t="shared" si="24"/>
        <v>2787.6200000000104</v>
      </c>
      <c r="AD27" s="12">
        <f t="shared" si="25"/>
        <v>20.27</v>
      </c>
      <c r="AE27" s="12">
        <f t="shared" si="26"/>
        <v>17.959999999999997</v>
      </c>
      <c r="AF27" s="12">
        <f t="shared" si="27"/>
        <v>2825.8500000000104</v>
      </c>
      <c r="AG27" s="22">
        <f t="shared" si="28"/>
        <v>7.1730629722030273E-3</v>
      </c>
      <c r="AJ27" t="s">
        <v>256</v>
      </c>
      <c r="AK27" t="s">
        <v>96</v>
      </c>
      <c r="AL27" t="s">
        <v>257</v>
      </c>
      <c r="AN27" s="116" t="s">
        <v>5</v>
      </c>
      <c r="AO27" s="89">
        <v>111.80000000000001</v>
      </c>
      <c r="AP27" s="89">
        <v>1048.7900000000002</v>
      </c>
      <c r="AQ27" s="190">
        <f>AO27/AP27</f>
        <v>0.1065990331715596</v>
      </c>
    </row>
    <row r="28" spans="1:43" x14ac:dyDescent="0.35">
      <c r="A28" s="6" t="s">
        <v>36</v>
      </c>
      <c r="B28" s="12">
        <f t="shared" ref="B28:Z28" si="31">B195+B110</f>
        <v>4335.6900000000505</v>
      </c>
      <c r="C28" s="12">
        <f t="shared" si="31"/>
        <v>49.410000000000018</v>
      </c>
      <c r="D28" s="12">
        <f t="shared" si="31"/>
        <v>4.9000000000000004</v>
      </c>
      <c r="E28" s="12">
        <f t="shared" si="31"/>
        <v>2.2099999999999995</v>
      </c>
      <c r="F28" s="12">
        <f t="shared" si="31"/>
        <v>0.62</v>
      </c>
      <c r="G28" s="12">
        <f t="shared" si="31"/>
        <v>3.1599999999999993</v>
      </c>
      <c r="H28" s="12">
        <f t="shared" si="31"/>
        <v>6.65</v>
      </c>
      <c r="I28" s="12">
        <f t="shared" si="31"/>
        <v>2.8799999999999994</v>
      </c>
      <c r="J28" s="12">
        <f t="shared" si="31"/>
        <v>1.88</v>
      </c>
      <c r="K28" s="12">
        <f t="shared" si="31"/>
        <v>2.04</v>
      </c>
      <c r="L28" s="12">
        <f t="shared" si="31"/>
        <v>3.6499999999999995</v>
      </c>
      <c r="M28" s="12">
        <f t="shared" si="31"/>
        <v>5.1099999999999994</v>
      </c>
      <c r="N28" s="12">
        <f t="shared" si="31"/>
        <v>2.91</v>
      </c>
      <c r="O28" s="12">
        <f t="shared" si="31"/>
        <v>1.31</v>
      </c>
      <c r="P28" s="12">
        <f t="shared" si="31"/>
        <v>0.96</v>
      </c>
      <c r="Q28" s="12">
        <f t="shared" si="31"/>
        <v>3.2899999999999996</v>
      </c>
      <c r="R28" s="12">
        <f t="shared" si="31"/>
        <v>3.25</v>
      </c>
      <c r="S28" s="12">
        <f t="shared" si="31"/>
        <v>2.37</v>
      </c>
      <c r="T28" s="12">
        <f t="shared" si="31"/>
        <v>3.02</v>
      </c>
      <c r="U28" s="12">
        <f t="shared" si="31"/>
        <v>5.17</v>
      </c>
      <c r="V28" s="12">
        <f t="shared" si="31"/>
        <v>18.04</v>
      </c>
      <c r="W28" s="12">
        <f t="shared" si="31"/>
        <v>6.01</v>
      </c>
      <c r="X28" s="12">
        <f t="shared" si="31"/>
        <v>13.690000000000003</v>
      </c>
      <c r="Y28" s="12">
        <f t="shared" si="31"/>
        <v>48.420000000000016</v>
      </c>
      <c r="Z28" s="12">
        <f t="shared" si="31"/>
        <v>4526.6400000000503</v>
      </c>
      <c r="AA28" s="22">
        <f t="shared" si="1"/>
        <v>0.29129482384496186</v>
      </c>
      <c r="AC28" s="12">
        <f t="shared" si="24"/>
        <v>4435.3100000000495</v>
      </c>
      <c r="AD28" s="12">
        <f t="shared" si="25"/>
        <v>42.910000000000004</v>
      </c>
      <c r="AE28" s="12">
        <f t="shared" si="26"/>
        <v>48.420000000000016</v>
      </c>
      <c r="AF28" s="12">
        <f t="shared" si="27"/>
        <v>4526.6400000000494</v>
      </c>
      <c r="AG28" s="22">
        <f t="shared" si="28"/>
        <v>9.4794372868174919E-3</v>
      </c>
      <c r="AI28" s="6" t="s">
        <v>18</v>
      </c>
      <c r="AJ28" s="54">
        <v>170.54999999999998</v>
      </c>
      <c r="AK28" s="12">
        <v>2551.3099999999977</v>
      </c>
      <c r="AL28" s="382">
        <f>AJ28/AK28</f>
        <v>6.6848011413744371E-2</v>
      </c>
      <c r="AN28" s="116" t="s">
        <v>14</v>
      </c>
      <c r="AO28" s="89">
        <v>89.04</v>
      </c>
      <c r="AP28" s="89">
        <v>3622.0900000000083</v>
      </c>
      <c r="AQ28" s="190">
        <f t="shared" ref="AQ28:AQ30" si="32">AO28/AP28</f>
        <v>2.4582492428404542E-2</v>
      </c>
    </row>
    <row r="29" spans="1:43" x14ac:dyDescent="0.35">
      <c r="A29" s="116" t="s">
        <v>14</v>
      </c>
      <c r="B29" s="117">
        <f t="shared" ref="B29:Z29" si="33">B196+B111</f>
        <v>3274.9000000000083</v>
      </c>
      <c r="C29" s="117">
        <f t="shared" si="33"/>
        <v>42.500000000000007</v>
      </c>
      <c r="D29" s="117">
        <f t="shared" si="33"/>
        <v>9.5</v>
      </c>
      <c r="E29" s="117">
        <f t="shared" si="33"/>
        <v>7.6300000000000008</v>
      </c>
      <c r="F29" s="117">
        <f t="shared" si="33"/>
        <v>6.6000000000000005</v>
      </c>
      <c r="G29" s="117">
        <f t="shared" si="33"/>
        <v>8</v>
      </c>
      <c r="H29" s="117">
        <f t="shared" si="33"/>
        <v>13.110000000000003</v>
      </c>
      <c r="I29" s="117">
        <f t="shared" si="33"/>
        <v>20.159999999999997</v>
      </c>
      <c r="J29" s="117">
        <f t="shared" si="33"/>
        <v>19.64</v>
      </c>
      <c r="K29" s="117">
        <f t="shared" si="33"/>
        <v>16.28</v>
      </c>
      <c r="L29" s="117">
        <f t="shared" si="33"/>
        <v>23.150000000000009</v>
      </c>
      <c r="M29" s="117">
        <f t="shared" si="33"/>
        <v>29.11</v>
      </c>
      <c r="N29" s="117">
        <f t="shared" si="33"/>
        <v>15.180000000000001</v>
      </c>
      <c r="O29" s="117">
        <f t="shared" si="33"/>
        <v>9.9999999999999982</v>
      </c>
      <c r="P29" s="117">
        <f t="shared" si="33"/>
        <v>7.7399999999999984</v>
      </c>
      <c r="Q29" s="117">
        <f t="shared" si="33"/>
        <v>6.8499999999999988</v>
      </c>
      <c r="R29" s="117">
        <f t="shared" si="33"/>
        <v>12.76</v>
      </c>
      <c r="S29" s="117">
        <f t="shared" si="33"/>
        <v>6.7799999999999994</v>
      </c>
      <c r="T29" s="117">
        <f t="shared" si="33"/>
        <v>3.0399999999999996</v>
      </c>
      <c r="U29" s="117">
        <f t="shared" si="33"/>
        <v>4.96</v>
      </c>
      <c r="V29" s="117">
        <f t="shared" si="33"/>
        <v>19.819999999999997</v>
      </c>
      <c r="W29" s="117">
        <f t="shared" si="33"/>
        <v>31.28</v>
      </c>
      <c r="X29" s="117">
        <f t="shared" si="33"/>
        <v>32.980000000000004</v>
      </c>
      <c r="Y29" s="117">
        <f t="shared" si="33"/>
        <v>0.12</v>
      </c>
      <c r="Z29" s="117">
        <f t="shared" si="33"/>
        <v>3622.0900000000079</v>
      </c>
      <c r="AA29" s="185">
        <f t="shared" si="1"/>
        <v>0.23308592432810837</v>
      </c>
      <c r="AC29" s="117">
        <f>SUM(B29:T29)</f>
        <v>3532.9300000000085</v>
      </c>
      <c r="AD29" s="117">
        <f>SUM(U29:X29)</f>
        <v>89.04</v>
      </c>
      <c r="AE29" s="117">
        <f>Y29</f>
        <v>0.12</v>
      </c>
      <c r="AF29" s="117">
        <f>SUM(AC29:AE29)</f>
        <v>3622.0900000000083</v>
      </c>
      <c r="AG29" s="185">
        <f>AD29/AF29</f>
        <v>2.4582492428404542E-2</v>
      </c>
      <c r="AI29" s="6" t="s">
        <v>40</v>
      </c>
      <c r="AJ29" s="54">
        <v>83.72</v>
      </c>
      <c r="AK29" s="12">
        <v>3495.6700000000083</v>
      </c>
      <c r="AL29" s="382">
        <f t="shared" ref="AL29:AL37" si="34">AJ29/AK29</f>
        <v>2.39496291125878E-2</v>
      </c>
      <c r="AN29" s="116" t="s">
        <v>13</v>
      </c>
      <c r="AO29" s="89">
        <v>64.56</v>
      </c>
      <c r="AP29" s="89">
        <v>7601.6000000000595</v>
      </c>
      <c r="AQ29" s="190">
        <f t="shared" si="32"/>
        <v>8.4929488528730137E-3</v>
      </c>
    </row>
    <row r="30" spans="1:43" x14ac:dyDescent="0.35">
      <c r="A30" s="6" t="s">
        <v>37</v>
      </c>
      <c r="B30" s="12">
        <f t="shared" ref="B30:Z30" si="35">B197+B112</f>
        <v>118.65</v>
      </c>
      <c r="C30" s="12">
        <f t="shared" si="35"/>
        <v>0.26</v>
      </c>
      <c r="D30" s="12">
        <f t="shared" si="35"/>
        <v>0</v>
      </c>
      <c r="E30" s="12">
        <f t="shared" si="35"/>
        <v>0</v>
      </c>
      <c r="F30" s="12">
        <f t="shared" si="35"/>
        <v>0</v>
      </c>
      <c r="G30" s="12">
        <f t="shared" si="35"/>
        <v>0.28000000000000003</v>
      </c>
      <c r="H30" s="12">
        <f t="shared" si="35"/>
        <v>0</v>
      </c>
      <c r="I30" s="12">
        <f t="shared" si="35"/>
        <v>0</v>
      </c>
      <c r="J30" s="12">
        <f t="shared" si="35"/>
        <v>0</v>
      </c>
      <c r="K30" s="12">
        <f t="shared" si="35"/>
        <v>0</v>
      </c>
      <c r="L30" s="12">
        <f t="shared" si="35"/>
        <v>0.1</v>
      </c>
      <c r="M30" s="12">
        <f t="shared" si="35"/>
        <v>0.08</v>
      </c>
      <c r="N30" s="12">
        <f t="shared" si="35"/>
        <v>0</v>
      </c>
      <c r="O30" s="12">
        <f t="shared" si="35"/>
        <v>0</v>
      </c>
      <c r="P30" s="12">
        <f t="shared" si="35"/>
        <v>0</v>
      </c>
      <c r="Q30" s="12">
        <f t="shared" si="35"/>
        <v>0</v>
      </c>
      <c r="R30" s="12">
        <f t="shared" si="35"/>
        <v>0</v>
      </c>
      <c r="S30" s="12">
        <f t="shared" si="35"/>
        <v>0</v>
      </c>
      <c r="T30" s="12">
        <f t="shared" si="35"/>
        <v>0</v>
      </c>
      <c r="U30" s="12">
        <f t="shared" si="35"/>
        <v>0</v>
      </c>
      <c r="V30" s="12">
        <f t="shared" si="35"/>
        <v>0</v>
      </c>
      <c r="W30" s="12">
        <f t="shared" si="35"/>
        <v>0</v>
      </c>
      <c r="X30" s="12">
        <f t="shared" si="35"/>
        <v>5.32</v>
      </c>
      <c r="Y30" s="12">
        <f t="shared" si="35"/>
        <v>0</v>
      </c>
      <c r="Z30" s="12">
        <f t="shared" si="35"/>
        <v>124.69</v>
      </c>
      <c r="AA30" s="22">
        <f t="shared" si="1"/>
        <v>8.023954099559031E-3</v>
      </c>
      <c r="AC30" s="12">
        <f t="shared" ref="AC30:AC32" si="36">SUM(B30:T30)</f>
        <v>119.37</v>
      </c>
      <c r="AD30" s="12">
        <f t="shared" ref="AD30:AD32" si="37">SUM(U30:X30)</f>
        <v>5.32</v>
      </c>
      <c r="AE30" s="12">
        <f t="shared" ref="AE30:AE32" si="38">Y30</f>
        <v>0</v>
      </c>
      <c r="AF30" s="12">
        <f t="shared" ref="AF30:AF32" si="39">SUM(AC30:AE30)</f>
        <v>124.69</v>
      </c>
      <c r="AG30" s="22">
        <f t="shared" ref="AG30:AG31" si="40">AD30/AF30</f>
        <v>4.266581121180528E-2</v>
      </c>
      <c r="AI30" s="6" t="s">
        <v>27</v>
      </c>
      <c r="AJ30" s="54">
        <v>70.92</v>
      </c>
      <c r="AK30" s="12">
        <v>794.58999999999992</v>
      </c>
      <c r="AL30" s="382">
        <f t="shared" si="34"/>
        <v>8.925357731660355E-2</v>
      </c>
      <c r="AN30" s="116" t="s">
        <v>22</v>
      </c>
      <c r="AO30" s="89">
        <v>24.89</v>
      </c>
      <c r="AP30" s="89">
        <v>712.46999999999969</v>
      </c>
      <c r="AQ30" s="190">
        <f t="shared" si="32"/>
        <v>3.4934804272460609E-2</v>
      </c>
    </row>
    <row r="31" spans="1:43" x14ac:dyDescent="0.35">
      <c r="A31" s="6" t="s">
        <v>38</v>
      </c>
      <c r="B31" s="12">
        <f t="shared" ref="B31:Z31" si="41">B198+B113</f>
        <v>1.73</v>
      </c>
      <c r="C31" s="12">
        <f t="shared" si="41"/>
        <v>0</v>
      </c>
      <c r="D31" s="12">
        <f t="shared" si="41"/>
        <v>0</v>
      </c>
      <c r="E31" s="12">
        <f t="shared" si="41"/>
        <v>0</v>
      </c>
      <c r="F31" s="12">
        <f t="shared" si="41"/>
        <v>0</v>
      </c>
      <c r="G31" s="12">
        <f t="shared" si="41"/>
        <v>0</v>
      </c>
      <c r="H31" s="12">
        <f t="shared" si="41"/>
        <v>0</v>
      </c>
      <c r="I31" s="12">
        <f t="shared" si="41"/>
        <v>0</v>
      </c>
      <c r="J31" s="12">
        <f t="shared" si="41"/>
        <v>0</v>
      </c>
      <c r="K31" s="12">
        <f t="shared" si="41"/>
        <v>0</v>
      </c>
      <c r="L31" s="12">
        <f t="shared" si="41"/>
        <v>0</v>
      </c>
      <c r="M31" s="12">
        <f t="shared" si="41"/>
        <v>0</v>
      </c>
      <c r="N31" s="12">
        <f t="shared" si="41"/>
        <v>0</v>
      </c>
      <c r="O31" s="12">
        <f t="shared" si="41"/>
        <v>0</v>
      </c>
      <c r="P31" s="12">
        <f t="shared" si="41"/>
        <v>0</v>
      </c>
      <c r="Q31" s="12">
        <f t="shared" si="41"/>
        <v>0</v>
      </c>
      <c r="R31" s="12">
        <f t="shared" si="41"/>
        <v>0</v>
      </c>
      <c r="S31" s="12">
        <f t="shared" si="41"/>
        <v>0</v>
      </c>
      <c r="T31" s="12">
        <f t="shared" si="41"/>
        <v>0</v>
      </c>
      <c r="U31" s="12">
        <f t="shared" si="41"/>
        <v>0</v>
      </c>
      <c r="V31" s="12">
        <f t="shared" si="41"/>
        <v>0</v>
      </c>
      <c r="W31" s="12">
        <f t="shared" si="41"/>
        <v>0</v>
      </c>
      <c r="X31" s="12">
        <f t="shared" si="41"/>
        <v>0</v>
      </c>
      <c r="Y31" s="12">
        <f t="shared" si="41"/>
        <v>0</v>
      </c>
      <c r="Z31" s="12">
        <f t="shared" si="41"/>
        <v>1.73</v>
      </c>
      <c r="AA31" s="22">
        <f t="shared" si="1"/>
        <v>1.1132761722862398E-4</v>
      </c>
      <c r="AC31" s="12">
        <f t="shared" si="36"/>
        <v>1.73</v>
      </c>
      <c r="AD31" s="12">
        <f t="shared" si="37"/>
        <v>0</v>
      </c>
      <c r="AE31" s="12">
        <f t="shared" si="38"/>
        <v>0</v>
      </c>
      <c r="AF31" s="12">
        <f t="shared" si="39"/>
        <v>1.73</v>
      </c>
      <c r="AG31" s="22">
        <f t="shared" si="40"/>
        <v>0</v>
      </c>
      <c r="AI31" s="6" t="s">
        <v>36</v>
      </c>
      <c r="AJ31" s="54">
        <v>42.910000000000004</v>
      </c>
      <c r="AK31" s="12">
        <v>4526.6400000000494</v>
      </c>
      <c r="AL31" s="382">
        <f t="shared" si="34"/>
        <v>9.4794372868174919E-3</v>
      </c>
    </row>
    <row r="32" spans="1:43" x14ac:dyDescent="0.35">
      <c r="A32" s="6" t="s">
        <v>40</v>
      </c>
      <c r="B32" s="12">
        <f t="shared" ref="B32:Z32" si="42">B199+B114</f>
        <v>3154.5200000000082</v>
      </c>
      <c r="C32" s="12">
        <f t="shared" si="42"/>
        <v>42.240000000000009</v>
      </c>
      <c r="D32" s="12">
        <f t="shared" si="42"/>
        <v>9.5</v>
      </c>
      <c r="E32" s="12">
        <f t="shared" si="42"/>
        <v>7.6300000000000008</v>
      </c>
      <c r="F32" s="12">
        <f t="shared" si="42"/>
        <v>6.6000000000000005</v>
      </c>
      <c r="G32" s="12">
        <f t="shared" si="42"/>
        <v>7.7200000000000006</v>
      </c>
      <c r="H32" s="12">
        <f t="shared" si="42"/>
        <v>13.110000000000003</v>
      </c>
      <c r="I32" s="12">
        <f t="shared" si="42"/>
        <v>20.159999999999997</v>
      </c>
      <c r="J32" s="12">
        <f t="shared" si="42"/>
        <v>19.64</v>
      </c>
      <c r="K32" s="12">
        <f t="shared" si="42"/>
        <v>16.28</v>
      </c>
      <c r="L32" s="12">
        <f t="shared" si="42"/>
        <v>23.050000000000008</v>
      </c>
      <c r="M32" s="12">
        <f t="shared" si="42"/>
        <v>29.03</v>
      </c>
      <c r="N32" s="12">
        <f t="shared" si="42"/>
        <v>15.180000000000001</v>
      </c>
      <c r="O32" s="12">
        <f t="shared" si="42"/>
        <v>9.9999999999999982</v>
      </c>
      <c r="P32" s="12">
        <f t="shared" si="42"/>
        <v>7.7399999999999984</v>
      </c>
      <c r="Q32" s="12">
        <f t="shared" si="42"/>
        <v>6.8499999999999988</v>
      </c>
      <c r="R32" s="12">
        <f t="shared" si="42"/>
        <v>12.76</v>
      </c>
      <c r="S32" s="12">
        <f t="shared" si="42"/>
        <v>6.7799999999999994</v>
      </c>
      <c r="T32" s="12">
        <f t="shared" si="42"/>
        <v>3.0399999999999996</v>
      </c>
      <c r="U32" s="12">
        <f t="shared" si="42"/>
        <v>4.96</v>
      </c>
      <c r="V32" s="12">
        <f t="shared" si="42"/>
        <v>19.819999999999997</v>
      </c>
      <c r="W32" s="12">
        <f t="shared" si="42"/>
        <v>31.28</v>
      </c>
      <c r="X32" s="12">
        <f t="shared" si="42"/>
        <v>27.66</v>
      </c>
      <c r="Y32" s="12">
        <f t="shared" si="42"/>
        <v>0.12</v>
      </c>
      <c r="Z32" s="12">
        <f t="shared" si="42"/>
        <v>3495.6700000000073</v>
      </c>
      <c r="AA32" s="22">
        <f t="shared" si="1"/>
        <v>0.22495064261132069</v>
      </c>
      <c r="AC32" s="12">
        <f t="shared" si="36"/>
        <v>3411.8300000000086</v>
      </c>
      <c r="AD32" s="12">
        <f t="shared" si="37"/>
        <v>83.72</v>
      </c>
      <c r="AE32" s="12">
        <f t="shared" si="38"/>
        <v>0.12</v>
      </c>
      <c r="AF32" s="12">
        <f t="shared" si="39"/>
        <v>3495.6700000000083</v>
      </c>
      <c r="AG32" s="22">
        <f t="shared" ref="AG32" si="43">AD32/AF32</f>
        <v>2.39496291125878E-2</v>
      </c>
      <c r="AI32" s="6" t="s">
        <v>29</v>
      </c>
      <c r="AJ32" s="54">
        <v>29.43</v>
      </c>
      <c r="AK32" s="12">
        <v>145.66</v>
      </c>
      <c r="AL32" s="382">
        <f t="shared" si="34"/>
        <v>0.20204586022243581</v>
      </c>
    </row>
    <row r="33" spans="1:38" x14ac:dyDescent="0.35">
      <c r="A33" s="116" t="s">
        <v>17</v>
      </c>
      <c r="B33" s="117">
        <f t="shared" ref="B33:Z33" si="44">B200+B115</f>
        <v>3.13</v>
      </c>
      <c r="C33" s="117">
        <f t="shared" si="44"/>
        <v>0</v>
      </c>
      <c r="D33" s="117">
        <f t="shared" si="44"/>
        <v>0</v>
      </c>
      <c r="E33" s="117">
        <f t="shared" si="44"/>
        <v>0</v>
      </c>
      <c r="F33" s="117">
        <f t="shared" si="44"/>
        <v>0</v>
      </c>
      <c r="G33" s="117">
        <f t="shared" si="44"/>
        <v>0</v>
      </c>
      <c r="H33" s="117">
        <f t="shared" si="44"/>
        <v>0</v>
      </c>
      <c r="I33" s="117">
        <f t="shared" si="44"/>
        <v>0</v>
      </c>
      <c r="J33" s="117">
        <f t="shared" si="44"/>
        <v>0</v>
      </c>
      <c r="K33" s="117">
        <f t="shared" si="44"/>
        <v>0</v>
      </c>
      <c r="L33" s="117">
        <f t="shared" si="44"/>
        <v>0</v>
      </c>
      <c r="M33" s="117">
        <f t="shared" si="44"/>
        <v>0.33</v>
      </c>
      <c r="N33" s="117">
        <f t="shared" si="44"/>
        <v>0</v>
      </c>
      <c r="O33" s="117">
        <f t="shared" si="44"/>
        <v>0</v>
      </c>
      <c r="P33" s="117">
        <f t="shared" si="44"/>
        <v>0</v>
      </c>
      <c r="Q33" s="117">
        <f t="shared" si="44"/>
        <v>0</v>
      </c>
      <c r="R33" s="117">
        <f t="shared" si="44"/>
        <v>0</v>
      </c>
      <c r="S33" s="117">
        <f t="shared" si="44"/>
        <v>0</v>
      </c>
      <c r="T33" s="117">
        <f t="shared" si="44"/>
        <v>0</v>
      </c>
      <c r="U33" s="117">
        <f t="shared" si="44"/>
        <v>0</v>
      </c>
      <c r="V33" s="117">
        <f t="shared" si="44"/>
        <v>0</v>
      </c>
      <c r="W33" s="117">
        <f t="shared" si="44"/>
        <v>0</v>
      </c>
      <c r="X33" s="117">
        <f t="shared" si="44"/>
        <v>0</v>
      </c>
      <c r="Y33" s="117">
        <f t="shared" si="44"/>
        <v>0</v>
      </c>
      <c r="Z33" s="117">
        <f t="shared" si="44"/>
        <v>3.46</v>
      </c>
      <c r="AA33" s="185">
        <f t="shared" si="1"/>
        <v>2.2265523445724796E-4</v>
      </c>
      <c r="AC33" s="117">
        <f>SUM(B33:T33)</f>
        <v>3.46</v>
      </c>
      <c r="AD33" s="117">
        <f>SUM(U33:X33)</f>
        <v>0</v>
      </c>
      <c r="AE33" s="117">
        <f>Y33</f>
        <v>0</v>
      </c>
      <c r="AF33" s="117">
        <f>SUM(AC33:AE33)</f>
        <v>3.46</v>
      </c>
      <c r="AG33" s="185">
        <f>AD33/AF33</f>
        <v>0</v>
      </c>
      <c r="AI33" s="6" t="s">
        <v>22</v>
      </c>
      <c r="AJ33" s="54">
        <v>24.89</v>
      </c>
      <c r="AK33" s="12">
        <v>712.46999999999969</v>
      </c>
      <c r="AL33" s="382">
        <f t="shared" si="34"/>
        <v>3.4934804272460609E-2</v>
      </c>
    </row>
    <row r="34" spans="1:38" x14ac:dyDescent="0.35">
      <c r="A34" s="6" t="s">
        <v>55</v>
      </c>
      <c r="B34" s="12">
        <f t="shared" ref="B34:Z34" si="45">B201+B116</f>
        <v>3.13</v>
      </c>
      <c r="C34" s="12">
        <f t="shared" si="45"/>
        <v>0</v>
      </c>
      <c r="D34" s="12">
        <f t="shared" si="45"/>
        <v>0</v>
      </c>
      <c r="E34" s="12">
        <f t="shared" si="45"/>
        <v>0</v>
      </c>
      <c r="F34" s="12">
        <f t="shared" si="45"/>
        <v>0</v>
      </c>
      <c r="G34" s="12">
        <f t="shared" si="45"/>
        <v>0</v>
      </c>
      <c r="H34" s="12">
        <f t="shared" si="45"/>
        <v>0</v>
      </c>
      <c r="I34" s="12">
        <f t="shared" si="45"/>
        <v>0</v>
      </c>
      <c r="J34" s="12">
        <f t="shared" si="45"/>
        <v>0</v>
      </c>
      <c r="K34" s="12">
        <f t="shared" si="45"/>
        <v>0</v>
      </c>
      <c r="L34" s="12">
        <f t="shared" si="45"/>
        <v>0</v>
      </c>
      <c r="M34" s="12">
        <f t="shared" si="45"/>
        <v>0.33</v>
      </c>
      <c r="N34" s="12">
        <f t="shared" si="45"/>
        <v>0</v>
      </c>
      <c r="O34" s="12">
        <f t="shared" si="45"/>
        <v>0</v>
      </c>
      <c r="P34" s="12">
        <f t="shared" si="45"/>
        <v>0</v>
      </c>
      <c r="Q34" s="12">
        <f t="shared" si="45"/>
        <v>0</v>
      </c>
      <c r="R34" s="12">
        <f t="shared" si="45"/>
        <v>0</v>
      </c>
      <c r="S34" s="12">
        <f t="shared" si="45"/>
        <v>0</v>
      </c>
      <c r="T34" s="12">
        <f t="shared" si="45"/>
        <v>0</v>
      </c>
      <c r="U34" s="12">
        <f t="shared" si="45"/>
        <v>0</v>
      </c>
      <c r="V34" s="12">
        <f t="shared" si="45"/>
        <v>0</v>
      </c>
      <c r="W34" s="12">
        <f t="shared" si="45"/>
        <v>0</v>
      </c>
      <c r="X34" s="12">
        <f t="shared" si="45"/>
        <v>0</v>
      </c>
      <c r="Y34" s="12">
        <f t="shared" si="45"/>
        <v>0</v>
      </c>
      <c r="Z34" s="12">
        <f t="shared" si="45"/>
        <v>3.46</v>
      </c>
      <c r="AA34" s="22">
        <f t="shared" si="1"/>
        <v>2.2265523445724796E-4</v>
      </c>
      <c r="AC34" s="12">
        <f t="shared" ref="AC34" si="46">SUM(B34:T34)</f>
        <v>3.46</v>
      </c>
      <c r="AD34" s="12">
        <f t="shared" ref="AD34" si="47">SUM(U34:X34)</f>
        <v>0</v>
      </c>
      <c r="AE34" s="12">
        <f t="shared" ref="AE34" si="48">Y34</f>
        <v>0</v>
      </c>
      <c r="AF34" s="12">
        <f t="shared" ref="AF34" si="49">SUM(AC34:AE34)</f>
        <v>3.46</v>
      </c>
      <c r="AG34" s="22">
        <f t="shared" ref="AG34" si="50">AD34/AF34</f>
        <v>0</v>
      </c>
      <c r="AI34" s="6" t="s">
        <v>61</v>
      </c>
      <c r="AJ34" s="54">
        <v>20.27</v>
      </c>
      <c r="AK34" s="12">
        <v>2825.8500000000104</v>
      </c>
      <c r="AL34" s="382">
        <f t="shared" si="34"/>
        <v>7.1730629722030273E-3</v>
      </c>
    </row>
    <row r="35" spans="1:38" x14ac:dyDescent="0.35">
      <c r="A35" s="116" t="s">
        <v>18</v>
      </c>
      <c r="B35" s="117">
        <f t="shared" ref="B35:Z35" si="51">B202+B117</f>
        <v>1911.6299999999981</v>
      </c>
      <c r="C35" s="117">
        <f t="shared" si="51"/>
        <v>106.02000000000002</v>
      </c>
      <c r="D35" s="117">
        <f t="shared" si="51"/>
        <v>7.23</v>
      </c>
      <c r="E35" s="117">
        <f t="shared" si="51"/>
        <v>16.59</v>
      </c>
      <c r="F35" s="117">
        <f t="shared" si="51"/>
        <v>38.699999999999996</v>
      </c>
      <c r="G35" s="117">
        <f t="shared" si="51"/>
        <v>73.670000000000016</v>
      </c>
      <c r="H35" s="117">
        <f t="shared" si="51"/>
        <v>29.46</v>
      </c>
      <c r="I35" s="117">
        <f t="shared" si="51"/>
        <v>42.379999999999995</v>
      </c>
      <c r="J35" s="117">
        <f t="shared" si="51"/>
        <v>30.27</v>
      </c>
      <c r="K35" s="117">
        <f t="shared" si="51"/>
        <v>7.89</v>
      </c>
      <c r="L35" s="117">
        <f t="shared" si="51"/>
        <v>24.66</v>
      </c>
      <c r="M35" s="117">
        <f t="shared" si="51"/>
        <v>25.810000000000002</v>
      </c>
      <c r="N35" s="117">
        <f t="shared" si="51"/>
        <v>2.48</v>
      </c>
      <c r="O35" s="117">
        <f t="shared" si="51"/>
        <v>6.12</v>
      </c>
      <c r="P35" s="117">
        <f t="shared" si="51"/>
        <v>0.18</v>
      </c>
      <c r="Q35" s="117">
        <f t="shared" si="51"/>
        <v>11.46</v>
      </c>
      <c r="R35" s="117">
        <f t="shared" si="51"/>
        <v>21.379999999999995</v>
      </c>
      <c r="S35" s="117">
        <f t="shared" si="51"/>
        <v>3.92</v>
      </c>
      <c r="T35" s="117">
        <f t="shared" si="51"/>
        <v>11.969999999999999</v>
      </c>
      <c r="U35" s="117">
        <f t="shared" si="51"/>
        <v>43.25</v>
      </c>
      <c r="V35" s="117">
        <f t="shared" si="51"/>
        <v>37.339999999999989</v>
      </c>
      <c r="W35" s="117">
        <f t="shared" si="51"/>
        <v>83.97999999999999</v>
      </c>
      <c r="X35" s="117">
        <f t="shared" si="51"/>
        <v>5.98</v>
      </c>
      <c r="Y35" s="117">
        <f t="shared" si="51"/>
        <v>8.9399999999999959</v>
      </c>
      <c r="Z35" s="117">
        <f t="shared" si="51"/>
        <v>2551.3099999999981</v>
      </c>
      <c r="AA35" s="185">
        <f t="shared" si="1"/>
        <v>0.16417992087373434</v>
      </c>
      <c r="AC35" s="117">
        <f>SUM(B35:T35)</f>
        <v>2371.8199999999974</v>
      </c>
      <c r="AD35" s="117">
        <f>SUM(U35:X35)</f>
        <v>170.54999999999998</v>
      </c>
      <c r="AE35" s="117">
        <f>Y35</f>
        <v>8.9399999999999959</v>
      </c>
      <c r="AF35" s="117">
        <f>SUM(AC35:AE35)</f>
        <v>2551.3099999999977</v>
      </c>
      <c r="AG35" s="185">
        <f>AD35/AF35</f>
        <v>6.6848011413744371E-2</v>
      </c>
      <c r="AI35" s="6" t="s">
        <v>30</v>
      </c>
      <c r="AJ35" s="54">
        <v>11.45</v>
      </c>
      <c r="AK35" s="12">
        <v>51.09</v>
      </c>
      <c r="AL35" s="382">
        <f t="shared" si="34"/>
        <v>0.22411430808377369</v>
      </c>
    </row>
    <row r="36" spans="1:38" x14ac:dyDescent="0.35">
      <c r="A36" s="6" t="s">
        <v>18</v>
      </c>
      <c r="B36" s="12">
        <f t="shared" ref="B36:Z36" si="52">B203+B118</f>
        <v>1911.6299999999981</v>
      </c>
      <c r="C36" s="12">
        <f t="shared" si="52"/>
        <v>106.02000000000002</v>
      </c>
      <c r="D36" s="12">
        <f t="shared" si="52"/>
        <v>7.23</v>
      </c>
      <c r="E36" s="12">
        <f t="shared" si="52"/>
        <v>16.59</v>
      </c>
      <c r="F36" s="12">
        <f t="shared" si="52"/>
        <v>38.699999999999996</v>
      </c>
      <c r="G36" s="12">
        <f t="shared" si="52"/>
        <v>73.670000000000016</v>
      </c>
      <c r="H36" s="12">
        <f t="shared" si="52"/>
        <v>29.46</v>
      </c>
      <c r="I36" s="12">
        <f t="shared" si="52"/>
        <v>42.379999999999995</v>
      </c>
      <c r="J36" s="12">
        <f t="shared" si="52"/>
        <v>30.27</v>
      </c>
      <c r="K36" s="12">
        <f t="shared" si="52"/>
        <v>7.89</v>
      </c>
      <c r="L36" s="12">
        <f t="shared" si="52"/>
        <v>24.66</v>
      </c>
      <c r="M36" s="12">
        <f t="shared" si="52"/>
        <v>25.810000000000002</v>
      </c>
      <c r="N36" s="12">
        <f t="shared" si="52"/>
        <v>2.48</v>
      </c>
      <c r="O36" s="12">
        <f t="shared" si="52"/>
        <v>6.12</v>
      </c>
      <c r="P36" s="12">
        <f t="shared" si="52"/>
        <v>0.18</v>
      </c>
      <c r="Q36" s="12">
        <f t="shared" si="52"/>
        <v>11.46</v>
      </c>
      <c r="R36" s="12">
        <f t="shared" si="52"/>
        <v>21.379999999999995</v>
      </c>
      <c r="S36" s="12">
        <f t="shared" si="52"/>
        <v>3.92</v>
      </c>
      <c r="T36" s="12">
        <f t="shared" si="52"/>
        <v>11.969999999999999</v>
      </c>
      <c r="U36" s="12">
        <f t="shared" si="52"/>
        <v>43.25</v>
      </c>
      <c r="V36" s="12">
        <f t="shared" si="52"/>
        <v>37.339999999999989</v>
      </c>
      <c r="W36" s="12">
        <f t="shared" si="52"/>
        <v>83.97999999999999</v>
      </c>
      <c r="X36" s="12">
        <f t="shared" si="52"/>
        <v>5.98</v>
      </c>
      <c r="Y36" s="12">
        <f t="shared" si="52"/>
        <v>8.9399999999999959</v>
      </c>
      <c r="Z36" s="12">
        <f t="shared" si="52"/>
        <v>2551.3099999999981</v>
      </c>
      <c r="AA36" s="22">
        <f t="shared" si="1"/>
        <v>0.16417992087373434</v>
      </c>
      <c r="AC36" s="12">
        <f t="shared" ref="AC36" si="53">SUM(B36:T36)</f>
        <v>2371.8199999999974</v>
      </c>
      <c r="AD36" s="12">
        <f t="shared" ref="AD36" si="54">SUM(U36:X36)</f>
        <v>170.54999999999998</v>
      </c>
      <c r="AE36" s="12">
        <f t="shared" ref="AE36" si="55">Y36</f>
        <v>8.9399999999999959</v>
      </c>
      <c r="AF36" s="12">
        <f t="shared" ref="AF36" si="56">SUM(AC36:AE36)</f>
        <v>2551.3099999999977</v>
      </c>
      <c r="AG36" s="22">
        <f t="shared" ref="AG36" si="57">AD36/AF36</f>
        <v>6.6848011413744371E-2</v>
      </c>
      <c r="AI36" s="6" t="s">
        <v>37</v>
      </c>
      <c r="AJ36" s="54">
        <v>5.32</v>
      </c>
      <c r="AK36" s="12">
        <v>124.69</v>
      </c>
      <c r="AL36" s="382">
        <f t="shared" si="34"/>
        <v>4.266581121180528E-2</v>
      </c>
    </row>
    <row r="37" spans="1:38" x14ac:dyDescent="0.35">
      <c r="A37" s="116" t="s">
        <v>22</v>
      </c>
      <c r="B37" s="117">
        <f t="shared" ref="B37:Z37" si="58">B204+B119</f>
        <v>563.18999999999983</v>
      </c>
      <c r="C37" s="117">
        <f t="shared" si="58"/>
        <v>17.799999999999997</v>
      </c>
      <c r="D37" s="117">
        <f t="shared" si="58"/>
        <v>3.45</v>
      </c>
      <c r="E37" s="117">
        <f t="shared" si="58"/>
        <v>0.30000000000000004</v>
      </c>
      <c r="F37" s="117">
        <f t="shared" si="58"/>
        <v>1.9300000000000002</v>
      </c>
      <c r="G37" s="117">
        <f t="shared" si="58"/>
        <v>1.46</v>
      </c>
      <c r="H37" s="117">
        <f t="shared" si="58"/>
        <v>2.66</v>
      </c>
      <c r="I37" s="117">
        <f t="shared" si="58"/>
        <v>0</v>
      </c>
      <c r="J37" s="117">
        <f t="shared" si="58"/>
        <v>0.56999999999999995</v>
      </c>
      <c r="K37" s="117">
        <f t="shared" si="58"/>
        <v>2.19</v>
      </c>
      <c r="L37" s="117">
        <f t="shared" si="58"/>
        <v>2.9</v>
      </c>
      <c r="M37" s="117">
        <f t="shared" si="58"/>
        <v>1.34</v>
      </c>
      <c r="N37" s="117">
        <f t="shared" si="58"/>
        <v>2.67</v>
      </c>
      <c r="O37" s="117">
        <f t="shared" si="58"/>
        <v>6.03</v>
      </c>
      <c r="P37" s="117">
        <f t="shared" si="58"/>
        <v>0.7</v>
      </c>
      <c r="Q37" s="117">
        <f t="shared" si="58"/>
        <v>19.3</v>
      </c>
      <c r="R37" s="117">
        <f t="shared" si="58"/>
        <v>33.04</v>
      </c>
      <c r="S37" s="117">
        <f t="shared" si="58"/>
        <v>24.68</v>
      </c>
      <c r="T37" s="117">
        <f t="shared" si="58"/>
        <v>1.37</v>
      </c>
      <c r="U37" s="117">
        <f t="shared" si="58"/>
        <v>13.77</v>
      </c>
      <c r="V37" s="117">
        <f t="shared" si="58"/>
        <v>0</v>
      </c>
      <c r="W37" s="117">
        <f t="shared" si="58"/>
        <v>2.52</v>
      </c>
      <c r="X37" s="117">
        <f t="shared" si="58"/>
        <v>8.6000000000000014</v>
      </c>
      <c r="Y37" s="117">
        <f t="shared" si="58"/>
        <v>2</v>
      </c>
      <c r="Z37" s="117">
        <f t="shared" si="58"/>
        <v>712.4699999999998</v>
      </c>
      <c r="AA37" s="185">
        <f t="shared" si="1"/>
        <v>4.5848316443281911E-2</v>
      </c>
      <c r="AC37" s="117">
        <f>SUM(B37:T37)</f>
        <v>685.5799999999997</v>
      </c>
      <c r="AD37" s="117">
        <f>SUM(U37:X37)</f>
        <v>24.89</v>
      </c>
      <c r="AE37" s="117">
        <f>Y37</f>
        <v>2</v>
      </c>
      <c r="AF37" s="117">
        <f>SUM(AC37:AE37)</f>
        <v>712.46999999999969</v>
      </c>
      <c r="AG37" s="185">
        <f>AD37/AF37</f>
        <v>3.4934804272460609E-2</v>
      </c>
      <c r="AI37" s="6" t="s">
        <v>34</v>
      </c>
      <c r="AJ37" s="54">
        <v>1.3800000000000001</v>
      </c>
      <c r="AK37" s="12">
        <v>249.11000000000018</v>
      </c>
      <c r="AL37" s="382">
        <f t="shared" si="34"/>
        <v>5.5397214082132358E-3</v>
      </c>
    </row>
    <row r="38" spans="1:38" x14ac:dyDescent="0.35">
      <c r="A38" s="6" t="s">
        <v>22</v>
      </c>
      <c r="B38" s="12">
        <f t="shared" ref="B38:Z38" si="59">B205+B120</f>
        <v>563.18999999999983</v>
      </c>
      <c r="C38" s="12">
        <f t="shared" si="59"/>
        <v>17.799999999999997</v>
      </c>
      <c r="D38" s="12">
        <f t="shared" si="59"/>
        <v>3.45</v>
      </c>
      <c r="E38" s="12">
        <f t="shared" si="59"/>
        <v>0.30000000000000004</v>
      </c>
      <c r="F38" s="12">
        <f t="shared" si="59"/>
        <v>1.9300000000000002</v>
      </c>
      <c r="G38" s="12">
        <f t="shared" si="59"/>
        <v>1.46</v>
      </c>
      <c r="H38" s="12">
        <f t="shared" si="59"/>
        <v>2.66</v>
      </c>
      <c r="I38" s="12">
        <f t="shared" si="59"/>
        <v>0</v>
      </c>
      <c r="J38" s="12">
        <f t="shared" si="59"/>
        <v>0.56999999999999995</v>
      </c>
      <c r="K38" s="12">
        <f t="shared" si="59"/>
        <v>2.19</v>
      </c>
      <c r="L38" s="12">
        <f t="shared" si="59"/>
        <v>2.9</v>
      </c>
      <c r="M38" s="12">
        <f t="shared" si="59"/>
        <v>1.34</v>
      </c>
      <c r="N38" s="12">
        <f t="shared" si="59"/>
        <v>2.67</v>
      </c>
      <c r="O38" s="12">
        <f t="shared" si="59"/>
        <v>6.03</v>
      </c>
      <c r="P38" s="12">
        <f t="shared" si="59"/>
        <v>0.7</v>
      </c>
      <c r="Q38" s="12">
        <f t="shared" si="59"/>
        <v>19.3</v>
      </c>
      <c r="R38" s="12">
        <f t="shared" si="59"/>
        <v>33.04</v>
      </c>
      <c r="S38" s="12">
        <f t="shared" si="59"/>
        <v>24.68</v>
      </c>
      <c r="T38" s="12">
        <f t="shared" si="59"/>
        <v>1.37</v>
      </c>
      <c r="U38" s="12">
        <f t="shared" si="59"/>
        <v>13.77</v>
      </c>
      <c r="V38" s="12">
        <f t="shared" si="59"/>
        <v>0</v>
      </c>
      <c r="W38" s="12">
        <f t="shared" si="59"/>
        <v>2.52</v>
      </c>
      <c r="X38" s="12">
        <f t="shared" si="59"/>
        <v>8.6000000000000014</v>
      </c>
      <c r="Y38" s="12">
        <f t="shared" si="59"/>
        <v>2</v>
      </c>
      <c r="Z38" s="12">
        <f t="shared" si="59"/>
        <v>712.4699999999998</v>
      </c>
      <c r="AA38" s="22">
        <f t="shared" si="1"/>
        <v>4.5848316443281911E-2</v>
      </c>
      <c r="AC38" s="12">
        <f t="shared" ref="AC38" si="60">SUM(B38:T38)</f>
        <v>685.5799999999997</v>
      </c>
      <c r="AD38" s="12">
        <f t="shared" ref="AD38" si="61">SUM(U38:X38)</f>
        <v>24.89</v>
      </c>
      <c r="AE38" s="12">
        <f t="shared" ref="AE38" si="62">Y38</f>
        <v>2</v>
      </c>
      <c r="AF38" s="12">
        <f t="shared" ref="AF38:AF39" si="63">SUM(AC38:AE38)</f>
        <v>712.46999999999969</v>
      </c>
      <c r="AG38" s="22">
        <f t="shared" ref="AG38" si="64">AD38/AF38</f>
        <v>3.4934804272460609E-2</v>
      </c>
    </row>
    <row r="39" spans="1:38" ht="15.5" x14ac:dyDescent="0.35">
      <c r="A39" s="179" t="s">
        <v>25</v>
      </c>
      <c r="B39" s="213">
        <f t="shared" ref="B39:AA39" si="65">SUM(B37,B35,B33,B29,B25,B22,B13)</f>
        <v>13813.390000000065</v>
      </c>
      <c r="C39" s="213">
        <f t="shared" si="65"/>
        <v>343.19000000000005</v>
      </c>
      <c r="D39" s="213">
        <f t="shared" si="65"/>
        <v>26.59</v>
      </c>
      <c r="E39" s="213">
        <f t="shared" si="65"/>
        <v>32.720000000000006</v>
      </c>
      <c r="F39" s="213">
        <f t="shared" si="65"/>
        <v>48.86</v>
      </c>
      <c r="G39" s="213">
        <f t="shared" si="65"/>
        <v>92.56</v>
      </c>
      <c r="H39" s="213">
        <f t="shared" si="65"/>
        <v>65.42</v>
      </c>
      <c r="I39" s="213">
        <f t="shared" si="65"/>
        <v>70.02</v>
      </c>
      <c r="J39" s="213">
        <f t="shared" si="65"/>
        <v>56.980000000000004</v>
      </c>
      <c r="K39" s="213">
        <f t="shared" si="65"/>
        <v>34.26</v>
      </c>
      <c r="L39" s="213">
        <f t="shared" si="65"/>
        <v>62.92</v>
      </c>
      <c r="M39" s="213">
        <f t="shared" si="65"/>
        <v>75.080000000000013</v>
      </c>
      <c r="N39" s="213">
        <f t="shared" si="65"/>
        <v>23.560000000000002</v>
      </c>
      <c r="O39" s="213">
        <f t="shared" si="65"/>
        <v>42.73</v>
      </c>
      <c r="P39" s="213">
        <f t="shared" si="65"/>
        <v>10.319999999999997</v>
      </c>
      <c r="Q39" s="213">
        <f t="shared" si="65"/>
        <v>45.089999999999996</v>
      </c>
      <c r="R39" s="213">
        <f t="shared" si="65"/>
        <v>90.149999999999991</v>
      </c>
      <c r="S39" s="213">
        <f t="shared" si="65"/>
        <v>42.600000000000009</v>
      </c>
      <c r="T39" s="213">
        <f t="shared" si="65"/>
        <v>22.95</v>
      </c>
      <c r="U39" s="213">
        <f t="shared" si="65"/>
        <v>73.41</v>
      </c>
      <c r="V39" s="213">
        <f t="shared" si="65"/>
        <v>84.269999999999982</v>
      </c>
      <c r="W39" s="213">
        <f t="shared" si="65"/>
        <v>146.97999999999999</v>
      </c>
      <c r="X39" s="213">
        <f t="shared" si="65"/>
        <v>156.18</v>
      </c>
      <c r="Y39" s="213">
        <f t="shared" si="65"/>
        <v>79.490000000000009</v>
      </c>
      <c r="Z39" s="213">
        <f>SUM(Z37,Z35,Z33,Z29,Z25,Z22,Z13)</f>
        <v>15539.720000000067</v>
      </c>
      <c r="AA39" s="213">
        <f t="shared" si="65"/>
        <v>1</v>
      </c>
      <c r="AC39" s="213">
        <f>SUM(B39:T39)</f>
        <v>14999.390000000065</v>
      </c>
      <c r="AD39" s="213">
        <f>SUM(U39:X39)</f>
        <v>460.84</v>
      </c>
      <c r="AE39" s="213">
        <f>Y39</f>
        <v>79.490000000000009</v>
      </c>
      <c r="AF39" s="213">
        <f t="shared" si="63"/>
        <v>15539.720000000065</v>
      </c>
      <c r="AG39" s="204">
        <f>AD39/AF39</f>
        <v>2.965561799054282E-2</v>
      </c>
    </row>
    <row r="40" spans="1:38" x14ac:dyDescent="0.35">
      <c r="A40" s="378" t="s">
        <v>253</v>
      </c>
      <c r="B40" s="379"/>
      <c r="C40" s="379">
        <f>C39+B39</f>
        <v>14156.580000000065</v>
      </c>
      <c r="D40" s="379">
        <f>D39+C40</f>
        <v>14183.170000000066</v>
      </c>
      <c r="E40" s="379">
        <f>E39+D40</f>
        <v>14215.890000000065</v>
      </c>
      <c r="F40" s="379">
        <f t="shared" ref="F40:X40" si="66">F39+E40</f>
        <v>14264.750000000065</v>
      </c>
      <c r="G40" s="379">
        <f t="shared" si="66"/>
        <v>14357.310000000065</v>
      </c>
      <c r="H40" s="379">
        <f t="shared" si="66"/>
        <v>14422.730000000065</v>
      </c>
      <c r="I40" s="379">
        <f t="shared" si="66"/>
        <v>14492.750000000065</v>
      </c>
      <c r="J40" s="379">
        <f t="shared" si="66"/>
        <v>14549.730000000065</v>
      </c>
      <c r="K40" s="379">
        <f t="shared" si="66"/>
        <v>14583.990000000065</v>
      </c>
      <c r="L40" s="379">
        <f t="shared" si="66"/>
        <v>14646.910000000065</v>
      </c>
      <c r="M40" s="379">
        <f t="shared" si="66"/>
        <v>14721.990000000065</v>
      </c>
      <c r="N40" s="379">
        <f t="shared" si="66"/>
        <v>14745.550000000065</v>
      </c>
      <c r="O40" s="379">
        <f t="shared" si="66"/>
        <v>14788.280000000064</v>
      </c>
      <c r="P40" s="379">
        <f t="shared" si="66"/>
        <v>14798.600000000064</v>
      </c>
      <c r="Q40" s="379">
        <f t="shared" si="66"/>
        <v>14843.690000000064</v>
      </c>
      <c r="R40" s="379">
        <f t="shared" si="66"/>
        <v>14933.840000000064</v>
      </c>
      <c r="S40" s="379">
        <f t="shared" si="66"/>
        <v>14976.440000000064</v>
      </c>
      <c r="T40" s="379">
        <f t="shared" si="66"/>
        <v>14999.390000000065</v>
      </c>
      <c r="U40" s="379">
        <f t="shared" si="66"/>
        <v>15072.800000000065</v>
      </c>
      <c r="V40" s="379">
        <f t="shared" si="66"/>
        <v>15157.070000000065</v>
      </c>
      <c r="W40" s="379">
        <f t="shared" si="66"/>
        <v>15304.050000000065</v>
      </c>
      <c r="X40" s="379">
        <f t="shared" si="66"/>
        <v>15460.230000000065</v>
      </c>
    </row>
    <row r="41" spans="1:38" x14ac:dyDescent="0.35">
      <c r="A41" s="380" t="s">
        <v>254</v>
      </c>
      <c r="B41" s="379"/>
      <c r="C41" s="381"/>
      <c r="D41" s="381">
        <f>D40/C40-1</f>
        <v>1.8782785107702704E-3</v>
      </c>
      <c r="E41" s="381">
        <f t="shared" ref="E41:X41" si="67">E40/D40-1</f>
        <v>2.3069595866085368E-3</v>
      </c>
      <c r="F41" s="381">
        <f t="shared" si="67"/>
        <v>3.4369990201106315E-3</v>
      </c>
      <c r="G41" s="381">
        <f t="shared" si="67"/>
        <v>6.4887221998282119E-3</v>
      </c>
      <c r="H41" s="381">
        <f t="shared" si="67"/>
        <v>4.5565638688584986E-3</v>
      </c>
      <c r="I41" s="381">
        <f t="shared" si="67"/>
        <v>4.8548367750071986E-3</v>
      </c>
      <c r="J41" s="381">
        <f t="shared" si="67"/>
        <v>3.9316209829052262E-3</v>
      </c>
      <c r="K41" s="381">
        <f t="shared" si="67"/>
        <v>2.3546828704037459E-3</v>
      </c>
      <c r="L41" s="381">
        <f t="shared" si="67"/>
        <v>4.314320018047102E-3</v>
      </c>
      <c r="M41" s="381">
        <f t="shared" si="67"/>
        <v>5.1259958585121446E-3</v>
      </c>
      <c r="N41" s="381">
        <f t="shared" si="67"/>
        <v>1.6003271296882726E-3</v>
      </c>
      <c r="O41" s="381">
        <f t="shared" si="67"/>
        <v>2.8978234111307621E-3</v>
      </c>
      <c r="P41" s="381">
        <f t="shared" si="67"/>
        <v>6.9784991898980131E-4</v>
      </c>
      <c r="Q41" s="381">
        <f t="shared" si="67"/>
        <v>3.0469098428229646E-3</v>
      </c>
      <c r="R41" s="381">
        <f t="shared" si="67"/>
        <v>6.0732877067628532E-3</v>
      </c>
      <c r="S41" s="381">
        <f t="shared" si="67"/>
        <v>2.852581787403663E-3</v>
      </c>
      <c r="T41" s="381">
        <f t="shared" si="67"/>
        <v>1.5324069004383212E-3</v>
      </c>
      <c r="U41" s="381">
        <f t="shared" si="67"/>
        <v>4.8941990307604932E-3</v>
      </c>
      <c r="V41" s="381">
        <f t="shared" si="67"/>
        <v>5.5908656653043121E-3</v>
      </c>
      <c r="W41" s="381">
        <f t="shared" si="67"/>
        <v>9.6971248400909982E-3</v>
      </c>
      <c r="X41" s="381">
        <f t="shared" si="67"/>
        <v>1.020514177619658E-2</v>
      </c>
    </row>
    <row r="42" spans="1:38" x14ac:dyDescent="0.35">
      <c r="A42" s="380"/>
      <c r="B42" s="379"/>
      <c r="C42" s="381"/>
      <c r="D42" s="381"/>
      <c r="E42" s="381"/>
      <c r="F42" s="381"/>
      <c r="G42" s="381"/>
      <c r="H42" s="381"/>
      <c r="I42" s="381"/>
      <c r="J42" s="381"/>
      <c r="K42" s="381"/>
      <c r="L42" s="381"/>
      <c r="M42" s="381"/>
      <c r="N42" s="381"/>
      <c r="O42" s="381"/>
      <c r="P42" s="381"/>
      <c r="Q42" s="381"/>
      <c r="R42" s="381"/>
      <c r="S42" s="381"/>
      <c r="T42" s="381"/>
      <c r="U42" s="381"/>
      <c r="V42" s="381"/>
      <c r="W42" s="381"/>
      <c r="X42" s="381"/>
    </row>
    <row r="43" spans="1:38" ht="15.5" x14ac:dyDescent="0.35">
      <c r="A43" s="179" t="s">
        <v>99</v>
      </c>
      <c r="B43" s="122" t="s">
        <v>100</v>
      </c>
      <c r="C43" s="122">
        <v>2000</v>
      </c>
      <c r="D43" s="122">
        <v>2001</v>
      </c>
      <c r="E43" s="122">
        <v>2002</v>
      </c>
      <c r="F43" s="122">
        <v>2003</v>
      </c>
      <c r="G43" s="122">
        <v>2004</v>
      </c>
      <c r="H43" s="122">
        <v>2005</v>
      </c>
      <c r="I43" s="122">
        <v>2006</v>
      </c>
      <c r="J43" s="122">
        <v>2007</v>
      </c>
      <c r="K43" s="122">
        <v>2008</v>
      </c>
      <c r="L43" s="122">
        <v>2009</v>
      </c>
      <c r="M43" s="122">
        <v>2010</v>
      </c>
      <c r="N43" s="122">
        <v>2011</v>
      </c>
      <c r="O43" s="122">
        <v>2012</v>
      </c>
      <c r="P43" s="122">
        <v>2013</v>
      </c>
      <c r="Q43" s="122">
        <v>2014</v>
      </c>
      <c r="R43" s="122">
        <v>2015</v>
      </c>
      <c r="S43" s="122">
        <v>2016</v>
      </c>
      <c r="T43" s="122">
        <v>2017</v>
      </c>
      <c r="U43" s="122">
        <v>2018</v>
      </c>
      <c r="V43" s="122">
        <v>2019</v>
      </c>
      <c r="W43" s="122">
        <v>2020</v>
      </c>
      <c r="X43" s="123">
        <v>2021</v>
      </c>
      <c r="Y43" s="123" t="s">
        <v>90</v>
      </c>
    </row>
    <row r="44" spans="1:38" x14ac:dyDescent="0.35">
      <c r="A44" s="116" t="s">
        <v>5</v>
      </c>
      <c r="B44" s="22">
        <f t="shared" ref="B44:Y44" si="68">B13/$Z$13</f>
        <v>0.81089636628877071</v>
      </c>
      <c r="C44" s="22">
        <f t="shared" si="68"/>
        <v>4.3850532518425987E-2</v>
      </c>
      <c r="D44" s="22">
        <f t="shared" si="68"/>
        <v>0</v>
      </c>
      <c r="E44" s="22">
        <f t="shared" si="68"/>
        <v>2.8604391727609906E-5</v>
      </c>
      <c r="F44" s="22">
        <f t="shared" si="68"/>
        <v>2.0976553933580599E-4</v>
      </c>
      <c r="G44" s="22">
        <f t="shared" si="68"/>
        <v>3.1750874817646998E-3</v>
      </c>
      <c r="H44" s="22">
        <f t="shared" si="68"/>
        <v>1.2871976277424458E-3</v>
      </c>
      <c r="I44" s="22">
        <f t="shared" si="68"/>
        <v>0</v>
      </c>
      <c r="J44" s="22">
        <f t="shared" si="68"/>
        <v>2.0023074209326935E-4</v>
      </c>
      <c r="K44" s="22">
        <f t="shared" si="68"/>
        <v>0</v>
      </c>
      <c r="L44" s="22">
        <f t="shared" si="68"/>
        <v>6.283431382831643E-3</v>
      </c>
      <c r="M44" s="22">
        <f t="shared" si="68"/>
        <v>8.3810867761897022E-3</v>
      </c>
      <c r="N44" s="22">
        <f t="shared" si="68"/>
        <v>0</v>
      </c>
      <c r="O44" s="22">
        <f t="shared" si="68"/>
        <v>0</v>
      </c>
      <c r="P44" s="22">
        <f t="shared" si="68"/>
        <v>0</v>
      </c>
      <c r="Q44" s="22">
        <f t="shared" si="68"/>
        <v>1.4302195863804954E-4</v>
      </c>
      <c r="R44" s="22">
        <f t="shared" si="68"/>
        <v>1.3958943163073636E-2</v>
      </c>
      <c r="S44" s="22">
        <f t="shared" si="68"/>
        <v>2.8127651865483077E-3</v>
      </c>
      <c r="T44" s="22">
        <f t="shared" si="68"/>
        <v>1.9069594485073272E-3</v>
      </c>
      <c r="U44" s="22">
        <f t="shared" si="68"/>
        <v>2.316955729936402E-3</v>
      </c>
      <c r="V44" s="22">
        <f t="shared" si="68"/>
        <v>3.9950800446228495E-3</v>
      </c>
      <c r="W44" s="22">
        <f t="shared" si="68"/>
        <v>1.8707272189856881E-2</v>
      </c>
      <c r="X44" s="22">
        <f t="shared" si="68"/>
        <v>8.1579725207143461E-2</v>
      </c>
      <c r="Y44" s="384">
        <f t="shared" si="68"/>
        <v>2.6697432279102585E-4</v>
      </c>
    </row>
    <row r="45" spans="1:38" x14ac:dyDescent="0.35">
      <c r="A45" s="116" t="s">
        <v>15</v>
      </c>
      <c r="B45" s="22"/>
      <c r="C45" s="22"/>
      <c r="D45" s="22"/>
      <c r="E45" s="22"/>
      <c r="F45" s="22"/>
      <c r="G45" s="22"/>
      <c r="H45" s="22"/>
      <c r="I45" s="22"/>
      <c r="J45" s="22"/>
      <c r="K45" s="22"/>
      <c r="L45" s="22"/>
      <c r="M45" s="22"/>
      <c r="N45" s="22"/>
      <c r="O45" s="22"/>
      <c r="P45" s="22"/>
      <c r="Q45" s="22"/>
      <c r="R45" s="22"/>
      <c r="S45" s="22"/>
      <c r="T45" s="22"/>
      <c r="U45" s="22"/>
      <c r="V45" s="22"/>
      <c r="W45" s="22"/>
      <c r="X45" s="22"/>
      <c r="Y45" s="384"/>
    </row>
    <row r="46" spans="1:38" x14ac:dyDescent="0.35">
      <c r="A46" s="116" t="s">
        <v>13</v>
      </c>
      <c r="B46" s="22">
        <f t="shared" ref="B46:Y46" si="69">B25/$Z$25</f>
        <v>0.94849505367291143</v>
      </c>
      <c r="C46" s="22">
        <f t="shared" si="69"/>
        <v>1.7217427909913572E-2</v>
      </c>
      <c r="D46" s="22">
        <f t="shared" si="69"/>
        <v>8.4324352767837683E-4</v>
      </c>
      <c r="E46" s="22">
        <f t="shared" si="69"/>
        <v>1.0747737318459187E-3</v>
      </c>
      <c r="F46" s="22">
        <f t="shared" si="69"/>
        <v>1.8548726583876934E-4</v>
      </c>
      <c r="G46" s="22">
        <f t="shared" si="69"/>
        <v>8.0246263944432105E-4</v>
      </c>
      <c r="H46" s="22">
        <f t="shared" si="69"/>
        <v>2.478425594611641E-3</v>
      </c>
      <c r="I46" s="22">
        <f t="shared" si="69"/>
        <v>9.8400336771205265E-4</v>
      </c>
      <c r="J46" s="22">
        <f t="shared" si="69"/>
        <v>8.274573773942262E-4</v>
      </c>
      <c r="K46" s="22">
        <f t="shared" si="69"/>
        <v>1.03925489370658E-3</v>
      </c>
      <c r="L46" s="22">
        <f t="shared" si="69"/>
        <v>7.3931803830771874E-4</v>
      </c>
      <c r="M46" s="22">
        <f t="shared" si="69"/>
        <v>1.2760471479688383E-3</v>
      </c>
      <c r="N46" s="22">
        <f t="shared" si="69"/>
        <v>4.2491054514838642E-4</v>
      </c>
      <c r="O46" s="22">
        <f t="shared" si="69"/>
        <v>2.7073247737318244E-3</v>
      </c>
      <c r="P46" s="22">
        <f t="shared" si="69"/>
        <v>2.2363712902546653E-4</v>
      </c>
      <c r="Q46" s="22">
        <f t="shared" si="69"/>
        <v>9.6427067985686463E-4</v>
      </c>
      <c r="R46" s="22">
        <f t="shared" si="69"/>
        <v>1.0958219322247862E-3</v>
      </c>
      <c r="S46" s="22">
        <f t="shared" si="69"/>
        <v>5.6172384761102485E-4</v>
      </c>
      <c r="T46" s="22">
        <f t="shared" si="69"/>
        <v>6.0118922332140132E-4</v>
      </c>
      <c r="U46" s="22">
        <f t="shared" si="69"/>
        <v>1.1839612713112934E-3</v>
      </c>
      <c r="V46" s="22">
        <f t="shared" si="69"/>
        <v>3.0151547042727607E-3</v>
      </c>
      <c r="W46" s="22">
        <f t="shared" si="69"/>
        <v>1.2602609976846879E-3</v>
      </c>
      <c r="X46" s="22">
        <f t="shared" si="69"/>
        <v>3.0335718796042702E-3</v>
      </c>
      <c r="Y46" s="384">
        <f t="shared" si="69"/>
        <v>8.9652178488738507E-3</v>
      </c>
    </row>
    <row r="47" spans="1:38" x14ac:dyDescent="0.35">
      <c r="A47" s="116" t="s">
        <v>14</v>
      </c>
      <c r="B47" s="22">
        <f t="shared" ref="B47:Y47" si="70">B29/$Z$29</f>
        <v>0.90414650105325967</v>
      </c>
      <c r="C47" s="22">
        <f t="shared" si="70"/>
        <v>1.173355714518411E-2</v>
      </c>
      <c r="D47" s="22">
        <f t="shared" si="70"/>
        <v>2.6227951265705655E-3</v>
      </c>
      <c r="E47" s="22">
        <f t="shared" si="70"/>
        <v>2.1065186121824648E-3</v>
      </c>
      <c r="F47" s="22">
        <f t="shared" si="70"/>
        <v>1.8221524037227088E-3</v>
      </c>
      <c r="G47" s="22">
        <f t="shared" si="70"/>
        <v>2.2086695802699496E-3</v>
      </c>
      <c r="H47" s="22">
        <f t="shared" si="70"/>
        <v>3.6194572746673813E-3</v>
      </c>
      <c r="I47" s="22">
        <f t="shared" si="70"/>
        <v>5.5658473422802723E-3</v>
      </c>
      <c r="J47" s="22">
        <f t="shared" si="70"/>
        <v>5.4222838195627267E-3</v>
      </c>
      <c r="K47" s="22">
        <f t="shared" si="70"/>
        <v>4.4946425958493482E-3</v>
      </c>
      <c r="L47" s="22">
        <f t="shared" si="70"/>
        <v>6.3913375979061703E-3</v>
      </c>
      <c r="M47" s="22">
        <f t="shared" si="70"/>
        <v>8.0367964352072805E-3</v>
      </c>
      <c r="N47" s="22">
        <f t="shared" si="70"/>
        <v>4.1909505285622302E-3</v>
      </c>
      <c r="O47" s="22">
        <f t="shared" si="70"/>
        <v>2.7608369753374367E-3</v>
      </c>
      <c r="P47" s="22">
        <f t="shared" si="70"/>
        <v>2.1368878189111759E-3</v>
      </c>
      <c r="Q47" s="22">
        <f t="shared" si="70"/>
        <v>1.8911733281061441E-3</v>
      </c>
      <c r="R47" s="22">
        <f t="shared" si="70"/>
        <v>3.52282798053057E-3</v>
      </c>
      <c r="S47" s="22">
        <f t="shared" si="70"/>
        <v>1.8718474692787823E-3</v>
      </c>
      <c r="T47" s="22">
        <f t="shared" si="70"/>
        <v>8.3929444050258079E-4</v>
      </c>
      <c r="U47" s="22">
        <f t="shared" si="70"/>
        <v>1.3693751397673688E-3</v>
      </c>
      <c r="V47" s="22">
        <f t="shared" si="70"/>
        <v>5.4719788851188E-3</v>
      </c>
      <c r="W47" s="22">
        <f t="shared" si="70"/>
        <v>8.635898058855505E-3</v>
      </c>
      <c r="X47" s="22">
        <f t="shared" si="70"/>
        <v>9.10524034466287E-3</v>
      </c>
      <c r="Y47" s="384">
        <f t="shared" si="70"/>
        <v>3.3130043704049246E-5</v>
      </c>
    </row>
    <row r="48" spans="1:38" x14ac:dyDescent="0.35">
      <c r="A48" s="116" t="s">
        <v>17</v>
      </c>
      <c r="B48" s="22">
        <f t="shared" ref="B48:Y48" si="71">B33/$Z$33</f>
        <v>0.90462427745664742</v>
      </c>
      <c r="C48" s="22">
        <f t="shared" si="71"/>
        <v>0</v>
      </c>
      <c r="D48" s="22">
        <f t="shared" si="71"/>
        <v>0</v>
      </c>
      <c r="E48" s="22">
        <f t="shared" si="71"/>
        <v>0</v>
      </c>
      <c r="F48" s="22">
        <f t="shared" si="71"/>
        <v>0</v>
      </c>
      <c r="G48" s="22">
        <f t="shared" si="71"/>
        <v>0</v>
      </c>
      <c r="H48" s="22">
        <f t="shared" si="71"/>
        <v>0</v>
      </c>
      <c r="I48" s="22">
        <f t="shared" si="71"/>
        <v>0</v>
      </c>
      <c r="J48" s="22">
        <f t="shared" si="71"/>
        <v>0</v>
      </c>
      <c r="K48" s="22">
        <f t="shared" si="71"/>
        <v>0</v>
      </c>
      <c r="L48" s="22">
        <f t="shared" si="71"/>
        <v>0</v>
      </c>
      <c r="M48" s="22">
        <f t="shared" si="71"/>
        <v>9.5375722543352609E-2</v>
      </c>
      <c r="N48" s="22">
        <f t="shared" si="71"/>
        <v>0</v>
      </c>
      <c r="O48" s="22">
        <f t="shared" si="71"/>
        <v>0</v>
      </c>
      <c r="P48" s="22">
        <f t="shared" si="71"/>
        <v>0</v>
      </c>
      <c r="Q48" s="22">
        <f t="shared" si="71"/>
        <v>0</v>
      </c>
      <c r="R48" s="22">
        <f t="shared" si="71"/>
        <v>0</v>
      </c>
      <c r="S48" s="22">
        <f t="shared" si="71"/>
        <v>0</v>
      </c>
      <c r="T48" s="22">
        <f t="shared" si="71"/>
        <v>0</v>
      </c>
      <c r="U48" s="22">
        <f t="shared" si="71"/>
        <v>0</v>
      </c>
      <c r="V48" s="22">
        <f t="shared" si="71"/>
        <v>0</v>
      </c>
      <c r="W48" s="22">
        <f t="shared" si="71"/>
        <v>0</v>
      </c>
      <c r="X48" s="22">
        <f t="shared" si="71"/>
        <v>0</v>
      </c>
      <c r="Y48" s="384">
        <f t="shared" si="71"/>
        <v>0</v>
      </c>
    </row>
    <row r="49" spans="1:33" x14ac:dyDescent="0.35">
      <c r="A49" s="116" t="s">
        <v>18</v>
      </c>
      <c r="B49" s="22">
        <f t="shared" ref="B49:Y49" si="72">B35/$Z$35</f>
        <v>0.74927390242659631</v>
      </c>
      <c r="C49" s="22">
        <f t="shared" si="72"/>
        <v>4.1555122662475394E-2</v>
      </c>
      <c r="D49" s="22">
        <f t="shared" si="72"/>
        <v>2.8338383026758826E-3</v>
      </c>
      <c r="E49" s="22">
        <f t="shared" si="72"/>
        <v>6.5025418314512981E-3</v>
      </c>
      <c r="F49" s="22">
        <f t="shared" si="72"/>
        <v>1.5168678051667585E-2</v>
      </c>
      <c r="G49" s="22">
        <f t="shared" si="72"/>
        <v>2.8875362068897965E-2</v>
      </c>
      <c r="H49" s="22">
        <f t="shared" si="72"/>
        <v>1.1547009183517495E-2</v>
      </c>
      <c r="I49" s="22">
        <f t="shared" si="72"/>
        <v>1.6611074310844243E-2</v>
      </c>
      <c r="J49" s="22">
        <f t="shared" si="72"/>
        <v>1.1864493142738445E-2</v>
      </c>
      <c r="K49" s="22">
        <f t="shared" si="72"/>
        <v>3.0925289361151743E-3</v>
      </c>
      <c r="L49" s="22">
        <f t="shared" si="72"/>
        <v>9.6656227585044611E-3</v>
      </c>
      <c r="M49" s="22">
        <f t="shared" si="72"/>
        <v>1.0116371589497169E-2</v>
      </c>
      <c r="N49" s="22">
        <f t="shared" si="72"/>
        <v>9.720496529234009E-4</v>
      </c>
      <c r="O49" s="22">
        <f t="shared" si="72"/>
        <v>2.3987676918916182E-3</v>
      </c>
      <c r="P49" s="22">
        <f t="shared" si="72"/>
        <v>7.0551990937988766E-5</v>
      </c>
      <c r="Q49" s="22">
        <f t="shared" si="72"/>
        <v>4.4918100897186185E-3</v>
      </c>
      <c r="R49" s="22">
        <f t="shared" si="72"/>
        <v>8.3800087014122195E-3</v>
      </c>
      <c r="S49" s="22">
        <f t="shared" si="72"/>
        <v>1.5364655804273109E-3</v>
      </c>
      <c r="T49" s="22">
        <f t="shared" si="72"/>
        <v>4.6917073973762533E-3</v>
      </c>
      <c r="U49" s="22">
        <f t="shared" si="72"/>
        <v>1.6952075600377859E-2</v>
      </c>
      <c r="V49" s="22">
        <f t="shared" si="72"/>
        <v>1.4635618564580555E-2</v>
      </c>
      <c r="W49" s="22">
        <f t="shared" si="72"/>
        <v>3.2916423327623866E-2</v>
      </c>
      <c r="X49" s="22">
        <f t="shared" si="72"/>
        <v>2.3438939211620716E-3</v>
      </c>
      <c r="Y49" s="384">
        <f t="shared" si="72"/>
        <v>3.5040822165867741E-3</v>
      </c>
    </row>
    <row r="50" spans="1:33" x14ac:dyDescent="0.35">
      <c r="A50" s="116" t="s">
        <v>22</v>
      </c>
      <c r="B50" s="22">
        <f t="shared" ref="B50:Y50" si="73">B37/$Z$37</f>
        <v>0.79047538843740783</v>
      </c>
      <c r="C50" s="22">
        <f t="shared" si="73"/>
        <v>2.4983508077533093E-2</v>
      </c>
      <c r="D50" s="22">
        <f t="shared" si="73"/>
        <v>4.8423091498589433E-3</v>
      </c>
      <c r="E50" s="22">
        <f t="shared" si="73"/>
        <v>4.2107036085729945E-4</v>
      </c>
      <c r="F50" s="22">
        <f t="shared" si="73"/>
        <v>2.7088859881819597E-3</v>
      </c>
      <c r="G50" s="22">
        <f t="shared" si="73"/>
        <v>2.0492090895055234E-3</v>
      </c>
      <c r="H50" s="22">
        <f t="shared" si="73"/>
        <v>3.7334905329347214E-3</v>
      </c>
      <c r="I50" s="22">
        <f t="shared" si="73"/>
        <v>0</v>
      </c>
      <c r="J50" s="22">
        <f t="shared" si="73"/>
        <v>8.0003368562886869E-4</v>
      </c>
      <c r="K50" s="22">
        <f t="shared" si="73"/>
        <v>3.0738136342582855E-3</v>
      </c>
      <c r="L50" s="22">
        <f t="shared" si="73"/>
        <v>4.0703468216205605E-3</v>
      </c>
      <c r="M50" s="22">
        <f t="shared" si="73"/>
        <v>1.8807809451626041E-3</v>
      </c>
      <c r="N50" s="22">
        <f t="shared" si="73"/>
        <v>3.7475262116299641E-3</v>
      </c>
      <c r="O50" s="22">
        <f t="shared" si="73"/>
        <v>8.463514253231717E-3</v>
      </c>
      <c r="P50" s="22">
        <f t="shared" si="73"/>
        <v>9.8249750866703182E-4</v>
      </c>
      <c r="Q50" s="22">
        <f t="shared" si="73"/>
        <v>2.7088859881819593E-2</v>
      </c>
      <c r="R50" s="22">
        <f t="shared" si="73"/>
        <v>4.6373882409083904E-2</v>
      </c>
      <c r="S50" s="22">
        <f t="shared" si="73"/>
        <v>3.4640055019860498E-2</v>
      </c>
      <c r="T50" s="22">
        <f t="shared" si="73"/>
        <v>1.922887981248334E-3</v>
      </c>
      <c r="U50" s="22">
        <f t="shared" si="73"/>
        <v>1.9327129563350042E-2</v>
      </c>
      <c r="V50" s="22">
        <f t="shared" si="73"/>
        <v>0</v>
      </c>
      <c r="W50" s="22">
        <f t="shared" si="73"/>
        <v>3.5369910312013147E-3</v>
      </c>
      <c r="X50" s="22">
        <f t="shared" si="73"/>
        <v>1.207068367790925E-2</v>
      </c>
      <c r="Y50" s="384">
        <f t="shared" si="73"/>
        <v>2.8071357390486626E-3</v>
      </c>
    </row>
    <row r="51" spans="1:33" x14ac:dyDescent="0.35">
      <c r="A51" s="116" t="s">
        <v>25</v>
      </c>
      <c r="B51" s="22">
        <f t="shared" ref="B51:Y51" si="74">B39/$Z$39</f>
        <v>0.88890855176283778</v>
      </c>
      <c r="C51" s="22">
        <f t="shared" si="74"/>
        <v>2.2084696506758074E-2</v>
      </c>
      <c r="D51" s="22">
        <f t="shared" si="74"/>
        <v>1.7110990416815673E-3</v>
      </c>
      <c r="E51" s="22">
        <f t="shared" si="74"/>
        <v>2.1055720437691198E-3</v>
      </c>
      <c r="F51" s="22">
        <f t="shared" si="74"/>
        <v>3.1442007964107327E-3</v>
      </c>
      <c r="G51" s="22">
        <f t="shared" si="74"/>
        <v>5.9563492778505409E-3</v>
      </c>
      <c r="H51" s="22">
        <f t="shared" si="74"/>
        <v>4.2098570630616072E-3</v>
      </c>
      <c r="I51" s="22">
        <f t="shared" si="74"/>
        <v>4.5058726926868499E-3</v>
      </c>
      <c r="J51" s="22">
        <f t="shared" si="74"/>
        <v>3.6667327339231183E-3</v>
      </c>
      <c r="K51" s="22">
        <f t="shared" si="74"/>
        <v>2.2046729284697442E-3</v>
      </c>
      <c r="L51" s="22">
        <f t="shared" si="74"/>
        <v>4.048979003482671E-3</v>
      </c>
      <c r="M51" s="22">
        <f t="shared" si="74"/>
        <v>4.8314898852746179E-3</v>
      </c>
      <c r="N51" s="22">
        <f t="shared" si="74"/>
        <v>1.5161148334718966E-3</v>
      </c>
      <c r="O51" s="22">
        <f t="shared" si="74"/>
        <v>2.7497277943231806E-3</v>
      </c>
      <c r="P51" s="22">
        <f t="shared" si="74"/>
        <v>6.6410462994184922E-4</v>
      </c>
      <c r="Q51" s="22">
        <f t="shared" si="74"/>
        <v>2.9015966825656964E-3</v>
      </c>
      <c r="R51" s="22">
        <f t="shared" si="74"/>
        <v>5.8012628284164454E-3</v>
      </c>
      <c r="S51" s="22">
        <f t="shared" si="74"/>
        <v>2.7413621352250766E-3</v>
      </c>
      <c r="T51" s="22">
        <f t="shared" si="74"/>
        <v>1.4768605869346359E-3</v>
      </c>
      <c r="U51" s="22">
        <f t="shared" si="74"/>
        <v>4.7240233414758874E-3</v>
      </c>
      <c r="V51" s="22">
        <f t="shared" si="74"/>
        <v>5.4228776322867867E-3</v>
      </c>
      <c r="W51" s="22">
        <f t="shared" si="74"/>
        <v>9.4583428787648263E-3</v>
      </c>
      <c r="X51" s="22">
        <f t="shared" si="74"/>
        <v>1.0050374138015314E-2</v>
      </c>
      <c r="Y51" s="384">
        <f t="shared" si="74"/>
        <v>5.1152787823718618E-3</v>
      </c>
    </row>
    <row r="52" spans="1:33" x14ac:dyDescent="0.35">
      <c r="A52" s="380"/>
      <c r="B52" s="379"/>
      <c r="C52" s="381"/>
      <c r="D52" s="381"/>
      <c r="E52" s="381"/>
      <c r="F52" s="381"/>
      <c r="G52" s="381"/>
      <c r="H52" s="381"/>
      <c r="I52" s="381"/>
      <c r="J52" s="381"/>
      <c r="K52" s="381"/>
      <c r="L52" s="381"/>
      <c r="M52" s="381"/>
      <c r="N52" s="381"/>
      <c r="O52" s="381"/>
      <c r="P52" s="381"/>
      <c r="Q52" s="381"/>
      <c r="R52" s="381"/>
      <c r="S52" s="381"/>
      <c r="T52" s="381"/>
      <c r="U52" s="381"/>
      <c r="V52" s="381"/>
      <c r="W52" s="381"/>
      <c r="X52" s="381"/>
    </row>
    <row r="53" spans="1:33" x14ac:dyDescent="0.35">
      <c r="A53" s="380"/>
      <c r="B53" s="379"/>
      <c r="C53" s="381"/>
      <c r="D53" s="381"/>
      <c r="E53" s="381"/>
      <c r="F53" s="381"/>
      <c r="G53" s="381"/>
      <c r="H53" s="381"/>
      <c r="I53" s="381"/>
      <c r="J53" s="381"/>
      <c r="K53" s="381"/>
      <c r="L53" s="381"/>
      <c r="M53" s="381"/>
      <c r="N53" s="381"/>
      <c r="O53" s="381"/>
      <c r="P53" s="381"/>
      <c r="Q53" s="381"/>
      <c r="R53" s="381"/>
      <c r="S53" s="381"/>
      <c r="T53" s="381"/>
      <c r="U53" s="381"/>
      <c r="V53" s="381"/>
      <c r="W53" s="381"/>
      <c r="X53" s="381"/>
    </row>
    <row r="54" spans="1:33" ht="15" x14ac:dyDescent="0.35">
      <c r="A54" s="284" t="s">
        <v>79</v>
      </c>
    </row>
    <row r="55" spans="1:33" ht="15.5" x14ac:dyDescent="0.35">
      <c r="A55" s="237" t="s">
        <v>136</v>
      </c>
    </row>
    <row r="57" spans="1:33" ht="52" x14ac:dyDescent="0.35">
      <c r="A57" s="214" t="s">
        <v>88</v>
      </c>
      <c r="B57" s="198" t="s">
        <v>89</v>
      </c>
      <c r="C57" s="198">
        <v>2000</v>
      </c>
      <c r="D57" s="198">
        <v>2001</v>
      </c>
      <c r="E57" s="198">
        <v>2002</v>
      </c>
      <c r="F57" s="198">
        <v>2003</v>
      </c>
      <c r="G57" s="198">
        <v>2004</v>
      </c>
      <c r="H57" s="198">
        <v>2005</v>
      </c>
      <c r="I57" s="198">
        <v>2006</v>
      </c>
      <c r="J57" s="198">
        <v>2007</v>
      </c>
      <c r="K57" s="198">
        <v>2008</v>
      </c>
      <c r="L57" s="198">
        <v>2009</v>
      </c>
      <c r="M57" s="198">
        <v>2010</v>
      </c>
      <c r="N57" s="198">
        <v>2011</v>
      </c>
      <c r="O57" s="198">
        <v>2012</v>
      </c>
      <c r="P57" s="198">
        <v>2013</v>
      </c>
      <c r="Q57" s="198">
        <v>2014</v>
      </c>
      <c r="R57" s="198">
        <v>2015</v>
      </c>
      <c r="S57" s="198">
        <v>2016</v>
      </c>
      <c r="T57" s="198">
        <v>2017</v>
      </c>
      <c r="U57" s="198">
        <v>2018</v>
      </c>
      <c r="V57" s="198">
        <v>2019</v>
      </c>
      <c r="W57" s="198">
        <v>2020</v>
      </c>
      <c r="X57" s="198">
        <v>2021</v>
      </c>
      <c r="Y57" s="198" t="s">
        <v>90</v>
      </c>
      <c r="Z57" s="198" t="s">
        <v>91</v>
      </c>
      <c r="AA57" s="199" t="s">
        <v>92</v>
      </c>
      <c r="AC57" s="127" t="s">
        <v>110</v>
      </c>
      <c r="AD57" s="127" t="s">
        <v>108</v>
      </c>
      <c r="AE57" s="127" t="s">
        <v>94</v>
      </c>
      <c r="AF57" s="127" t="s">
        <v>96</v>
      </c>
      <c r="AG57" s="127" t="s">
        <v>97</v>
      </c>
    </row>
    <row r="58" spans="1:33" x14ac:dyDescent="0.35">
      <c r="A58" s="11" t="s">
        <v>5</v>
      </c>
      <c r="B58" s="119">
        <f t="shared" ref="B58:Z58" si="75">B141+B225</f>
        <v>3.42</v>
      </c>
      <c r="C58" s="119">
        <f t="shared" si="75"/>
        <v>96.19</v>
      </c>
      <c r="D58" s="119">
        <f t="shared" si="75"/>
        <v>0</v>
      </c>
      <c r="E58" s="119">
        <f t="shared" si="75"/>
        <v>1.43</v>
      </c>
      <c r="F58" s="119">
        <f t="shared" si="75"/>
        <v>0</v>
      </c>
      <c r="G58" s="119">
        <f t="shared" si="75"/>
        <v>0</v>
      </c>
      <c r="H58" s="119">
        <f t="shared" si="75"/>
        <v>0.85</v>
      </c>
      <c r="I58" s="119">
        <f t="shared" si="75"/>
        <v>0</v>
      </c>
      <c r="J58" s="119">
        <f t="shared" si="75"/>
        <v>0.38</v>
      </c>
      <c r="K58" s="119">
        <f t="shared" si="75"/>
        <v>0.61</v>
      </c>
      <c r="L58" s="119">
        <f t="shared" si="75"/>
        <v>0</v>
      </c>
      <c r="M58" s="119">
        <f t="shared" si="75"/>
        <v>0.14000000000000001</v>
      </c>
      <c r="N58" s="119">
        <f t="shared" si="75"/>
        <v>0</v>
      </c>
      <c r="O58" s="119">
        <f t="shared" si="75"/>
        <v>0</v>
      </c>
      <c r="P58" s="119">
        <f t="shared" si="75"/>
        <v>0</v>
      </c>
      <c r="Q58" s="119">
        <f t="shared" si="75"/>
        <v>0</v>
      </c>
      <c r="R58" s="119">
        <f t="shared" si="75"/>
        <v>0.34</v>
      </c>
      <c r="S58" s="119">
        <f t="shared" si="75"/>
        <v>0</v>
      </c>
      <c r="T58" s="119">
        <f t="shared" si="75"/>
        <v>0</v>
      </c>
      <c r="U58" s="119">
        <f t="shared" si="75"/>
        <v>0</v>
      </c>
      <c r="V58" s="119">
        <f t="shared" si="75"/>
        <v>0</v>
      </c>
      <c r="W58" s="119">
        <f t="shared" si="75"/>
        <v>0</v>
      </c>
      <c r="X58" s="119">
        <f t="shared" si="75"/>
        <v>0</v>
      </c>
      <c r="Y58" s="119">
        <f t="shared" si="75"/>
        <v>0.05</v>
      </c>
      <c r="Z58" s="119">
        <f t="shared" si="75"/>
        <v>103.41000000000001</v>
      </c>
      <c r="AA58" s="143">
        <f t="shared" ref="AA58:AA78" si="76">Z58/$Z$79</f>
        <v>0.13354771221572204</v>
      </c>
      <c r="AC58" s="119">
        <f>SUM(B58:U58)</f>
        <v>103.36</v>
      </c>
      <c r="AD58" s="119">
        <f>SUM(V58:X58)</f>
        <v>0</v>
      </c>
      <c r="AE58" s="119">
        <f>Y58</f>
        <v>0.05</v>
      </c>
      <c r="AF58" s="119">
        <f t="shared" ref="AF58:AF79" si="77">SUM(AC58:AE58)</f>
        <v>103.41</v>
      </c>
      <c r="AG58" s="143">
        <f>AD58/AF58</f>
        <v>0</v>
      </c>
    </row>
    <row r="59" spans="1:33" x14ac:dyDescent="0.35">
      <c r="A59" s="6" t="s">
        <v>6</v>
      </c>
      <c r="B59" s="12">
        <f t="shared" ref="B59:Z59" si="78">B142+B226</f>
        <v>0</v>
      </c>
      <c r="C59" s="12">
        <f t="shared" si="78"/>
        <v>0</v>
      </c>
      <c r="D59" s="12">
        <f t="shared" si="78"/>
        <v>0</v>
      </c>
      <c r="E59" s="12">
        <f t="shared" si="78"/>
        <v>1.43</v>
      </c>
      <c r="F59" s="12">
        <f t="shared" si="78"/>
        <v>0</v>
      </c>
      <c r="G59" s="12">
        <f t="shared" si="78"/>
        <v>0</v>
      </c>
      <c r="H59" s="12">
        <f t="shared" si="78"/>
        <v>0</v>
      </c>
      <c r="I59" s="12">
        <f t="shared" si="78"/>
        <v>0</v>
      </c>
      <c r="J59" s="12">
        <f t="shared" si="78"/>
        <v>0</v>
      </c>
      <c r="K59" s="12">
        <f t="shared" si="78"/>
        <v>0</v>
      </c>
      <c r="L59" s="12">
        <f t="shared" si="78"/>
        <v>0</v>
      </c>
      <c r="M59" s="12">
        <f t="shared" si="78"/>
        <v>0.14000000000000001</v>
      </c>
      <c r="N59" s="12">
        <f t="shared" si="78"/>
        <v>0</v>
      </c>
      <c r="O59" s="12">
        <f t="shared" si="78"/>
        <v>0</v>
      </c>
      <c r="P59" s="12">
        <f t="shared" si="78"/>
        <v>0</v>
      </c>
      <c r="Q59" s="12">
        <f t="shared" si="78"/>
        <v>0</v>
      </c>
      <c r="R59" s="12">
        <f t="shared" si="78"/>
        <v>0.34</v>
      </c>
      <c r="S59" s="12">
        <f t="shared" si="78"/>
        <v>0</v>
      </c>
      <c r="T59" s="12">
        <f t="shared" si="78"/>
        <v>0</v>
      </c>
      <c r="U59" s="12">
        <f t="shared" si="78"/>
        <v>0</v>
      </c>
      <c r="V59" s="12">
        <f t="shared" si="78"/>
        <v>0</v>
      </c>
      <c r="W59" s="12">
        <f t="shared" si="78"/>
        <v>0</v>
      </c>
      <c r="X59" s="12">
        <f t="shared" si="78"/>
        <v>0</v>
      </c>
      <c r="Y59" s="12">
        <f t="shared" si="78"/>
        <v>0.05</v>
      </c>
      <c r="Z59" s="12">
        <f t="shared" si="78"/>
        <v>1.96</v>
      </c>
      <c r="AA59" s="24">
        <f t="shared" si="76"/>
        <v>2.5312205390466604E-3</v>
      </c>
      <c r="AC59" s="12">
        <f>SUM(B59:U59)</f>
        <v>1.91</v>
      </c>
      <c r="AD59" s="12">
        <f>SUM(V59:X59)</f>
        <v>0</v>
      </c>
      <c r="AE59" s="12">
        <f>Y59</f>
        <v>0.05</v>
      </c>
      <c r="AF59" s="12">
        <f t="shared" si="77"/>
        <v>1.96</v>
      </c>
      <c r="AG59" s="22">
        <f t="shared" ref="AG59:AG64" si="79">AD59/AF59</f>
        <v>0</v>
      </c>
    </row>
    <row r="60" spans="1:33" x14ac:dyDescent="0.35">
      <c r="A60" s="6" t="s">
        <v>7</v>
      </c>
      <c r="B60" s="12">
        <f t="shared" ref="B60:Z60" si="80">B143+B227</f>
        <v>0</v>
      </c>
      <c r="C60" s="12">
        <f t="shared" si="80"/>
        <v>2.81</v>
      </c>
      <c r="D60" s="12">
        <f t="shared" si="80"/>
        <v>0</v>
      </c>
      <c r="E60" s="12">
        <f t="shared" si="80"/>
        <v>0</v>
      </c>
      <c r="F60" s="12">
        <f t="shared" si="80"/>
        <v>0</v>
      </c>
      <c r="G60" s="12">
        <f t="shared" si="80"/>
        <v>0</v>
      </c>
      <c r="H60" s="12">
        <f t="shared" si="80"/>
        <v>0</v>
      </c>
      <c r="I60" s="12">
        <f t="shared" si="80"/>
        <v>0</v>
      </c>
      <c r="J60" s="12">
        <f t="shared" si="80"/>
        <v>0.19</v>
      </c>
      <c r="K60" s="12">
        <f t="shared" si="80"/>
        <v>0</v>
      </c>
      <c r="L60" s="12">
        <f t="shared" si="80"/>
        <v>0</v>
      </c>
      <c r="M60" s="12">
        <f t="shared" si="80"/>
        <v>0</v>
      </c>
      <c r="N60" s="12">
        <f t="shared" si="80"/>
        <v>0</v>
      </c>
      <c r="O60" s="12">
        <f t="shared" si="80"/>
        <v>0</v>
      </c>
      <c r="P60" s="12">
        <f t="shared" si="80"/>
        <v>0</v>
      </c>
      <c r="Q60" s="12">
        <f t="shared" si="80"/>
        <v>0</v>
      </c>
      <c r="R60" s="12">
        <f t="shared" si="80"/>
        <v>0</v>
      </c>
      <c r="S60" s="12">
        <f t="shared" si="80"/>
        <v>0</v>
      </c>
      <c r="T60" s="12">
        <f t="shared" si="80"/>
        <v>0</v>
      </c>
      <c r="U60" s="12">
        <f t="shared" si="80"/>
        <v>0</v>
      </c>
      <c r="V60" s="12">
        <f t="shared" si="80"/>
        <v>0</v>
      </c>
      <c r="W60" s="12">
        <f t="shared" si="80"/>
        <v>0</v>
      </c>
      <c r="X60" s="12">
        <f t="shared" si="80"/>
        <v>0</v>
      </c>
      <c r="Y60" s="12">
        <f t="shared" si="80"/>
        <v>0</v>
      </c>
      <c r="Z60" s="12">
        <f t="shared" si="80"/>
        <v>3</v>
      </c>
      <c r="AA60" s="24">
        <f t="shared" si="76"/>
        <v>3.8743171516020312E-3</v>
      </c>
      <c r="AC60" s="12">
        <f t="shared" ref="AC60:AC64" si="81">SUM(B60:U60)</f>
        <v>3</v>
      </c>
      <c r="AD60" s="12">
        <f t="shared" ref="AD60:AD64" si="82">SUM(V60:X60)</f>
        <v>0</v>
      </c>
      <c r="AE60" s="12">
        <f t="shared" ref="AE60:AE64" si="83">Y60</f>
        <v>0</v>
      </c>
      <c r="AF60" s="12">
        <f t="shared" si="77"/>
        <v>3</v>
      </c>
      <c r="AG60" s="22">
        <f t="shared" si="79"/>
        <v>0</v>
      </c>
    </row>
    <row r="61" spans="1:33" x14ac:dyDescent="0.35">
      <c r="A61" s="6" t="s">
        <v>8</v>
      </c>
      <c r="B61" s="12">
        <f t="shared" ref="B61:Z61" si="84">B144+B228</f>
        <v>0</v>
      </c>
      <c r="C61" s="12">
        <f t="shared" si="84"/>
        <v>0</v>
      </c>
      <c r="D61" s="12">
        <f t="shared" si="84"/>
        <v>0</v>
      </c>
      <c r="E61" s="12">
        <f t="shared" si="84"/>
        <v>0</v>
      </c>
      <c r="F61" s="12">
        <f t="shared" si="84"/>
        <v>0</v>
      </c>
      <c r="G61" s="12">
        <f t="shared" si="84"/>
        <v>0</v>
      </c>
      <c r="H61" s="12">
        <f t="shared" si="84"/>
        <v>0</v>
      </c>
      <c r="I61" s="12">
        <f t="shared" si="84"/>
        <v>0</v>
      </c>
      <c r="J61" s="12">
        <f t="shared" si="84"/>
        <v>0</v>
      </c>
      <c r="K61" s="12">
        <f t="shared" si="84"/>
        <v>0</v>
      </c>
      <c r="L61" s="12">
        <f t="shared" si="84"/>
        <v>0</v>
      </c>
      <c r="M61" s="12">
        <f t="shared" si="84"/>
        <v>0</v>
      </c>
      <c r="N61" s="12">
        <f t="shared" si="84"/>
        <v>0</v>
      </c>
      <c r="O61" s="12">
        <f t="shared" si="84"/>
        <v>0</v>
      </c>
      <c r="P61" s="12">
        <f t="shared" si="84"/>
        <v>0</v>
      </c>
      <c r="Q61" s="12">
        <f t="shared" si="84"/>
        <v>0</v>
      </c>
      <c r="R61" s="12">
        <f t="shared" si="84"/>
        <v>0</v>
      </c>
      <c r="S61" s="12">
        <f t="shared" si="84"/>
        <v>0</v>
      </c>
      <c r="T61" s="12">
        <f t="shared" si="84"/>
        <v>0</v>
      </c>
      <c r="U61" s="12">
        <f t="shared" si="84"/>
        <v>0</v>
      </c>
      <c r="V61" s="12">
        <f t="shared" si="84"/>
        <v>0</v>
      </c>
      <c r="W61" s="12">
        <f t="shared" si="84"/>
        <v>0</v>
      </c>
      <c r="X61" s="12">
        <f t="shared" si="84"/>
        <v>0</v>
      </c>
      <c r="Y61" s="12">
        <f t="shared" si="84"/>
        <v>0</v>
      </c>
      <c r="Z61" s="12">
        <f t="shared" si="84"/>
        <v>0</v>
      </c>
      <c r="AA61" s="24">
        <f t="shared" si="76"/>
        <v>0</v>
      </c>
      <c r="AC61" s="12">
        <f t="shared" si="81"/>
        <v>0</v>
      </c>
      <c r="AD61" s="12">
        <f t="shared" si="82"/>
        <v>0</v>
      </c>
      <c r="AE61" s="12">
        <f t="shared" si="83"/>
        <v>0</v>
      </c>
      <c r="AF61" s="12">
        <f t="shared" si="77"/>
        <v>0</v>
      </c>
      <c r="AG61" s="22"/>
    </row>
    <row r="62" spans="1:33" x14ac:dyDescent="0.35">
      <c r="A62" s="6" t="s">
        <v>26</v>
      </c>
      <c r="B62" s="12">
        <f t="shared" ref="B62:Z62" si="85">B145+B229</f>
        <v>0</v>
      </c>
      <c r="C62" s="12">
        <f t="shared" si="85"/>
        <v>0</v>
      </c>
      <c r="D62" s="12">
        <f t="shared" si="85"/>
        <v>0</v>
      </c>
      <c r="E62" s="12">
        <f t="shared" si="85"/>
        <v>0</v>
      </c>
      <c r="F62" s="12">
        <f t="shared" si="85"/>
        <v>0</v>
      </c>
      <c r="G62" s="12">
        <f t="shared" si="85"/>
        <v>0</v>
      </c>
      <c r="H62" s="12">
        <f t="shared" si="85"/>
        <v>0.85</v>
      </c>
      <c r="I62" s="12">
        <f t="shared" si="85"/>
        <v>0</v>
      </c>
      <c r="J62" s="12">
        <f t="shared" si="85"/>
        <v>0.19</v>
      </c>
      <c r="K62" s="12">
        <f t="shared" si="85"/>
        <v>0</v>
      </c>
      <c r="L62" s="12">
        <f t="shared" si="85"/>
        <v>0</v>
      </c>
      <c r="M62" s="12">
        <f t="shared" si="85"/>
        <v>0</v>
      </c>
      <c r="N62" s="12">
        <f t="shared" si="85"/>
        <v>0</v>
      </c>
      <c r="O62" s="12">
        <f t="shared" si="85"/>
        <v>0</v>
      </c>
      <c r="P62" s="12">
        <f t="shared" si="85"/>
        <v>0</v>
      </c>
      <c r="Q62" s="12">
        <f t="shared" si="85"/>
        <v>0</v>
      </c>
      <c r="R62" s="12">
        <f t="shared" si="85"/>
        <v>0</v>
      </c>
      <c r="S62" s="12">
        <f t="shared" si="85"/>
        <v>0</v>
      </c>
      <c r="T62" s="12">
        <f t="shared" si="85"/>
        <v>0</v>
      </c>
      <c r="U62" s="12">
        <f t="shared" si="85"/>
        <v>0</v>
      </c>
      <c r="V62" s="12">
        <f t="shared" si="85"/>
        <v>0</v>
      </c>
      <c r="W62" s="12">
        <f t="shared" si="85"/>
        <v>0</v>
      </c>
      <c r="X62" s="12">
        <f t="shared" si="85"/>
        <v>0</v>
      </c>
      <c r="Y62" s="12">
        <f t="shared" si="85"/>
        <v>0</v>
      </c>
      <c r="Z62" s="12">
        <f t="shared" si="85"/>
        <v>1.04</v>
      </c>
      <c r="AA62" s="24">
        <f t="shared" si="76"/>
        <v>1.3430966125553708E-3</v>
      </c>
      <c r="AC62" s="12">
        <f t="shared" si="81"/>
        <v>1.04</v>
      </c>
      <c r="AD62" s="12">
        <f t="shared" si="82"/>
        <v>0</v>
      </c>
      <c r="AE62" s="12">
        <f t="shared" si="83"/>
        <v>0</v>
      </c>
      <c r="AF62" s="12">
        <f t="shared" si="77"/>
        <v>1.04</v>
      </c>
      <c r="AG62" s="22">
        <f t="shared" si="79"/>
        <v>0</v>
      </c>
    </row>
    <row r="63" spans="1:33" x14ac:dyDescent="0.35">
      <c r="A63" s="6" t="s">
        <v>27</v>
      </c>
      <c r="B63" s="12">
        <f t="shared" ref="B63:Z63" si="86">B146+B230</f>
        <v>0</v>
      </c>
      <c r="C63" s="12">
        <f t="shared" si="86"/>
        <v>93.38</v>
      </c>
      <c r="D63" s="12">
        <f t="shared" si="86"/>
        <v>0</v>
      </c>
      <c r="E63" s="12">
        <f t="shared" si="86"/>
        <v>0</v>
      </c>
      <c r="F63" s="12">
        <f t="shared" si="86"/>
        <v>0</v>
      </c>
      <c r="G63" s="12">
        <f t="shared" si="86"/>
        <v>0</v>
      </c>
      <c r="H63" s="12">
        <f t="shared" si="86"/>
        <v>0</v>
      </c>
      <c r="I63" s="12">
        <f t="shared" si="86"/>
        <v>0</v>
      </c>
      <c r="J63" s="12">
        <f t="shared" si="86"/>
        <v>0</v>
      </c>
      <c r="K63" s="12">
        <f t="shared" si="86"/>
        <v>0</v>
      </c>
      <c r="L63" s="12">
        <f t="shared" si="86"/>
        <v>0</v>
      </c>
      <c r="M63" s="12">
        <f t="shared" si="86"/>
        <v>0</v>
      </c>
      <c r="N63" s="12">
        <f t="shared" si="86"/>
        <v>0</v>
      </c>
      <c r="O63" s="12">
        <f t="shared" si="86"/>
        <v>0</v>
      </c>
      <c r="P63" s="12">
        <f t="shared" si="86"/>
        <v>0</v>
      </c>
      <c r="Q63" s="12">
        <f t="shared" si="86"/>
        <v>0</v>
      </c>
      <c r="R63" s="12">
        <f t="shared" si="86"/>
        <v>0</v>
      </c>
      <c r="S63" s="12">
        <f t="shared" si="86"/>
        <v>0</v>
      </c>
      <c r="T63" s="12">
        <f t="shared" si="86"/>
        <v>0</v>
      </c>
      <c r="U63" s="12">
        <f t="shared" si="86"/>
        <v>0</v>
      </c>
      <c r="V63" s="12">
        <f t="shared" si="86"/>
        <v>0</v>
      </c>
      <c r="W63" s="12">
        <f t="shared" si="86"/>
        <v>0</v>
      </c>
      <c r="X63" s="12">
        <f t="shared" si="86"/>
        <v>0</v>
      </c>
      <c r="Y63" s="12">
        <f t="shared" si="86"/>
        <v>0</v>
      </c>
      <c r="Z63" s="12">
        <f t="shared" si="86"/>
        <v>93.38</v>
      </c>
      <c r="AA63" s="24">
        <f t="shared" si="76"/>
        <v>0.12059457853886588</v>
      </c>
      <c r="AC63" s="12">
        <f t="shared" si="81"/>
        <v>93.38</v>
      </c>
      <c r="AD63" s="12">
        <f t="shared" si="82"/>
        <v>0</v>
      </c>
      <c r="AE63" s="12">
        <f t="shared" si="83"/>
        <v>0</v>
      </c>
      <c r="AF63" s="12">
        <f t="shared" si="77"/>
        <v>93.38</v>
      </c>
      <c r="AG63" s="22">
        <f t="shared" si="79"/>
        <v>0</v>
      </c>
    </row>
    <row r="64" spans="1:33" x14ac:dyDescent="0.35">
      <c r="A64" s="6" t="s">
        <v>29</v>
      </c>
      <c r="B64" s="12">
        <f t="shared" ref="B64:Z64" si="87">B147+B231</f>
        <v>3.42</v>
      </c>
      <c r="C64" s="12">
        <f t="shared" si="87"/>
        <v>0</v>
      </c>
      <c r="D64" s="12">
        <f t="shared" si="87"/>
        <v>0</v>
      </c>
      <c r="E64" s="12">
        <f t="shared" si="87"/>
        <v>0</v>
      </c>
      <c r="F64" s="12">
        <f t="shared" si="87"/>
        <v>0</v>
      </c>
      <c r="G64" s="12">
        <f t="shared" si="87"/>
        <v>0</v>
      </c>
      <c r="H64" s="12">
        <f t="shared" si="87"/>
        <v>0</v>
      </c>
      <c r="I64" s="12">
        <f t="shared" si="87"/>
        <v>0</v>
      </c>
      <c r="J64" s="12">
        <f t="shared" si="87"/>
        <v>0</v>
      </c>
      <c r="K64" s="12">
        <f t="shared" si="87"/>
        <v>0.61</v>
      </c>
      <c r="L64" s="12">
        <f t="shared" si="87"/>
        <v>0</v>
      </c>
      <c r="M64" s="12">
        <f t="shared" si="87"/>
        <v>0</v>
      </c>
      <c r="N64" s="12">
        <f t="shared" si="87"/>
        <v>0</v>
      </c>
      <c r="O64" s="12">
        <f t="shared" si="87"/>
        <v>0</v>
      </c>
      <c r="P64" s="12">
        <f t="shared" si="87"/>
        <v>0</v>
      </c>
      <c r="Q64" s="12">
        <f t="shared" si="87"/>
        <v>0</v>
      </c>
      <c r="R64" s="12">
        <f t="shared" si="87"/>
        <v>0</v>
      </c>
      <c r="S64" s="12">
        <f t="shared" si="87"/>
        <v>0</v>
      </c>
      <c r="T64" s="12">
        <f t="shared" si="87"/>
        <v>0</v>
      </c>
      <c r="U64" s="12">
        <f t="shared" si="87"/>
        <v>0</v>
      </c>
      <c r="V64" s="12">
        <f t="shared" si="87"/>
        <v>0</v>
      </c>
      <c r="W64" s="12">
        <f t="shared" si="87"/>
        <v>0</v>
      </c>
      <c r="X64" s="12">
        <f t="shared" si="87"/>
        <v>0</v>
      </c>
      <c r="Y64" s="12">
        <f t="shared" si="87"/>
        <v>0</v>
      </c>
      <c r="Z64" s="12">
        <f t="shared" si="87"/>
        <v>4.03</v>
      </c>
      <c r="AA64" s="24">
        <f t="shared" si="76"/>
        <v>5.204499373652062E-3</v>
      </c>
      <c r="AC64" s="12">
        <f t="shared" si="81"/>
        <v>4.03</v>
      </c>
      <c r="AD64" s="12">
        <f t="shared" si="82"/>
        <v>0</v>
      </c>
      <c r="AE64" s="12">
        <f t="shared" si="83"/>
        <v>0</v>
      </c>
      <c r="AF64" s="12">
        <f t="shared" si="77"/>
        <v>4.03</v>
      </c>
      <c r="AG64" s="22">
        <f t="shared" si="79"/>
        <v>0</v>
      </c>
    </row>
    <row r="65" spans="1:44" x14ac:dyDescent="0.35">
      <c r="A65" s="11" t="s">
        <v>13</v>
      </c>
      <c r="B65" s="119">
        <f t="shared" ref="B65:Z65" si="88">B148+B232</f>
        <v>98.740000000000038</v>
      </c>
      <c r="C65" s="119">
        <f t="shared" si="88"/>
        <v>3.95</v>
      </c>
      <c r="D65" s="119">
        <f t="shared" si="88"/>
        <v>0</v>
      </c>
      <c r="E65" s="119">
        <f t="shared" si="88"/>
        <v>0.04</v>
      </c>
      <c r="F65" s="119">
        <f t="shared" si="88"/>
        <v>0</v>
      </c>
      <c r="G65" s="119">
        <f t="shared" si="88"/>
        <v>0.15</v>
      </c>
      <c r="H65" s="119">
        <f t="shared" si="88"/>
        <v>1.52</v>
      </c>
      <c r="I65" s="119">
        <f t="shared" si="88"/>
        <v>0</v>
      </c>
      <c r="J65" s="119">
        <f t="shared" si="88"/>
        <v>0</v>
      </c>
      <c r="K65" s="119">
        <f t="shared" si="88"/>
        <v>0.55000000000000004</v>
      </c>
      <c r="L65" s="119">
        <f t="shared" si="88"/>
        <v>1.41</v>
      </c>
      <c r="M65" s="119">
        <f t="shared" si="88"/>
        <v>2</v>
      </c>
      <c r="N65" s="119">
        <f t="shared" si="88"/>
        <v>0.23</v>
      </c>
      <c r="O65" s="119">
        <f t="shared" si="88"/>
        <v>0.47</v>
      </c>
      <c r="P65" s="119">
        <f t="shared" si="88"/>
        <v>0.11</v>
      </c>
      <c r="Q65" s="119">
        <f t="shared" si="88"/>
        <v>0.92999999999999994</v>
      </c>
      <c r="R65" s="119">
        <f t="shared" si="88"/>
        <v>3.9600000000000004</v>
      </c>
      <c r="S65" s="119">
        <f t="shared" si="88"/>
        <v>1.1300000000000001</v>
      </c>
      <c r="T65" s="119">
        <f t="shared" si="88"/>
        <v>0.41000000000000003</v>
      </c>
      <c r="U65" s="119">
        <f t="shared" si="88"/>
        <v>0.61</v>
      </c>
      <c r="V65" s="119">
        <f t="shared" si="88"/>
        <v>2.8200000000000003</v>
      </c>
      <c r="W65" s="119">
        <f t="shared" si="88"/>
        <v>9.6800000000000015</v>
      </c>
      <c r="X65" s="119">
        <f t="shared" si="88"/>
        <v>5.67</v>
      </c>
      <c r="Y65" s="119">
        <f t="shared" si="88"/>
        <v>2.42</v>
      </c>
      <c r="Z65" s="119">
        <f t="shared" si="88"/>
        <v>136.80000000000004</v>
      </c>
      <c r="AA65" s="143">
        <f t="shared" si="76"/>
        <v>0.17666886211305266</v>
      </c>
      <c r="AC65" s="119">
        <f>SUM(B65:U65)</f>
        <v>116.21000000000004</v>
      </c>
      <c r="AD65" s="119">
        <f>SUM(V65:X65)</f>
        <v>18.170000000000002</v>
      </c>
      <c r="AE65" s="119">
        <f>Y65</f>
        <v>2.42</v>
      </c>
      <c r="AF65" s="119">
        <f t="shared" si="77"/>
        <v>136.80000000000004</v>
      </c>
      <c r="AG65" s="143">
        <f t="shared" ref="AG65:AG72" si="89">AD65/AF65</f>
        <v>0.13282163742690056</v>
      </c>
    </row>
    <row r="66" spans="1:44" x14ac:dyDescent="0.35">
      <c r="A66" s="6" t="s">
        <v>34</v>
      </c>
      <c r="B66" s="12">
        <f t="shared" ref="B66:Z66" si="90">B149+B233</f>
        <v>25.5</v>
      </c>
      <c r="C66" s="12">
        <f t="shared" si="90"/>
        <v>0.82</v>
      </c>
      <c r="D66" s="12">
        <f t="shared" si="90"/>
        <v>0</v>
      </c>
      <c r="E66" s="12">
        <f t="shared" si="90"/>
        <v>0</v>
      </c>
      <c r="F66" s="12">
        <f t="shared" si="90"/>
        <v>0</v>
      </c>
      <c r="G66" s="12">
        <f t="shared" si="90"/>
        <v>0.15</v>
      </c>
      <c r="H66" s="12">
        <f t="shared" si="90"/>
        <v>0</v>
      </c>
      <c r="I66" s="12">
        <f t="shared" si="90"/>
        <v>0</v>
      </c>
      <c r="J66" s="12">
        <f t="shared" si="90"/>
        <v>0</v>
      </c>
      <c r="K66" s="12">
        <f t="shared" si="90"/>
        <v>0</v>
      </c>
      <c r="L66" s="12">
        <f t="shared" si="90"/>
        <v>0.01</v>
      </c>
      <c r="M66" s="12">
        <f t="shared" si="90"/>
        <v>0.23</v>
      </c>
      <c r="N66" s="12">
        <f t="shared" si="90"/>
        <v>0</v>
      </c>
      <c r="O66" s="12">
        <f t="shared" si="90"/>
        <v>0</v>
      </c>
      <c r="P66" s="12">
        <f t="shared" si="90"/>
        <v>0</v>
      </c>
      <c r="Q66" s="12">
        <f t="shared" si="90"/>
        <v>0</v>
      </c>
      <c r="R66" s="12">
        <f t="shared" si="90"/>
        <v>0.18</v>
      </c>
      <c r="S66" s="12">
        <f t="shared" si="90"/>
        <v>0</v>
      </c>
      <c r="T66" s="12">
        <f t="shared" si="90"/>
        <v>0.31</v>
      </c>
      <c r="U66" s="12">
        <f t="shared" si="90"/>
        <v>0.45</v>
      </c>
      <c r="V66" s="12">
        <f t="shared" si="90"/>
        <v>0.13</v>
      </c>
      <c r="W66" s="12">
        <f t="shared" si="90"/>
        <v>0.54</v>
      </c>
      <c r="X66" s="12">
        <f t="shared" si="90"/>
        <v>1.85</v>
      </c>
      <c r="Y66" s="12">
        <f t="shared" si="90"/>
        <v>0.57000000000000006</v>
      </c>
      <c r="Z66" s="12">
        <f t="shared" si="90"/>
        <v>30.74</v>
      </c>
      <c r="AA66" s="24">
        <f t="shared" si="76"/>
        <v>3.9698836413415477E-2</v>
      </c>
      <c r="AC66" s="12">
        <f>SUM(B66:U66)</f>
        <v>27.65</v>
      </c>
      <c r="AD66" s="12">
        <f>SUM(V66:X66)</f>
        <v>2.52</v>
      </c>
      <c r="AE66" s="12">
        <f>Y66</f>
        <v>0.57000000000000006</v>
      </c>
      <c r="AF66" s="12">
        <f t="shared" si="77"/>
        <v>30.74</v>
      </c>
      <c r="AG66" s="22">
        <f t="shared" si="89"/>
        <v>8.1977878985035793E-2</v>
      </c>
    </row>
    <row r="67" spans="1:44" x14ac:dyDescent="0.35">
      <c r="A67" s="6" t="s">
        <v>61</v>
      </c>
      <c r="B67" s="12">
        <f t="shared" ref="B67:Z67" si="91">B150+B234</f>
        <v>12.820000000000004</v>
      </c>
      <c r="C67" s="12">
        <f t="shared" si="91"/>
        <v>0.05</v>
      </c>
      <c r="D67" s="12">
        <f t="shared" si="91"/>
        <v>0</v>
      </c>
      <c r="E67" s="12">
        <f t="shared" si="91"/>
        <v>0</v>
      </c>
      <c r="F67" s="12">
        <f t="shared" si="91"/>
        <v>0</v>
      </c>
      <c r="G67" s="12">
        <f t="shared" si="91"/>
        <v>0</v>
      </c>
      <c r="H67" s="12">
        <f t="shared" si="91"/>
        <v>0.75</v>
      </c>
      <c r="I67" s="12">
        <f t="shared" si="91"/>
        <v>0</v>
      </c>
      <c r="J67" s="12">
        <f t="shared" si="91"/>
        <v>0</v>
      </c>
      <c r="K67" s="12">
        <f t="shared" si="91"/>
        <v>0</v>
      </c>
      <c r="L67" s="12">
        <f t="shared" si="91"/>
        <v>0</v>
      </c>
      <c r="M67" s="12">
        <f t="shared" si="91"/>
        <v>0.03</v>
      </c>
      <c r="N67" s="12">
        <f t="shared" si="91"/>
        <v>0</v>
      </c>
      <c r="O67" s="12">
        <f t="shared" si="91"/>
        <v>0</v>
      </c>
      <c r="P67" s="12">
        <f t="shared" si="91"/>
        <v>0</v>
      </c>
      <c r="Q67" s="12">
        <f t="shared" si="91"/>
        <v>0.06</v>
      </c>
      <c r="R67" s="12">
        <f t="shared" si="91"/>
        <v>0</v>
      </c>
      <c r="S67" s="12">
        <f t="shared" si="91"/>
        <v>0</v>
      </c>
      <c r="T67" s="12">
        <f t="shared" si="91"/>
        <v>0</v>
      </c>
      <c r="U67" s="12">
        <f t="shared" si="91"/>
        <v>0</v>
      </c>
      <c r="V67" s="12">
        <f t="shared" si="91"/>
        <v>0</v>
      </c>
      <c r="W67" s="12">
        <f t="shared" si="91"/>
        <v>0.66</v>
      </c>
      <c r="X67" s="12">
        <f t="shared" si="91"/>
        <v>1.64</v>
      </c>
      <c r="Y67" s="12">
        <f t="shared" si="91"/>
        <v>0.32</v>
      </c>
      <c r="Z67" s="12">
        <f t="shared" si="91"/>
        <v>16.330000000000002</v>
      </c>
      <c r="AA67" s="24">
        <f t="shared" si="76"/>
        <v>2.1089199695220391E-2</v>
      </c>
      <c r="AC67" s="12">
        <f>SUM(B67:U67)</f>
        <v>13.710000000000004</v>
      </c>
      <c r="AD67" s="12">
        <f>SUM(V67:X67)</f>
        <v>2.2999999999999998</v>
      </c>
      <c r="AE67" s="12">
        <f>Y67</f>
        <v>0.32</v>
      </c>
      <c r="AF67" s="12">
        <f t="shared" si="77"/>
        <v>16.330000000000005</v>
      </c>
      <c r="AG67" s="22">
        <f t="shared" si="89"/>
        <v>0.14084507042253516</v>
      </c>
    </row>
    <row r="68" spans="1:44" x14ac:dyDescent="0.35">
      <c r="A68" s="6" t="s">
        <v>36</v>
      </c>
      <c r="B68" s="12">
        <f t="shared" ref="B68:Z68" si="92">B151+B235</f>
        <v>60.420000000000023</v>
      </c>
      <c r="C68" s="12">
        <f t="shared" si="92"/>
        <v>3.08</v>
      </c>
      <c r="D68" s="12">
        <f t="shared" si="92"/>
        <v>0</v>
      </c>
      <c r="E68" s="12">
        <f t="shared" si="92"/>
        <v>0.04</v>
      </c>
      <c r="F68" s="12">
        <f t="shared" si="92"/>
        <v>0</v>
      </c>
      <c r="G68" s="12">
        <f t="shared" si="92"/>
        <v>0</v>
      </c>
      <c r="H68" s="12">
        <f t="shared" si="92"/>
        <v>0.77</v>
      </c>
      <c r="I68" s="12">
        <f t="shared" si="92"/>
        <v>0</v>
      </c>
      <c r="J68" s="12">
        <f t="shared" si="92"/>
        <v>0</v>
      </c>
      <c r="K68" s="12">
        <f t="shared" si="92"/>
        <v>0.55000000000000004</v>
      </c>
      <c r="L68" s="12">
        <f t="shared" si="92"/>
        <v>1.4</v>
      </c>
      <c r="M68" s="12">
        <f t="shared" si="92"/>
        <v>1.74</v>
      </c>
      <c r="N68" s="12">
        <f t="shared" si="92"/>
        <v>0.23</v>
      </c>
      <c r="O68" s="12">
        <f t="shared" si="92"/>
        <v>0.47</v>
      </c>
      <c r="P68" s="12">
        <f t="shared" si="92"/>
        <v>0.11</v>
      </c>
      <c r="Q68" s="12">
        <f t="shared" si="92"/>
        <v>0.87</v>
      </c>
      <c r="R68" s="12">
        <f t="shared" si="92"/>
        <v>3.7800000000000002</v>
      </c>
      <c r="S68" s="12">
        <f t="shared" si="92"/>
        <v>1.1300000000000001</v>
      </c>
      <c r="T68" s="12">
        <f t="shared" si="92"/>
        <v>0.1</v>
      </c>
      <c r="U68" s="12">
        <f t="shared" si="92"/>
        <v>0.16</v>
      </c>
      <c r="V68" s="12">
        <f t="shared" si="92"/>
        <v>2.6900000000000004</v>
      </c>
      <c r="W68" s="12">
        <f t="shared" si="92"/>
        <v>8.4800000000000022</v>
      </c>
      <c r="X68" s="12">
        <f t="shared" si="92"/>
        <v>2.1799999999999997</v>
      </c>
      <c r="Y68" s="12">
        <f t="shared" si="92"/>
        <v>1.5299999999999998</v>
      </c>
      <c r="Z68" s="12">
        <f t="shared" si="92"/>
        <v>89.730000000000018</v>
      </c>
      <c r="AA68" s="24">
        <f t="shared" si="76"/>
        <v>0.11588082600441678</v>
      </c>
      <c r="AC68" s="12">
        <f t="shared" ref="AC68" si="93">SUM(B68:U68)</f>
        <v>74.850000000000009</v>
      </c>
      <c r="AD68" s="12">
        <f t="shared" ref="AD68" si="94">SUM(V68:X68)</f>
        <v>13.350000000000001</v>
      </c>
      <c r="AE68" s="12">
        <f t="shared" ref="AE68" si="95">Y68</f>
        <v>1.5299999999999998</v>
      </c>
      <c r="AF68" s="12">
        <f t="shared" si="77"/>
        <v>89.730000000000018</v>
      </c>
      <c r="AG68" s="22">
        <f t="shared" si="89"/>
        <v>0.14877967235038447</v>
      </c>
    </row>
    <row r="69" spans="1:44" x14ac:dyDescent="0.35">
      <c r="A69" s="11" t="s">
        <v>14</v>
      </c>
      <c r="B69" s="119">
        <f t="shared" ref="B69:Z69" si="96">B152+B236</f>
        <v>290.90999999999985</v>
      </c>
      <c r="C69" s="119">
        <f t="shared" si="96"/>
        <v>19.239999999999995</v>
      </c>
      <c r="D69" s="119">
        <f t="shared" si="96"/>
        <v>3.36</v>
      </c>
      <c r="E69" s="119">
        <f t="shared" si="96"/>
        <v>10.17</v>
      </c>
      <c r="F69" s="119">
        <f t="shared" si="96"/>
        <v>0.77</v>
      </c>
      <c r="G69" s="119">
        <f t="shared" si="96"/>
        <v>6.1599999999999993</v>
      </c>
      <c r="H69" s="119">
        <f t="shared" si="96"/>
        <v>5</v>
      </c>
      <c r="I69" s="119">
        <f t="shared" si="96"/>
        <v>7.64</v>
      </c>
      <c r="J69" s="119">
        <f t="shared" si="96"/>
        <v>4.17</v>
      </c>
      <c r="K69" s="119">
        <f t="shared" si="96"/>
        <v>5.87</v>
      </c>
      <c r="L69" s="119">
        <f t="shared" si="96"/>
        <v>4.1100000000000003</v>
      </c>
      <c r="M69" s="119">
        <f t="shared" si="96"/>
        <v>4.1099999999999994</v>
      </c>
      <c r="N69" s="119">
        <f t="shared" si="96"/>
        <v>3.16</v>
      </c>
      <c r="O69" s="119">
        <f t="shared" si="96"/>
        <v>4.75</v>
      </c>
      <c r="P69" s="119">
        <f t="shared" si="96"/>
        <v>2.2199999999999998</v>
      </c>
      <c r="Q69" s="119">
        <f t="shared" si="96"/>
        <v>3.6299999999999994</v>
      </c>
      <c r="R69" s="119">
        <f t="shared" si="96"/>
        <v>18.8</v>
      </c>
      <c r="S69" s="119">
        <f t="shared" si="96"/>
        <v>2.9799999999999995</v>
      </c>
      <c r="T69" s="119">
        <f t="shared" si="96"/>
        <v>1.3599999999999999</v>
      </c>
      <c r="U69" s="119">
        <f t="shared" si="96"/>
        <v>1.08</v>
      </c>
      <c r="V69" s="119">
        <f t="shared" si="96"/>
        <v>8.6399999999999988</v>
      </c>
      <c r="W69" s="119">
        <f t="shared" si="96"/>
        <v>20.670000000000005</v>
      </c>
      <c r="X69" s="119">
        <f t="shared" si="96"/>
        <v>14.999999999999998</v>
      </c>
      <c r="Y69" s="119">
        <f t="shared" si="96"/>
        <v>0.17</v>
      </c>
      <c r="Z69" s="119">
        <f t="shared" si="96"/>
        <v>443.96999999999997</v>
      </c>
      <c r="AA69" s="143">
        <f t="shared" si="76"/>
        <v>0.57336019526558457</v>
      </c>
      <c r="AC69" s="119">
        <f>SUM(B69:U69)</f>
        <v>399.49</v>
      </c>
      <c r="AD69" s="119">
        <f>SUM(V69:X69)</f>
        <v>44.31</v>
      </c>
      <c r="AE69" s="119">
        <f>Y69</f>
        <v>0.17</v>
      </c>
      <c r="AF69" s="119">
        <f t="shared" si="77"/>
        <v>443.97</v>
      </c>
      <c r="AG69" s="143">
        <f t="shared" si="89"/>
        <v>9.9804040813568487E-2</v>
      </c>
    </row>
    <row r="70" spans="1:44" x14ac:dyDescent="0.35">
      <c r="A70" s="6" t="s">
        <v>37</v>
      </c>
      <c r="B70" s="12">
        <f t="shared" ref="B70:Z70" si="97">B153+B237</f>
        <v>0.71</v>
      </c>
      <c r="C70" s="12">
        <f t="shared" si="97"/>
        <v>0</v>
      </c>
      <c r="D70" s="12">
        <f t="shared" si="97"/>
        <v>0</v>
      </c>
      <c r="E70" s="12">
        <f t="shared" si="97"/>
        <v>0</v>
      </c>
      <c r="F70" s="12">
        <f t="shared" si="97"/>
        <v>0</v>
      </c>
      <c r="G70" s="12">
        <f t="shared" si="97"/>
        <v>0</v>
      </c>
      <c r="H70" s="12">
        <f t="shared" si="97"/>
        <v>0</v>
      </c>
      <c r="I70" s="12">
        <f t="shared" si="97"/>
        <v>0</v>
      </c>
      <c r="J70" s="12">
        <f t="shared" si="97"/>
        <v>0</v>
      </c>
      <c r="K70" s="12">
        <f t="shared" si="97"/>
        <v>0</v>
      </c>
      <c r="L70" s="12">
        <f t="shared" si="97"/>
        <v>0</v>
      </c>
      <c r="M70" s="12">
        <f t="shared" si="97"/>
        <v>0</v>
      </c>
      <c r="N70" s="12">
        <f t="shared" si="97"/>
        <v>0</v>
      </c>
      <c r="O70" s="12">
        <f t="shared" si="97"/>
        <v>0</v>
      </c>
      <c r="P70" s="12">
        <f t="shared" si="97"/>
        <v>0</v>
      </c>
      <c r="Q70" s="12">
        <f t="shared" si="97"/>
        <v>0</v>
      </c>
      <c r="R70" s="12">
        <f t="shared" si="97"/>
        <v>0</v>
      </c>
      <c r="S70" s="12">
        <f t="shared" si="97"/>
        <v>0</v>
      </c>
      <c r="T70" s="12">
        <f t="shared" si="97"/>
        <v>0</v>
      </c>
      <c r="U70" s="12">
        <f t="shared" si="97"/>
        <v>0</v>
      </c>
      <c r="V70" s="12">
        <f t="shared" si="97"/>
        <v>0</v>
      </c>
      <c r="W70" s="12">
        <f t="shared" si="97"/>
        <v>0</v>
      </c>
      <c r="X70" s="12">
        <f t="shared" si="97"/>
        <v>0</v>
      </c>
      <c r="Y70" s="12">
        <f t="shared" si="97"/>
        <v>0</v>
      </c>
      <c r="Z70" s="12">
        <f t="shared" si="97"/>
        <v>0.71</v>
      </c>
      <c r="AA70" s="24">
        <f t="shared" si="76"/>
        <v>9.1692172587914727E-4</v>
      </c>
      <c r="AC70" s="12">
        <f t="shared" ref="AC70:AC72" si="98">SUM(B70:U70)</f>
        <v>0.71</v>
      </c>
      <c r="AD70" s="12">
        <f t="shared" ref="AD70:AD72" si="99">SUM(V70:X70)</f>
        <v>0</v>
      </c>
      <c r="AE70" s="12">
        <f t="shared" ref="AE70:AE72" si="100">Y70</f>
        <v>0</v>
      </c>
      <c r="AF70" s="12">
        <f t="shared" si="77"/>
        <v>0.71</v>
      </c>
      <c r="AG70" s="22">
        <f t="shared" si="89"/>
        <v>0</v>
      </c>
      <c r="AI70" s="210" t="s">
        <v>255</v>
      </c>
      <c r="AO70" s="342"/>
      <c r="AP70" s="342" t="s">
        <v>256</v>
      </c>
      <c r="AQ70" s="342" t="s">
        <v>96</v>
      </c>
      <c r="AR70" s="342" t="s">
        <v>257</v>
      </c>
    </row>
    <row r="71" spans="1:44" x14ac:dyDescent="0.35">
      <c r="A71" s="6" t="s">
        <v>39</v>
      </c>
      <c r="B71" s="12">
        <f t="shared" ref="B71:Z71" si="101">B154+B238</f>
        <v>0</v>
      </c>
      <c r="C71" s="12">
        <f t="shared" si="101"/>
        <v>0</v>
      </c>
      <c r="D71" s="12">
        <f t="shared" si="101"/>
        <v>0</v>
      </c>
      <c r="E71" s="12">
        <f t="shared" si="101"/>
        <v>0</v>
      </c>
      <c r="F71" s="12">
        <f t="shared" si="101"/>
        <v>0</v>
      </c>
      <c r="G71" s="12">
        <f t="shared" si="101"/>
        <v>0</v>
      </c>
      <c r="H71" s="12">
        <f t="shared" si="101"/>
        <v>0</v>
      </c>
      <c r="I71" s="12">
        <f t="shared" si="101"/>
        <v>0</v>
      </c>
      <c r="J71" s="12">
        <f t="shared" si="101"/>
        <v>0</v>
      </c>
      <c r="K71" s="12">
        <f t="shared" si="101"/>
        <v>0</v>
      </c>
      <c r="L71" s="12">
        <f t="shared" si="101"/>
        <v>0</v>
      </c>
      <c r="M71" s="12">
        <f t="shared" si="101"/>
        <v>0</v>
      </c>
      <c r="N71" s="12">
        <f t="shared" si="101"/>
        <v>0</v>
      </c>
      <c r="O71" s="12">
        <f t="shared" si="101"/>
        <v>0</v>
      </c>
      <c r="P71" s="12">
        <f t="shared" si="101"/>
        <v>0.77</v>
      </c>
      <c r="Q71" s="12">
        <f t="shared" si="101"/>
        <v>0</v>
      </c>
      <c r="R71" s="12">
        <f t="shared" si="101"/>
        <v>0</v>
      </c>
      <c r="S71" s="12">
        <f t="shared" si="101"/>
        <v>0</v>
      </c>
      <c r="T71" s="12">
        <f t="shared" si="101"/>
        <v>0</v>
      </c>
      <c r="U71" s="12">
        <f t="shared" si="101"/>
        <v>0</v>
      </c>
      <c r="V71" s="12">
        <f t="shared" si="101"/>
        <v>0</v>
      </c>
      <c r="W71" s="12">
        <f t="shared" si="101"/>
        <v>0</v>
      </c>
      <c r="X71" s="12">
        <f t="shared" si="101"/>
        <v>0</v>
      </c>
      <c r="Y71" s="12">
        <f t="shared" si="101"/>
        <v>0</v>
      </c>
      <c r="Z71" s="12">
        <f t="shared" si="101"/>
        <v>0.77</v>
      </c>
      <c r="AA71" s="24">
        <f t="shared" si="76"/>
        <v>9.9440806891118796E-4</v>
      </c>
      <c r="AC71" s="12">
        <f t="shared" si="98"/>
        <v>0.77</v>
      </c>
      <c r="AD71" s="12">
        <f t="shared" si="99"/>
        <v>0</v>
      </c>
      <c r="AE71" s="12">
        <f t="shared" si="100"/>
        <v>0</v>
      </c>
      <c r="AF71" s="12">
        <f t="shared" si="77"/>
        <v>0.77</v>
      </c>
      <c r="AG71" s="22">
        <f t="shared" si="89"/>
        <v>0</v>
      </c>
      <c r="AJ71" t="s">
        <v>256</v>
      </c>
      <c r="AK71" t="s">
        <v>96</v>
      </c>
      <c r="AL71" t="s">
        <v>257</v>
      </c>
      <c r="AO71" s="118" t="s">
        <v>14</v>
      </c>
      <c r="AP71" s="343">
        <v>44.31</v>
      </c>
      <c r="AQ71" s="343">
        <v>443.97</v>
      </c>
      <c r="AR71" s="190">
        <f t="shared" ref="AR71" si="102">AP71/AQ71</f>
        <v>9.9804040813568487E-2</v>
      </c>
    </row>
    <row r="72" spans="1:44" x14ac:dyDescent="0.35">
      <c r="A72" s="6" t="s">
        <v>40</v>
      </c>
      <c r="B72" s="12">
        <f t="shared" ref="B72:Z72" si="103">B155+B239</f>
        <v>290.19999999999987</v>
      </c>
      <c r="C72" s="12">
        <f t="shared" si="103"/>
        <v>19.239999999999995</v>
      </c>
      <c r="D72" s="12">
        <f t="shared" si="103"/>
        <v>3.36</v>
      </c>
      <c r="E72" s="12">
        <f t="shared" si="103"/>
        <v>10.17</v>
      </c>
      <c r="F72" s="12">
        <f t="shared" si="103"/>
        <v>0.77</v>
      </c>
      <c r="G72" s="12">
        <f t="shared" si="103"/>
        <v>6.1599999999999993</v>
      </c>
      <c r="H72" s="12">
        <f t="shared" si="103"/>
        <v>5</v>
      </c>
      <c r="I72" s="12">
        <f t="shared" si="103"/>
        <v>7.64</v>
      </c>
      <c r="J72" s="12">
        <f t="shared" si="103"/>
        <v>4.17</v>
      </c>
      <c r="K72" s="12">
        <f t="shared" si="103"/>
        <v>5.87</v>
      </c>
      <c r="L72" s="12">
        <f t="shared" si="103"/>
        <v>4.1100000000000003</v>
      </c>
      <c r="M72" s="12">
        <f t="shared" si="103"/>
        <v>4.1099999999999994</v>
      </c>
      <c r="N72" s="12">
        <f t="shared" si="103"/>
        <v>3.16</v>
      </c>
      <c r="O72" s="12">
        <f t="shared" si="103"/>
        <v>4.75</v>
      </c>
      <c r="P72" s="12">
        <f t="shared" si="103"/>
        <v>1.45</v>
      </c>
      <c r="Q72" s="12">
        <f t="shared" si="103"/>
        <v>3.6299999999999994</v>
      </c>
      <c r="R72" s="12">
        <f t="shared" si="103"/>
        <v>18.8</v>
      </c>
      <c r="S72" s="12">
        <f t="shared" si="103"/>
        <v>2.9799999999999995</v>
      </c>
      <c r="T72" s="12">
        <f t="shared" si="103"/>
        <v>1.3599999999999999</v>
      </c>
      <c r="U72" s="12">
        <f t="shared" si="103"/>
        <v>1.08</v>
      </c>
      <c r="V72" s="12">
        <f t="shared" si="103"/>
        <v>8.6399999999999988</v>
      </c>
      <c r="W72" s="12">
        <f t="shared" si="103"/>
        <v>20.670000000000005</v>
      </c>
      <c r="X72" s="12">
        <f t="shared" si="103"/>
        <v>14.999999999999998</v>
      </c>
      <c r="Y72" s="12">
        <f t="shared" si="103"/>
        <v>0.17</v>
      </c>
      <c r="Z72" s="12">
        <f t="shared" si="103"/>
        <v>442.48999999999995</v>
      </c>
      <c r="AA72" s="24">
        <f t="shared" si="76"/>
        <v>0.57144886547079421</v>
      </c>
      <c r="AC72" s="12">
        <f t="shared" si="98"/>
        <v>398.01</v>
      </c>
      <c r="AD72" s="12">
        <f t="shared" si="99"/>
        <v>44.31</v>
      </c>
      <c r="AE72" s="12">
        <f t="shared" si="100"/>
        <v>0.17</v>
      </c>
      <c r="AF72" s="12">
        <f t="shared" si="77"/>
        <v>442.49</v>
      </c>
      <c r="AG72" s="22">
        <f t="shared" si="89"/>
        <v>0.1001378562227395</v>
      </c>
      <c r="AI72" s="6" t="s">
        <v>40</v>
      </c>
      <c r="AJ72" s="12">
        <v>44.31</v>
      </c>
      <c r="AK72" s="12">
        <v>442.49</v>
      </c>
      <c r="AL72" s="382">
        <f>AJ72/AK72</f>
        <v>0.1001378562227395</v>
      </c>
      <c r="AO72" s="118" t="s">
        <v>13</v>
      </c>
      <c r="AP72" s="343">
        <v>18.170000000000002</v>
      </c>
      <c r="AQ72" s="343">
        <v>136.80000000000004</v>
      </c>
      <c r="AR72" s="190">
        <f>AP72/AQ72</f>
        <v>0.13282163742690056</v>
      </c>
    </row>
    <row r="73" spans="1:44" x14ac:dyDescent="0.35">
      <c r="A73" s="11" t="s">
        <v>17</v>
      </c>
      <c r="B73" s="119">
        <f t="shared" ref="B73:Z73" si="104">B156+B240</f>
        <v>0</v>
      </c>
      <c r="C73" s="119">
        <f t="shared" si="104"/>
        <v>0</v>
      </c>
      <c r="D73" s="119">
        <f t="shared" si="104"/>
        <v>0</v>
      </c>
      <c r="E73" s="119">
        <f t="shared" si="104"/>
        <v>0</v>
      </c>
      <c r="F73" s="119">
        <f t="shared" si="104"/>
        <v>0</v>
      </c>
      <c r="G73" s="119">
        <f t="shared" si="104"/>
        <v>0</v>
      </c>
      <c r="H73" s="119">
        <f t="shared" si="104"/>
        <v>0</v>
      </c>
      <c r="I73" s="119">
        <f t="shared" si="104"/>
        <v>0</v>
      </c>
      <c r="J73" s="119">
        <f t="shared" si="104"/>
        <v>0</v>
      </c>
      <c r="K73" s="119">
        <f t="shared" si="104"/>
        <v>0</v>
      </c>
      <c r="L73" s="119">
        <f t="shared" si="104"/>
        <v>0</v>
      </c>
      <c r="M73" s="119">
        <f t="shared" si="104"/>
        <v>0</v>
      </c>
      <c r="N73" s="119">
        <f t="shared" si="104"/>
        <v>0</v>
      </c>
      <c r="O73" s="119">
        <f t="shared" si="104"/>
        <v>0</v>
      </c>
      <c r="P73" s="119">
        <f t="shared" si="104"/>
        <v>0</v>
      </c>
      <c r="Q73" s="119">
        <f t="shared" si="104"/>
        <v>0</v>
      </c>
      <c r="R73" s="119">
        <f t="shared" si="104"/>
        <v>0</v>
      </c>
      <c r="S73" s="119">
        <f t="shared" si="104"/>
        <v>0</v>
      </c>
      <c r="T73" s="119">
        <f t="shared" si="104"/>
        <v>0</v>
      </c>
      <c r="U73" s="119">
        <f t="shared" si="104"/>
        <v>0</v>
      </c>
      <c r="V73" s="119">
        <f t="shared" si="104"/>
        <v>0</v>
      </c>
      <c r="W73" s="119">
        <f t="shared" si="104"/>
        <v>0.56999999999999995</v>
      </c>
      <c r="X73" s="119">
        <f t="shared" si="104"/>
        <v>0</v>
      </c>
      <c r="Y73" s="119">
        <f t="shared" si="104"/>
        <v>0</v>
      </c>
      <c r="Z73" s="119">
        <f t="shared" si="104"/>
        <v>0.56999999999999995</v>
      </c>
      <c r="AA73" s="143">
        <f t="shared" si="76"/>
        <v>7.3612025880438585E-4</v>
      </c>
      <c r="AC73" s="119">
        <f>SUM(B73:U73)</f>
        <v>0</v>
      </c>
      <c r="AD73" s="119">
        <f>SUM(V73:X73)</f>
        <v>0.56999999999999995</v>
      </c>
      <c r="AE73" s="119">
        <f>Y73</f>
        <v>0</v>
      </c>
      <c r="AF73" s="119">
        <f t="shared" si="77"/>
        <v>0.56999999999999995</v>
      </c>
      <c r="AG73" s="143"/>
      <c r="AI73" s="6" t="s">
        <v>36</v>
      </c>
      <c r="AJ73" s="12">
        <v>13.350000000000001</v>
      </c>
      <c r="AK73" s="12">
        <v>89.730000000000018</v>
      </c>
      <c r="AL73" s="382">
        <f t="shared" ref="AL73:AL78" si="105">AJ73/AK73</f>
        <v>0.14877967235038447</v>
      </c>
      <c r="AO73" s="118" t="s">
        <v>18</v>
      </c>
      <c r="AP73" s="343">
        <v>9.86</v>
      </c>
      <c r="AQ73" s="343">
        <v>16.91</v>
      </c>
      <c r="AR73" s="190">
        <f>AP73/AQ73</f>
        <v>0.58308693081017149</v>
      </c>
    </row>
    <row r="74" spans="1:44" x14ac:dyDescent="0.35">
      <c r="A74" s="6" t="s">
        <v>56</v>
      </c>
      <c r="B74" s="12">
        <f t="shared" ref="B74:Z74" si="106">B157+B241</f>
        <v>0</v>
      </c>
      <c r="C74" s="12">
        <f t="shared" si="106"/>
        <v>0</v>
      </c>
      <c r="D74" s="12">
        <f t="shared" si="106"/>
        <v>0</v>
      </c>
      <c r="E74" s="12">
        <f t="shared" si="106"/>
        <v>0</v>
      </c>
      <c r="F74" s="12">
        <f t="shared" si="106"/>
        <v>0</v>
      </c>
      <c r="G74" s="12">
        <f t="shared" si="106"/>
        <v>0</v>
      </c>
      <c r="H74" s="12">
        <f t="shared" si="106"/>
        <v>0</v>
      </c>
      <c r="I74" s="12">
        <f t="shared" si="106"/>
        <v>0</v>
      </c>
      <c r="J74" s="12">
        <f t="shared" si="106"/>
        <v>0</v>
      </c>
      <c r="K74" s="12">
        <f t="shared" si="106"/>
        <v>0</v>
      </c>
      <c r="L74" s="12">
        <f t="shared" si="106"/>
        <v>0</v>
      </c>
      <c r="M74" s="12">
        <f t="shared" si="106"/>
        <v>0</v>
      </c>
      <c r="N74" s="12">
        <f t="shared" si="106"/>
        <v>0</v>
      </c>
      <c r="O74" s="12">
        <f t="shared" si="106"/>
        <v>0</v>
      </c>
      <c r="P74" s="12">
        <f t="shared" si="106"/>
        <v>0</v>
      </c>
      <c r="Q74" s="12">
        <f t="shared" si="106"/>
        <v>0</v>
      </c>
      <c r="R74" s="12">
        <f t="shared" si="106"/>
        <v>0</v>
      </c>
      <c r="S74" s="12">
        <f t="shared" si="106"/>
        <v>0</v>
      </c>
      <c r="T74" s="12">
        <f t="shared" si="106"/>
        <v>0</v>
      </c>
      <c r="U74" s="12">
        <f t="shared" si="106"/>
        <v>0</v>
      </c>
      <c r="V74" s="12">
        <f t="shared" si="106"/>
        <v>0</v>
      </c>
      <c r="W74" s="12">
        <f t="shared" si="106"/>
        <v>0.56999999999999995</v>
      </c>
      <c r="X74" s="12">
        <f t="shared" si="106"/>
        <v>0</v>
      </c>
      <c r="Y74" s="12">
        <f t="shared" si="106"/>
        <v>0</v>
      </c>
      <c r="Z74" s="12">
        <f t="shared" si="106"/>
        <v>0.56999999999999995</v>
      </c>
      <c r="AA74" s="24">
        <f t="shared" si="76"/>
        <v>7.3612025880438585E-4</v>
      </c>
      <c r="AC74" s="12">
        <f t="shared" ref="AC74" si="107">SUM(B74:U74)</f>
        <v>0</v>
      </c>
      <c r="AD74" s="12">
        <f t="shared" ref="AD74" si="108">SUM(V74:X74)</f>
        <v>0.56999999999999995</v>
      </c>
      <c r="AE74" s="12">
        <f t="shared" ref="AE74" si="109">Y74</f>
        <v>0</v>
      </c>
      <c r="AF74" s="12">
        <f t="shared" si="77"/>
        <v>0.56999999999999995</v>
      </c>
      <c r="AG74" s="22">
        <f t="shared" ref="AG74" si="110">AD74/AF74</f>
        <v>1</v>
      </c>
      <c r="AI74" s="6" t="s">
        <v>18</v>
      </c>
      <c r="AJ74" s="12">
        <v>9.86</v>
      </c>
      <c r="AK74" s="12">
        <v>16.91</v>
      </c>
      <c r="AL74" s="382">
        <f t="shared" si="105"/>
        <v>0.58308693081017149</v>
      </c>
    </row>
    <row r="75" spans="1:44" x14ac:dyDescent="0.35">
      <c r="A75" s="11" t="s">
        <v>18</v>
      </c>
      <c r="B75" s="119">
        <f t="shared" ref="B75:Z75" si="111">B158+B242</f>
        <v>6.4399999999999995</v>
      </c>
      <c r="C75" s="119">
        <f t="shared" si="111"/>
        <v>0</v>
      </c>
      <c r="D75" s="119">
        <f t="shared" si="111"/>
        <v>0</v>
      </c>
      <c r="E75" s="119">
        <f t="shared" si="111"/>
        <v>0</v>
      </c>
      <c r="F75" s="119">
        <f t="shared" si="111"/>
        <v>0</v>
      </c>
      <c r="G75" s="119">
        <f t="shared" si="111"/>
        <v>0</v>
      </c>
      <c r="H75" s="119">
        <f t="shared" si="111"/>
        <v>0</v>
      </c>
      <c r="I75" s="119">
        <f t="shared" si="111"/>
        <v>0</v>
      </c>
      <c r="J75" s="119">
        <f t="shared" si="111"/>
        <v>0</v>
      </c>
      <c r="K75" s="119">
        <f t="shared" si="111"/>
        <v>0</v>
      </c>
      <c r="L75" s="119">
        <f t="shared" si="111"/>
        <v>0</v>
      </c>
      <c r="M75" s="119">
        <f t="shared" si="111"/>
        <v>0.48</v>
      </c>
      <c r="N75" s="119">
        <f t="shared" si="111"/>
        <v>0</v>
      </c>
      <c r="O75" s="119">
        <f t="shared" si="111"/>
        <v>0</v>
      </c>
      <c r="P75" s="119">
        <f t="shared" si="111"/>
        <v>0</v>
      </c>
      <c r="Q75" s="119">
        <f t="shared" si="111"/>
        <v>0</v>
      </c>
      <c r="R75" s="119">
        <f t="shared" si="111"/>
        <v>0.12</v>
      </c>
      <c r="S75" s="119">
        <f t="shared" si="111"/>
        <v>0</v>
      </c>
      <c r="T75" s="119">
        <f t="shared" si="111"/>
        <v>0</v>
      </c>
      <c r="U75" s="119">
        <f t="shared" si="111"/>
        <v>0</v>
      </c>
      <c r="V75" s="119">
        <f t="shared" si="111"/>
        <v>1.55</v>
      </c>
      <c r="W75" s="119">
        <f t="shared" si="111"/>
        <v>1.1599999999999999</v>
      </c>
      <c r="X75" s="119">
        <f t="shared" si="111"/>
        <v>7.15</v>
      </c>
      <c r="Y75" s="119">
        <f t="shared" si="111"/>
        <v>0.01</v>
      </c>
      <c r="Z75" s="119">
        <f t="shared" si="111"/>
        <v>16.910000000000004</v>
      </c>
      <c r="AA75" s="143">
        <f t="shared" si="76"/>
        <v>2.1838234344530121E-2</v>
      </c>
      <c r="AC75" s="119">
        <f>SUM(B75:U75)</f>
        <v>7.04</v>
      </c>
      <c r="AD75" s="119">
        <f>SUM(V75:X75)</f>
        <v>9.86</v>
      </c>
      <c r="AE75" s="119">
        <f>Y75</f>
        <v>0.01</v>
      </c>
      <c r="AF75" s="119">
        <f t="shared" si="77"/>
        <v>16.91</v>
      </c>
      <c r="AG75" s="143">
        <f t="shared" ref="AG75:AG79" si="112">AD75/AF75</f>
        <v>0.58308693081017149</v>
      </c>
      <c r="AI75" s="6" t="s">
        <v>34</v>
      </c>
      <c r="AJ75" s="54">
        <v>2.52</v>
      </c>
      <c r="AK75" s="12">
        <v>30.74</v>
      </c>
      <c r="AL75" s="382">
        <f t="shared" si="105"/>
        <v>8.1977878985035793E-2</v>
      </c>
    </row>
    <row r="76" spans="1:44" x14ac:dyDescent="0.35">
      <c r="A76" s="6" t="s">
        <v>18</v>
      </c>
      <c r="B76" s="12">
        <f t="shared" ref="B76:Z76" si="113">B159+B243</f>
        <v>6.4399999999999995</v>
      </c>
      <c r="C76" s="12">
        <f t="shared" si="113"/>
        <v>0</v>
      </c>
      <c r="D76" s="12">
        <f t="shared" si="113"/>
        <v>0</v>
      </c>
      <c r="E76" s="12">
        <f t="shared" si="113"/>
        <v>0</v>
      </c>
      <c r="F76" s="12">
        <f t="shared" si="113"/>
        <v>0</v>
      </c>
      <c r="G76" s="12">
        <f t="shared" si="113"/>
        <v>0</v>
      </c>
      <c r="H76" s="12">
        <f t="shared" si="113"/>
        <v>0</v>
      </c>
      <c r="I76" s="12">
        <f t="shared" si="113"/>
        <v>0</v>
      </c>
      <c r="J76" s="12">
        <f t="shared" si="113"/>
        <v>0</v>
      </c>
      <c r="K76" s="12">
        <f t="shared" si="113"/>
        <v>0</v>
      </c>
      <c r="L76" s="12">
        <f t="shared" si="113"/>
        <v>0</v>
      </c>
      <c r="M76" s="12">
        <f t="shared" si="113"/>
        <v>0.48</v>
      </c>
      <c r="N76" s="12">
        <f t="shared" si="113"/>
        <v>0</v>
      </c>
      <c r="O76" s="12">
        <f t="shared" si="113"/>
        <v>0</v>
      </c>
      <c r="P76" s="12">
        <f t="shared" si="113"/>
        <v>0</v>
      </c>
      <c r="Q76" s="12">
        <f t="shared" si="113"/>
        <v>0</v>
      </c>
      <c r="R76" s="12">
        <f t="shared" si="113"/>
        <v>0.12</v>
      </c>
      <c r="S76" s="12">
        <f t="shared" si="113"/>
        <v>0</v>
      </c>
      <c r="T76" s="12">
        <f t="shared" si="113"/>
        <v>0</v>
      </c>
      <c r="U76" s="12">
        <f t="shared" si="113"/>
        <v>0</v>
      </c>
      <c r="V76" s="12">
        <f t="shared" si="113"/>
        <v>1.55</v>
      </c>
      <c r="W76" s="12">
        <f t="shared" si="113"/>
        <v>1.1599999999999999</v>
      </c>
      <c r="X76" s="12">
        <f t="shared" si="113"/>
        <v>7.15</v>
      </c>
      <c r="Y76" s="12">
        <f t="shared" si="113"/>
        <v>0.01</v>
      </c>
      <c r="Z76" s="12">
        <f t="shared" si="113"/>
        <v>16.910000000000004</v>
      </c>
      <c r="AA76" s="24">
        <f t="shared" si="76"/>
        <v>2.1838234344530121E-2</v>
      </c>
      <c r="AC76" s="12">
        <f t="shared" ref="AC76" si="114">SUM(B76:U76)</f>
        <v>7.04</v>
      </c>
      <c r="AD76" s="12">
        <f t="shared" ref="AD76" si="115">SUM(V76:X76)</f>
        <v>9.86</v>
      </c>
      <c r="AE76" s="12">
        <f t="shared" ref="AE76" si="116">Y76</f>
        <v>0.01</v>
      </c>
      <c r="AF76" s="12">
        <f t="shared" si="77"/>
        <v>16.91</v>
      </c>
      <c r="AG76" s="22">
        <f t="shared" si="112"/>
        <v>0.58308693081017149</v>
      </c>
      <c r="AI76" s="6" t="s">
        <v>61</v>
      </c>
      <c r="AJ76" s="54">
        <v>2.2999999999999998</v>
      </c>
      <c r="AK76" s="12">
        <v>16.330000000000005</v>
      </c>
      <c r="AL76" s="382">
        <f t="shared" si="105"/>
        <v>0.14084507042253516</v>
      </c>
    </row>
    <row r="77" spans="1:44" x14ac:dyDescent="0.35">
      <c r="A77" s="11" t="s">
        <v>22</v>
      </c>
      <c r="B77" s="119">
        <f t="shared" ref="B77:Z77" si="117">B160+B244</f>
        <v>68.649999999999991</v>
      </c>
      <c r="C77" s="119">
        <f t="shared" si="117"/>
        <v>1.3699999999999999</v>
      </c>
      <c r="D77" s="119">
        <f t="shared" si="117"/>
        <v>0</v>
      </c>
      <c r="E77" s="119">
        <f t="shared" si="117"/>
        <v>0.2</v>
      </c>
      <c r="F77" s="119">
        <f t="shared" si="117"/>
        <v>0</v>
      </c>
      <c r="G77" s="119">
        <f t="shared" si="117"/>
        <v>0.12</v>
      </c>
      <c r="H77" s="119">
        <f t="shared" si="117"/>
        <v>0</v>
      </c>
      <c r="I77" s="119">
        <f t="shared" si="117"/>
        <v>0</v>
      </c>
      <c r="J77" s="119">
        <f t="shared" si="117"/>
        <v>0</v>
      </c>
      <c r="K77" s="119">
        <f t="shared" si="117"/>
        <v>0</v>
      </c>
      <c r="L77" s="119">
        <f t="shared" si="117"/>
        <v>0</v>
      </c>
      <c r="M77" s="119">
        <f t="shared" si="117"/>
        <v>0.22999999999999998</v>
      </c>
      <c r="N77" s="119">
        <f t="shared" si="117"/>
        <v>0</v>
      </c>
      <c r="O77" s="119">
        <f t="shared" si="117"/>
        <v>0</v>
      </c>
      <c r="P77" s="119">
        <f t="shared" si="117"/>
        <v>0</v>
      </c>
      <c r="Q77" s="119">
        <f t="shared" si="117"/>
        <v>0</v>
      </c>
      <c r="R77" s="119">
        <f t="shared" si="117"/>
        <v>0</v>
      </c>
      <c r="S77" s="119">
        <f t="shared" si="117"/>
        <v>0</v>
      </c>
      <c r="T77" s="119">
        <f t="shared" si="117"/>
        <v>0</v>
      </c>
      <c r="U77" s="119">
        <f t="shared" si="117"/>
        <v>0</v>
      </c>
      <c r="V77" s="119">
        <f t="shared" si="117"/>
        <v>0</v>
      </c>
      <c r="W77" s="119">
        <f t="shared" si="117"/>
        <v>0.83000000000000007</v>
      </c>
      <c r="X77" s="119">
        <f t="shared" si="117"/>
        <v>0.9</v>
      </c>
      <c r="Y77" s="119">
        <f t="shared" si="117"/>
        <v>0.37</v>
      </c>
      <c r="Z77" s="119">
        <f t="shared" si="117"/>
        <v>72.67</v>
      </c>
      <c r="AA77" s="143">
        <f t="shared" si="76"/>
        <v>9.3848875802306539E-2</v>
      </c>
      <c r="AC77" s="119">
        <f>SUM(B77:U77)</f>
        <v>70.570000000000007</v>
      </c>
      <c r="AD77" s="119">
        <f>SUM(V77:X77)</f>
        <v>1.73</v>
      </c>
      <c r="AE77" s="119">
        <f>Y77</f>
        <v>0.37</v>
      </c>
      <c r="AF77" s="119">
        <f t="shared" si="77"/>
        <v>72.670000000000016</v>
      </c>
      <c r="AG77" s="143">
        <f t="shared" si="112"/>
        <v>2.3806247419843121E-2</v>
      </c>
      <c r="AI77" s="6" t="s">
        <v>22</v>
      </c>
      <c r="AJ77" s="54">
        <v>1.73</v>
      </c>
      <c r="AK77" s="12">
        <v>72.670000000000016</v>
      </c>
      <c r="AL77" s="382">
        <f t="shared" si="105"/>
        <v>2.3806247419843121E-2</v>
      </c>
    </row>
    <row r="78" spans="1:44" x14ac:dyDescent="0.35">
      <c r="A78" s="6" t="s">
        <v>22</v>
      </c>
      <c r="B78" s="12">
        <f t="shared" ref="B78:Z78" si="118">B161+B245</f>
        <v>68.649999999999991</v>
      </c>
      <c r="C78" s="12">
        <f t="shared" si="118"/>
        <v>1.3699999999999999</v>
      </c>
      <c r="D78" s="12">
        <f t="shared" si="118"/>
        <v>0</v>
      </c>
      <c r="E78" s="12">
        <f t="shared" si="118"/>
        <v>0.2</v>
      </c>
      <c r="F78" s="12">
        <f t="shared" si="118"/>
        <v>0</v>
      </c>
      <c r="G78" s="12">
        <f t="shared" si="118"/>
        <v>0.12</v>
      </c>
      <c r="H78" s="12">
        <f t="shared" si="118"/>
        <v>0</v>
      </c>
      <c r="I78" s="12">
        <f t="shared" si="118"/>
        <v>0</v>
      </c>
      <c r="J78" s="12">
        <f t="shared" si="118"/>
        <v>0</v>
      </c>
      <c r="K78" s="12">
        <f t="shared" si="118"/>
        <v>0</v>
      </c>
      <c r="L78" s="12">
        <f t="shared" si="118"/>
        <v>0</v>
      </c>
      <c r="M78" s="12">
        <f t="shared" si="118"/>
        <v>0.22999999999999998</v>
      </c>
      <c r="N78" s="12">
        <f t="shared" si="118"/>
        <v>0</v>
      </c>
      <c r="O78" s="12">
        <f t="shared" si="118"/>
        <v>0</v>
      </c>
      <c r="P78" s="12">
        <f t="shared" si="118"/>
        <v>0</v>
      </c>
      <c r="Q78" s="12">
        <f t="shared" si="118"/>
        <v>0</v>
      </c>
      <c r="R78" s="12">
        <f t="shared" si="118"/>
        <v>0</v>
      </c>
      <c r="S78" s="12">
        <f t="shared" si="118"/>
        <v>0</v>
      </c>
      <c r="T78" s="12">
        <f t="shared" si="118"/>
        <v>0</v>
      </c>
      <c r="U78" s="12">
        <f t="shared" si="118"/>
        <v>0</v>
      </c>
      <c r="V78" s="12">
        <f t="shared" si="118"/>
        <v>0</v>
      </c>
      <c r="W78" s="12">
        <f t="shared" si="118"/>
        <v>0.83000000000000007</v>
      </c>
      <c r="X78" s="12">
        <f t="shared" si="118"/>
        <v>0.9</v>
      </c>
      <c r="Y78" s="12">
        <f t="shared" si="118"/>
        <v>0.37</v>
      </c>
      <c r="Z78" s="12">
        <f t="shared" si="118"/>
        <v>72.67</v>
      </c>
      <c r="AA78" s="24">
        <f t="shared" si="76"/>
        <v>9.3848875802306539E-2</v>
      </c>
      <c r="AC78" s="12">
        <f t="shared" ref="AC78" si="119">SUM(B78:U78)</f>
        <v>70.570000000000007</v>
      </c>
      <c r="AD78" s="12">
        <f t="shared" ref="AD78" si="120">SUM(V78:X78)</f>
        <v>1.73</v>
      </c>
      <c r="AE78" s="12">
        <f t="shared" ref="AE78:AE79" si="121">Y78</f>
        <v>0.37</v>
      </c>
      <c r="AF78" s="12">
        <f t="shared" si="77"/>
        <v>72.670000000000016</v>
      </c>
      <c r="AG78" s="22">
        <f t="shared" si="112"/>
        <v>2.3806247419843121E-2</v>
      </c>
      <c r="AI78" s="6" t="s">
        <v>56</v>
      </c>
      <c r="AJ78" s="54">
        <v>0.56999999999999995</v>
      </c>
      <c r="AK78" s="12">
        <v>0.56999999999999995</v>
      </c>
      <c r="AL78" s="382">
        <f t="shared" si="105"/>
        <v>1</v>
      </c>
    </row>
    <row r="79" spans="1:44" ht="15.5" x14ac:dyDescent="0.35">
      <c r="A79" s="43" t="s">
        <v>25</v>
      </c>
      <c r="B79" s="142">
        <f>SUM(B77,B75,B73,B69,B65,B58)</f>
        <v>468.15999999999991</v>
      </c>
      <c r="C79" s="142">
        <f t="shared" ref="C79:Y79" si="122">SUM(C77,C75,C73,C69,C65,C58)</f>
        <v>120.75</v>
      </c>
      <c r="D79" s="142">
        <f t="shared" si="122"/>
        <v>3.36</v>
      </c>
      <c r="E79" s="142">
        <f t="shared" si="122"/>
        <v>11.839999999999998</v>
      </c>
      <c r="F79" s="142">
        <f t="shared" si="122"/>
        <v>0.77</v>
      </c>
      <c r="G79" s="142">
        <f t="shared" si="122"/>
        <v>6.43</v>
      </c>
      <c r="H79" s="142">
        <f t="shared" si="122"/>
        <v>7.3699999999999992</v>
      </c>
      <c r="I79" s="142">
        <f t="shared" si="122"/>
        <v>7.64</v>
      </c>
      <c r="J79" s="142">
        <f t="shared" si="122"/>
        <v>4.55</v>
      </c>
      <c r="K79" s="142">
        <f t="shared" si="122"/>
        <v>7.03</v>
      </c>
      <c r="L79" s="142">
        <f t="shared" si="122"/>
        <v>5.5200000000000005</v>
      </c>
      <c r="M79" s="142">
        <f t="shared" si="122"/>
        <v>6.9599999999999991</v>
      </c>
      <c r="N79" s="142">
        <f t="shared" si="122"/>
        <v>3.39</v>
      </c>
      <c r="O79" s="142">
        <f t="shared" si="122"/>
        <v>5.22</v>
      </c>
      <c r="P79" s="142">
        <f t="shared" si="122"/>
        <v>2.3299999999999996</v>
      </c>
      <c r="Q79" s="142">
        <f t="shared" si="122"/>
        <v>4.5599999999999996</v>
      </c>
      <c r="R79" s="142">
        <f t="shared" si="122"/>
        <v>23.220000000000002</v>
      </c>
      <c r="S79" s="142">
        <f t="shared" si="122"/>
        <v>4.1099999999999994</v>
      </c>
      <c r="T79" s="142">
        <f t="shared" si="122"/>
        <v>1.77</v>
      </c>
      <c r="U79" s="142">
        <f t="shared" si="122"/>
        <v>1.69</v>
      </c>
      <c r="V79" s="142">
        <f t="shared" si="122"/>
        <v>13.01</v>
      </c>
      <c r="W79" s="142">
        <f t="shared" si="122"/>
        <v>32.910000000000004</v>
      </c>
      <c r="X79" s="142">
        <f t="shared" si="122"/>
        <v>28.72</v>
      </c>
      <c r="Y79" s="142">
        <f t="shared" si="122"/>
        <v>3.0199999999999996</v>
      </c>
      <c r="Z79" s="142">
        <f>SUM(B79:Y79)</f>
        <v>774.32999999999981</v>
      </c>
      <c r="AA79" s="142">
        <f t="shared" ref="AA79" si="123">SUM(AA77,AA75,AA73,AA69,AA65,AA58)</f>
        <v>1.0000000000000004</v>
      </c>
      <c r="AC79" s="142">
        <f>SUM(B79:U79)</f>
        <v>696.66999999999985</v>
      </c>
      <c r="AD79" s="142">
        <f>SUM(V79:X79)</f>
        <v>74.64</v>
      </c>
      <c r="AE79" s="142">
        <f t="shared" si="121"/>
        <v>3.0199999999999996</v>
      </c>
      <c r="AF79" s="142">
        <f t="shared" si="77"/>
        <v>774.32999999999981</v>
      </c>
      <c r="AG79" s="197">
        <f t="shared" si="112"/>
        <v>9.6393010731858533E-2</v>
      </c>
    </row>
    <row r="80" spans="1:44" x14ac:dyDescent="0.35">
      <c r="A80" s="378" t="s">
        <v>253</v>
      </c>
      <c r="B80" s="379"/>
      <c r="C80" s="379">
        <f>C79+B79</f>
        <v>588.90999999999985</v>
      </c>
      <c r="D80" s="379">
        <f>D79+C80</f>
        <v>592.26999999999987</v>
      </c>
      <c r="E80" s="379">
        <f>E79+D80</f>
        <v>604.1099999999999</v>
      </c>
      <c r="F80" s="379">
        <f t="shared" ref="F80:X80" si="124">F79+E80</f>
        <v>604.87999999999988</v>
      </c>
      <c r="G80" s="379">
        <f t="shared" si="124"/>
        <v>611.30999999999983</v>
      </c>
      <c r="H80" s="379">
        <f t="shared" si="124"/>
        <v>618.67999999999984</v>
      </c>
      <c r="I80" s="379">
        <f t="shared" si="124"/>
        <v>626.31999999999982</v>
      </c>
      <c r="J80" s="379">
        <f t="shared" si="124"/>
        <v>630.86999999999978</v>
      </c>
      <c r="K80" s="379">
        <f t="shared" si="124"/>
        <v>637.89999999999975</v>
      </c>
      <c r="L80" s="379">
        <f t="shared" si="124"/>
        <v>643.41999999999973</v>
      </c>
      <c r="M80" s="379">
        <f t="shared" si="124"/>
        <v>650.37999999999977</v>
      </c>
      <c r="N80" s="379">
        <f t="shared" si="124"/>
        <v>653.76999999999975</v>
      </c>
      <c r="O80" s="379">
        <f t="shared" si="124"/>
        <v>658.98999999999978</v>
      </c>
      <c r="P80" s="379">
        <f t="shared" si="124"/>
        <v>661.31999999999982</v>
      </c>
      <c r="Q80" s="379">
        <f t="shared" si="124"/>
        <v>665.87999999999977</v>
      </c>
      <c r="R80" s="379">
        <f t="shared" si="124"/>
        <v>689.0999999999998</v>
      </c>
      <c r="S80" s="379">
        <f t="shared" si="124"/>
        <v>693.20999999999981</v>
      </c>
      <c r="T80" s="379">
        <f t="shared" si="124"/>
        <v>694.97999999999979</v>
      </c>
      <c r="U80" s="379">
        <f t="shared" si="124"/>
        <v>696.66999999999985</v>
      </c>
      <c r="V80" s="379">
        <f t="shared" si="124"/>
        <v>709.67999999999984</v>
      </c>
      <c r="W80" s="379">
        <f t="shared" si="124"/>
        <v>742.5899999999998</v>
      </c>
      <c r="X80" s="379">
        <f t="shared" si="124"/>
        <v>771.30999999999983</v>
      </c>
    </row>
    <row r="81" spans="1:33" x14ac:dyDescent="0.35">
      <c r="A81" s="380" t="s">
        <v>254</v>
      </c>
      <c r="B81" s="379"/>
      <c r="C81" s="381"/>
      <c r="D81" s="381">
        <f>D80/C80-1</f>
        <v>5.7054558421489876E-3</v>
      </c>
      <c r="E81" s="381">
        <f t="shared" ref="E81:X81" si="125">E80/D80-1</f>
        <v>1.9990882536681021E-2</v>
      </c>
      <c r="F81" s="381">
        <f t="shared" si="125"/>
        <v>1.2746023075267399E-3</v>
      </c>
      <c r="G81" s="381">
        <f t="shared" si="125"/>
        <v>1.0630207644491296E-2</v>
      </c>
      <c r="H81" s="381">
        <f t="shared" si="125"/>
        <v>1.205607629516936E-2</v>
      </c>
      <c r="I81" s="381">
        <f t="shared" si="125"/>
        <v>1.2348871791556304E-2</v>
      </c>
      <c r="J81" s="381">
        <f t="shared" si="125"/>
        <v>7.2646570443222203E-3</v>
      </c>
      <c r="K81" s="381">
        <f t="shared" si="125"/>
        <v>1.1143341734430212E-2</v>
      </c>
      <c r="L81" s="381">
        <f t="shared" si="125"/>
        <v>8.6533939488948608E-3</v>
      </c>
      <c r="M81" s="381">
        <f t="shared" si="125"/>
        <v>1.0817195610953956E-2</v>
      </c>
      <c r="N81" s="381">
        <f t="shared" si="125"/>
        <v>5.2123374027490676E-3</v>
      </c>
      <c r="O81" s="381">
        <f t="shared" si="125"/>
        <v>7.9844593664439856E-3</v>
      </c>
      <c r="P81" s="381">
        <f t="shared" si="125"/>
        <v>3.5357137437594943E-3</v>
      </c>
      <c r="Q81" s="381">
        <f t="shared" si="125"/>
        <v>6.8953003084739617E-3</v>
      </c>
      <c r="R81" s="381">
        <f t="shared" si="125"/>
        <v>3.4871147954586457E-2</v>
      </c>
      <c r="S81" s="381">
        <f t="shared" si="125"/>
        <v>5.9643012625163472E-3</v>
      </c>
      <c r="T81" s="381">
        <f t="shared" si="125"/>
        <v>2.5533388150775771E-3</v>
      </c>
      <c r="U81" s="381">
        <f t="shared" si="125"/>
        <v>2.4317246539469206E-3</v>
      </c>
      <c r="V81" s="381">
        <f t="shared" si="125"/>
        <v>1.8674551796402872E-2</v>
      </c>
      <c r="W81" s="381">
        <f t="shared" si="125"/>
        <v>4.6373013189042966E-2</v>
      </c>
      <c r="X81" s="381">
        <f t="shared" si="125"/>
        <v>3.8675446747195696E-2</v>
      </c>
    </row>
    <row r="83" spans="1:33" ht="15.5" x14ac:dyDescent="0.35">
      <c r="A83" s="146" t="s">
        <v>99</v>
      </c>
      <c r="B83" s="147" t="s">
        <v>100</v>
      </c>
      <c r="C83" s="147">
        <v>2000</v>
      </c>
      <c r="D83" s="147">
        <v>2001</v>
      </c>
      <c r="E83" s="147">
        <v>2002</v>
      </c>
      <c r="F83" s="147">
        <v>2003</v>
      </c>
      <c r="G83" s="147">
        <v>2004</v>
      </c>
      <c r="H83" s="147">
        <v>2005</v>
      </c>
      <c r="I83" s="147">
        <v>2006</v>
      </c>
      <c r="J83" s="147">
        <v>2007</v>
      </c>
      <c r="K83" s="147">
        <v>2008</v>
      </c>
      <c r="L83" s="147">
        <v>2009</v>
      </c>
      <c r="M83" s="147">
        <v>2010</v>
      </c>
      <c r="N83" s="147">
        <v>2011</v>
      </c>
      <c r="O83" s="147">
        <v>2012</v>
      </c>
      <c r="P83" s="147">
        <v>2013</v>
      </c>
      <c r="Q83" s="147">
        <v>2014</v>
      </c>
      <c r="R83" s="147">
        <v>2015</v>
      </c>
      <c r="S83" s="147">
        <v>2016</v>
      </c>
      <c r="T83" s="147">
        <v>2017</v>
      </c>
      <c r="U83" s="147">
        <v>2018</v>
      </c>
      <c r="V83" s="147">
        <v>2019</v>
      </c>
      <c r="W83" s="147">
        <v>2020</v>
      </c>
      <c r="X83" s="147">
        <v>2021</v>
      </c>
      <c r="Y83" s="183" t="s">
        <v>90</v>
      </c>
    </row>
    <row r="84" spans="1:33" x14ac:dyDescent="0.35">
      <c r="A84" s="11" t="s">
        <v>5</v>
      </c>
      <c r="B84" s="22">
        <f t="shared" ref="B84:Y84" si="126">B58/$Z$58</f>
        <v>3.3072236727589202E-2</v>
      </c>
      <c r="C84" s="22">
        <f t="shared" si="126"/>
        <v>0.93018083357508929</v>
      </c>
      <c r="D84" s="22">
        <f t="shared" si="126"/>
        <v>0</v>
      </c>
      <c r="E84" s="22">
        <f t="shared" si="126"/>
        <v>1.382844985978145E-2</v>
      </c>
      <c r="F84" s="22">
        <f t="shared" si="126"/>
        <v>0</v>
      </c>
      <c r="G84" s="22">
        <f t="shared" si="126"/>
        <v>0</v>
      </c>
      <c r="H84" s="22">
        <f t="shared" si="126"/>
        <v>8.2197079586113515E-3</v>
      </c>
      <c r="I84" s="22">
        <f t="shared" si="126"/>
        <v>0</v>
      </c>
      <c r="J84" s="22">
        <f t="shared" si="126"/>
        <v>3.6746929697321338E-3</v>
      </c>
      <c r="K84" s="22">
        <f t="shared" si="126"/>
        <v>5.8988492408857934E-3</v>
      </c>
      <c r="L84" s="22">
        <f t="shared" si="126"/>
        <v>0</v>
      </c>
      <c r="M84" s="22">
        <f t="shared" si="126"/>
        <v>1.3538342520065757E-3</v>
      </c>
      <c r="N84" s="22">
        <f t="shared" si="126"/>
        <v>0</v>
      </c>
      <c r="O84" s="22">
        <f t="shared" si="126"/>
        <v>0</v>
      </c>
      <c r="P84" s="22">
        <f t="shared" si="126"/>
        <v>0</v>
      </c>
      <c r="Q84" s="22">
        <f t="shared" si="126"/>
        <v>0</v>
      </c>
      <c r="R84" s="22">
        <f t="shared" si="126"/>
        <v>3.2878831834445409E-3</v>
      </c>
      <c r="S84" s="22">
        <f t="shared" si="126"/>
        <v>0</v>
      </c>
      <c r="T84" s="22">
        <f t="shared" si="126"/>
        <v>0</v>
      </c>
      <c r="U84" s="22">
        <f t="shared" si="126"/>
        <v>0</v>
      </c>
      <c r="V84" s="22">
        <f t="shared" si="126"/>
        <v>0</v>
      </c>
      <c r="W84" s="22">
        <f t="shared" si="126"/>
        <v>0</v>
      </c>
      <c r="X84" s="22">
        <f t="shared" si="126"/>
        <v>0</v>
      </c>
      <c r="Y84" s="384">
        <f t="shared" si="126"/>
        <v>4.8351223285949131E-4</v>
      </c>
    </row>
    <row r="85" spans="1:33" x14ac:dyDescent="0.35">
      <c r="A85" s="11" t="s">
        <v>13</v>
      </c>
      <c r="B85" s="22">
        <f t="shared" ref="B85:Y85" si="127">B65/$Z$65</f>
        <v>0.72178362573099419</v>
      </c>
      <c r="C85" s="22">
        <f t="shared" si="127"/>
        <v>2.8874269005847945E-2</v>
      </c>
      <c r="D85" s="22">
        <f t="shared" si="127"/>
        <v>0</v>
      </c>
      <c r="E85" s="22">
        <f t="shared" si="127"/>
        <v>2.9239766081871335E-4</v>
      </c>
      <c r="F85" s="22">
        <f t="shared" si="127"/>
        <v>0</v>
      </c>
      <c r="G85" s="22">
        <f t="shared" si="127"/>
        <v>1.0964912280701752E-3</v>
      </c>
      <c r="H85" s="22">
        <f t="shared" si="127"/>
        <v>1.1111111111111108E-2</v>
      </c>
      <c r="I85" s="22">
        <f t="shared" si="127"/>
        <v>0</v>
      </c>
      <c r="J85" s="22">
        <f t="shared" si="127"/>
        <v>0</v>
      </c>
      <c r="K85" s="22">
        <f t="shared" si="127"/>
        <v>4.0204678362573089E-3</v>
      </c>
      <c r="L85" s="22">
        <f t="shared" si="127"/>
        <v>1.0307017543859645E-2</v>
      </c>
      <c r="M85" s="22">
        <f t="shared" si="127"/>
        <v>1.4619883040935668E-2</v>
      </c>
      <c r="N85" s="22">
        <f t="shared" si="127"/>
        <v>1.6812865497076019E-3</v>
      </c>
      <c r="O85" s="22">
        <f t="shared" si="127"/>
        <v>3.4356725146198817E-3</v>
      </c>
      <c r="P85" s="22">
        <f t="shared" si="127"/>
        <v>8.0409356725146171E-4</v>
      </c>
      <c r="Q85" s="22">
        <f t="shared" si="127"/>
        <v>6.7982456140350854E-3</v>
      </c>
      <c r="R85" s="22">
        <f t="shared" si="127"/>
        <v>2.8947368421052624E-2</v>
      </c>
      <c r="S85" s="22">
        <f t="shared" si="127"/>
        <v>8.2602339181286535E-3</v>
      </c>
      <c r="T85" s="22">
        <f t="shared" si="127"/>
        <v>2.9970760233918124E-3</v>
      </c>
      <c r="U85" s="22">
        <f t="shared" si="127"/>
        <v>4.4590643274853787E-3</v>
      </c>
      <c r="V85" s="22">
        <f t="shared" si="127"/>
        <v>2.0614035087719293E-2</v>
      </c>
      <c r="W85" s="22">
        <f t="shared" si="127"/>
        <v>7.0760233918128648E-2</v>
      </c>
      <c r="X85" s="22">
        <f t="shared" si="127"/>
        <v>4.1447368421052622E-2</v>
      </c>
      <c r="Y85" s="384">
        <f t="shared" si="127"/>
        <v>1.7690058479532159E-2</v>
      </c>
    </row>
    <row r="86" spans="1:33" x14ac:dyDescent="0.35">
      <c r="A86" s="11" t="s">
        <v>14</v>
      </c>
      <c r="B86" s="22">
        <f t="shared" ref="B86:Y86" si="128">B69/$Z$69</f>
        <v>0.65524697614703664</v>
      </c>
      <c r="C86" s="22">
        <f t="shared" si="128"/>
        <v>4.3336261459107586E-2</v>
      </c>
      <c r="D86" s="22">
        <f t="shared" si="128"/>
        <v>7.5680789242516385E-3</v>
      </c>
      <c r="E86" s="22">
        <f t="shared" si="128"/>
        <v>2.2906953172511658E-2</v>
      </c>
      <c r="F86" s="22">
        <f t="shared" si="128"/>
        <v>1.7343514201410006E-3</v>
      </c>
      <c r="G86" s="22">
        <f t="shared" si="128"/>
        <v>1.3874811361128003E-2</v>
      </c>
      <c r="H86" s="22">
        <f t="shared" si="128"/>
        <v>1.1262022208707796E-2</v>
      </c>
      <c r="I86" s="22">
        <f t="shared" si="128"/>
        <v>1.7208369934905512E-2</v>
      </c>
      <c r="J86" s="22">
        <f t="shared" si="128"/>
        <v>9.3925265220623014E-3</v>
      </c>
      <c r="K86" s="22">
        <f t="shared" si="128"/>
        <v>1.3221614073022954E-2</v>
      </c>
      <c r="L86" s="22">
        <f t="shared" si="128"/>
        <v>9.2573822555578091E-3</v>
      </c>
      <c r="M86" s="22">
        <f t="shared" si="128"/>
        <v>9.2573822555578073E-3</v>
      </c>
      <c r="N86" s="22">
        <f t="shared" si="128"/>
        <v>7.1175980359033273E-3</v>
      </c>
      <c r="O86" s="22">
        <f t="shared" si="128"/>
        <v>1.0698921098272406E-2</v>
      </c>
      <c r="P86" s="22">
        <f t="shared" si="128"/>
        <v>5.000337860666261E-3</v>
      </c>
      <c r="Q86" s="22">
        <f t="shared" si="128"/>
        <v>8.1762281235218583E-3</v>
      </c>
      <c r="R86" s="22">
        <f t="shared" si="128"/>
        <v>4.2345203504741316E-2</v>
      </c>
      <c r="S86" s="22">
        <f t="shared" si="128"/>
        <v>6.7121652363898452E-3</v>
      </c>
      <c r="T86" s="22">
        <f t="shared" si="128"/>
        <v>3.0632700407685204E-3</v>
      </c>
      <c r="U86" s="22">
        <f t="shared" si="128"/>
        <v>2.4325967970808843E-3</v>
      </c>
      <c r="V86" s="22">
        <f t="shared" si="128"/>
        <v>1.9460774376647068E-2</v>
      </c>
      <c r="W86" s="22">
        <f t="shared" si="128"/>
        <v>4.655719981079804E-2</v>
      </c>
      <c r="X86" s="22">
        <f t="shared" si="128"/>
        <v>3.3786066626123386E-2</v>
      </c>
      <c r="Y86" s="384">
        <f t="shared" si="128"/>
        <v>3.829087550960651E-4</v>
      </c>
    </row>
    <row r="87" spans="1:33" x14ac:dyDescent="0.35">
      <c r="A87" s="11" t="s">
        <v>17</v>
      </c>
      <c r="B87" s="22">
        <f t="shared" ref="B87:Y87" si="129">B73/$Z$73</f>
        <v>0</v>
      </c>
      <c r="C87" s="22">
        <f t="shared" si="129"/>
        <v>0</v>
      </c>
      <c r="D87" s="22">
        <f t="shared" si="129"/>
        <v>0</v>
      </c>
      <c r="E87" s="22">
        <f t="shared" si="129"/>
        <v>0</v>
      </c>
      <c r="F87" s="22">
        <f t="shared" si="129"/>
        <v>0</v>
      </c>
      <c r="G87" s="22">
        <f t="shared" si="129"/>
        <v>0</v>
      </c>
      <c r="H87" s="22">
        <f t="shared" si="129"/>
        <v>0</v>
      </c>
      <c r="I87" s="22">
        <f t="shared" si="129"/>
        <v>0</v>
      </c>
      <c r="J87" s="22">
        <f t="shared" si="129"/>
        <v>0</v>
      </c>
      <c r="K87" s="22">
        <f t="shared" si="129"/>
        <v>0</v>
      </c>
      <c r="L87" s="22">
        <f t="shared" si="129"/>
        <v>0</v>
      </c>
      <c r="M87" s="22">
        <f t="shared" si="129"/>
        <v>0</v>
      </c>
      <c r="N87" s="22">
        <f t="shared" si="129"/>
        <v>0</v>
      </c>
      <c r="O87" s="22">
        <f t="shared" si="129"/>
        <v>0</v>
      </c>
      <c r="P87" s="22">
        <f t="shared" si="129"/>
        <v>0</v>
      </c>
      <c r="Q87" s="22">
        <f t="shared" si="129"/>
        <v>0</v>
      </c>
      <c r="R87" s="22">
        <f t="shared" si="129"/>
        <v>0</v>
      </c>
      <c r="S87" s="22">
        <f t="shared" si="129"/>
        <v>0</v>
      </c>
      <c r="T87" s="22">
        <f t="shared" si="129"/>
        <v>0</v>
      </c>
      <c r="U87" s="22">
        <f t="shared" si="129"/>
        <v>0</v>
      </c>
      <c r="V87" s="22">
        <f t="shared" si="129"/>
        <v>0</v>
      </c>
      <c r="W87" s="22">
        <f t="shared" si="129"/>
        <v>1</v>
      </c>
      <c r="X87" s="22">
        <f t="shared" si="129"/>
        <v>0</v>
      </c>
      <c r="Y87" s="384">
        <f t="shared" si="129"/>
        <v>0</v>
      </c>
    </row>
    <row r="88" spans="1:33" x14ac:dyDescent="0.35">
      <c r="A88" s="11" t="s">
        <v>18</v>
      </c>
      <c r="B88" s="22">
        <f t="shared" ref="B88:Y88" si="130">B75/$Z$75</f>
        <v>0.38083973979893543</v>
      </c>
      <c r="C88" s="22">
        <f t="shared" si="130"/>
        <v>0</v>
      </c>
      <c r="D88" s="22">
        <f t="shared" si="130"/>
        <v>0</v>
      </c>
      <c r="E88" s="22">
        <f t="shared" si="130"/>
        <v>0</v>
      </c>
      <c r="F88" s="22">
        <f t="shared" si="130"/>
        <v>0</v>
      </c>
      <c r="G88" s="22">
        <f t="shared" si="130"/>
        <v>0</v>
      </c>
      <c r="H88" s="22">
        <f t="shared" si="130"/>
        <v>0</v>
      </c>
      <c r="I88" s="22">
        <f t="shared" si="130"/>
        <v>0</v>
      </c>
      <c r="J88" s="22">
        <f t="shared" si="130"/>
        <v>0</v>
      </c>
      <c r="K88" s="22">
        <f t="shared" si="130"/>
        <v>0</v>
      </c>
      <c r="L88" s="22">
        <f t="shared" si="130"/>
        <v>0</v>
      </c>
      <c r="M88" s="22">
        <f t="shared" si="130"/>
        <v>2.8385570668243636E-2</v>
      </c>
      <c r="N88" s="22">
        <f t="shared" si="130"/>
        <v>0</v>
      </c>
      <c r="O88" s="22">
        <f t="shared" si="130"/>
        <v>0</v>
      </c>
      <c r="P88" s="22">
        <f t="shared" si="130"/>
        <v>0</v>
      </c>
      <c r="Q88" s="22">
        <f t="shared" si="130"/>
        <v>0</v>
      </c>
      <c r="R88" s="22">
        <f t="shared" si="130"/>
        <v>7.0963926670609091E-3</v>
      </c>
      <c r="S88" s="22">
        <f t="shared" si="130"/>
        <v>0</v>
      </c>
      <c r="T88" s="22">
        <f t="shared" si="130"/>
        <v>0</v>
      </c>
      <c r="U88" s="22">
        <f t="shared" si="130"/>
        <v>0</v>
      </c>
      <c r="V88" s="22">
        <f t="shared" si="130"/>
        <v>9.1661738616203414E-2</v>
      </c>
      <c r="W88" s="22">
        <f t="shared" si="130"/>
        <v>6.8598462448255446E-2</v>
      </c>
      <c r="X88" s="22">
        <f t="shared" si="130"/>
        <v>0.4228267297457125</v>
      </c>
      <c r="Y88" s="384">
        <f t="shared" si="130"/>
        <v>5.9136605558840905E-4</v>
      </c>
    </row>
    <row r="89" spans="1:33" x14ac:dyDescent="0.35">
      <c r="A89" s="11" t="s">
        <v>22</v>
      </c>
      <c r="B89" s="22">
        <f t="shared" ref="B89:Y89" si="131">B77/$Z$77</f>
        <v>0.94468143663134707</v>
      </c>
      <c r="C89" s="22">
        <f t="shared" si="131"/>
        <v>1.8852346222650335E-2</v>
      </c>
      <c r="D89" s="22">
        <f t="shared" si="131"/>
        <v>0</v>
      </c>
      <c r="E89" s="22">
        <f t="shared" si="131"/>
        <v>2.7521673317737719E-3</v>
      </c>
      <c r="F89" s="22">
        <f t="shared" si="131"/>
        <v>0</v>
      </c>
      <c r="G89" s="22">
        <f t="shared" si="131"/>
        <v>1.651300399064263E-3</v>
      </c>
      <c r="H89" s="22">
        <f t="shared" si="131"/>
        <v>0</v>
      </c>
      <c r="I89" s="22">
        <f t="shared" si="131"/>
        <v>0</v>
      </c>
      <c r="J89" s="22">
        <f t="shared" si="131"/>
        <v>0</v>
      </c>
      <c r="K89" s="22">
        <f t="shared" si="131"/>
        <v>0</v>
      </c>
      <c r="L89" s="22">
        <f t="shared" si="131"/>
        <v>0</v>
      </c>
      <c r="M89" s="22">
        <f t="shared" si="131"/>
        <v>3.1649924315398374E-3</v>
      </c>
      <c r="N89" s="22">
        <f t="shared" si="131"/>
        <v>0</v>
      </c>
      <c r="O89" s="22">
        <f t="shared" si="131"/>
        <v>0</v>
      </c>
      <c r="P89" s="22">
        <f t="shared" si="131"/>
        <v>0</v>
      </c>
      <c r="Q89" s="22">
        <f t="shared" si="131"/>
        <v>0</v>
      </c>
      <c r="R89" s="22">
        <f t="shared" si="131"/>
        <v>0</v>
      </c>
      <c r="S89" s="22">
        <f t="shared" si="131"/>
        <v>0</v>
      </c>
      <c r="T89" s="22">
        <f t="shared" si="131"/>
        <v>0</v>
      </c>
      <c r="U89" s="22">
        <f t="shared" si="131"/>
        <v>0</v>
      </c>
      <c r="V89" s="22">
        <f t="shared" si="131"/>
        <v>0</v>
      </c>
      <c r="W89" s="22">
        <f t="shared" si="131"/>
        <v>1.1421494426861153E-2</v>
      </c>
      <c r="X89" s="22">
        <f t="shared" si="131"/>
        <v>1.2384752992981973E-2</v>
      </c>
      <c r="Y89" s="384">
        <f t="shared" si="131"/>
        <v>5.0915095637814774E-3</v>
      </c>
    </row>
    <row r="90" spans="1:33" x14ac:dyDescent="0.35">
      <c r="A90" s="11" t="s">
        <v>25</v>
      </c>
      <c r="B90" s="22">
        <f t="shared" ref="B90:Y90" si="132">B79/$Z$79</f>
        <v>0.60460010589800217</v>
      </c>
      <c r="C90" s="22">
        <f t="shared" si="132"/>
        <v>0.15594126535198174</v>
      </c>
      <c r="D90" s="22">
        <f t="shared" si="132"/>
        <v>4.3392352097942743E-3</v>
      </c>
      <c r="E90" s="22">
        <f t="shared" si="132"/>
        <v>1.5290638358322679E-2</v>
      </c>
      <c r="F90" s="22">
        <f t="shared" si="132"/>
        <v>9.9440806891118796E-4</v>
      </c>
      <c r="G90" s="22">
        <f t="shared" si="132"/>
        <v>8.303953094933687E-3</v>
      </c>
      <c r="H90" s="22">
        <f t="shared" si="132"/>
        <v>9.5179058024356545E-3</v>
      </c>
      <c r="I90" s="22">
        <f t="shared" si="132"/>
        <v>9.8665943460798395E-3</v>
      </c>
      <c r="J90" s="22">
        <f t="shared" si="132"/>
        <v>5.8760476799297467E-3</v>
      </c>
      <c r="K90" s="22">
        <f t="shared" si="132"/>
        <v>9.0788165252540937E-3</v>
      </c>
      <c r="L90" s="22">
        <f t="shared" si="132"/>
        <v>7.1287435589477378E-3</v>
      </c>
      <c r="M90" s="22">
        <f t="shared" si="132"/>
        <v>8.9884157917167109E-3</v>
      </c>
      <c r="N90" s="22">
        <f t="shared" si="132"/>
        <v>4.3779783813102952E-3</v>
      </c>
      <c r="O90" s="22">
        <f t="shared" si="132"/>
        <v>6.7413118437875336E-3</v>
      </c>
      <c r="P90" s="22">
        <f t="shared" si="132"/>
        <v>3.0090529877442435E-3</v>
      </c>
      <c r="Q90" s="22">
        <f t="shared" si="132"/>
        <v>5.8889620704350868E-3</v>
      </c>
      <c r="R90" s="22">
        <f t="shared" si="132"/>
        <v>2.9987214753399723E-2</v>
      </c>
      <c r="S90" s="22">
        <f t="shared" si="132"/>
        <v>5.3078144976947822E-3</v>
      </c>
      <c r="T90" s="22">
        <f t="shared" si="132"/>
        <v>2.2858471194451982E-3</v>
      </c>
      <c r="U90" s="22">
        <f t="shared" si="132"/>
        <v>2.1825319954024776E-3</v>
      </c>
      <c r="V90" s="22">
        <f t="shared" si="132"/>
        <v>1.6801622047447475E-2</v>
      </c>
      <c r="W90" s="22">
        <f t="shared" si="132"/>
        <v>4.2501259153074289E-2</v>
      </c>
      <c r="X90" s="22">
        <f t="shared" si="132"/>
        <v>3.7090129531336773E-2</v>
      </c>
      <c r="Y90" s="384">
        <f t="shared" si="132"/>
        <v>3.9001459326127108E-3</v>
      </c>
    </row>
    <row r="91" spans="1:33" ht="23.5" x14ac:dyDescent="0.55000000000000004">
      <c r="A91" s="289" t="s">
        <v>77</v>
      </c>
      <c r="B91" s="205"/>
    </row>
    <row r="92" spans="1:33" ht="15.5" x14ac:dyDescent="0.35">
      <c r="A92" s="290" t="s">
        <v>109</v>
      </c>
    </row>
    <row r="94" spans="1:33" ht="52" x14ac:dyDescent="0.35">
      <c r="A94" s="213" t="s">
        <v>88</v>
      </c>
      <c r="B94" s="213" t="s">
        <v>89</v>
      </c>
      <c r="C94" s="213">
        <v>2000</v>
      </c>
      <c r="D94" s="213">
        <v>2001</v>
      </c>
      <c r="E94" s="213">
        <v>2002</v>
      </c>
      <c r="F94" s="213">
        <v>2003</v>
      </c>
      <c r="G94" s="213">
        <v>2004</v>
      </c>
      <c r="H94" s="213">
        <v>2005</v>
      </c>
      <c r="I94" s="213">
        <v>2006</v>
      </c>
      <c r="J94" s="213">
        <v>2007</v>
      </c>
      <c r="K94" s="213">
        <v>2008</v>
      </c>
      <c r="L94" s="213">
        <v>2009</v>
      </c>
      <c r="M94" s="213">
        <v>2010</v>
      </c>
      <c r="N94" s="213">
        <v>2011</v>
      </c>
      <c r="O94" s="213">
        <v>2012</v>
      </c>
      <c r="P94" s="213">
        <v>2013</v>
      </c>
      <c r="Q94" s="213">
        <v>2014</v>
      </c>
      <c r="R94" s="213">
        <v>2015</v>
      </c>
      <c r="S94" s="213">
        <v>2016</v>
      </c>
      <c r="T94" s="213">
        <v>2017</v>
      </c>
      <c r="U94" s="213">
        <v>2018</v>
      </c>
      <c r="V94" s="213">
        <v>2019</v>
      </c>
      <c r="W94" s="213">
        <v>2020</v>
      </c>
      <c r="X94" s="213">
        <v>2021</v>
      </c>
      <c r="Y94" s="187" t="s">
        <v>90</v>
      </c>
      <c r="Z94" s="187" t="s">
        <v>91</v>
      </c>
      <c r="AA94" s="187" t="s">
        <v>92</v>
      </c>
      <c r="AC94" s="187" t="s">
        <v>93</v>
      </c>
      <c r="AD94" s="187" t="s">
        <v>107</v>
      </c>
      <c r="AE94" s="187" t="s">
        <v>94</v>
      </c>
      <c r="AF94" s="187" t="s">
        <v>96</v>
      </c>
      <c r="AG94" s="187" t="s">
        <v>97</v>
      </c>
    </row>
    <row r="95" spans="1:33" x14ac:dyDescent="0.35">
      <c r="A95" s="116" t="s">
        <v>5</v>
      </c>
      <c r="B95" s="117">
        <f>SUM(B96:B103)</f>
        <v>586.30000000000007</v>
      </c>
      <c r="C95" s="117">
        <f t="shared" ref="C95:Y95" si="133">SUM(C96:C103)</f>
        <v>8.15</v>
      </c>
      <c r="D95" s="117"/>
      <c r="E95" s="117"/>
      <c r="F95" s="117">
        <f t="shared" si="133"/>
        <v>0.22</v>
      </c>
      <c r="G95" s="117">
        <f t="shared" si="133"/>
        <v>3.33</v>
      </c>
      <c r="H95" s="117">
        <f t="shared" si="133"/>
        <v>1.35</v>
      </c>
      <c r="I95" s="117"/>
      <c r="J95" s="117">
        <f t="shared" si="133"/>
        <v>0.21</v>
      </c>
      <c r="K95" s="117"/>
      <c r="L95" s="117">
        <f t="shared" si="133"/>
        <v>6.59</v>
      </c>
      <c r="M95" s="117">
        <f t="shared" si="133"/>
        <v>8.7899999999999991</v>
      </c>
      <c r="N95" s="117"/>
      <c r="O95" s="117"/>
      <c r="P95" s="117"/>
      <c r="Q95" s="117">
        <f t="shared" si="133"/>
        <v>0.15</v>
      </c>
      <c r="R95" s="117">
        <f t="shared" si="133"/>
        <v>4.4800000000000004</v>
      </c>
      <c r="S95" s="117">
        <f t="shared" si="133"/>
        <v>2.95</v>
      </c>
      <c r="T95" s="117">
        <f t="shared" si="133"/>
        <v>0.49</v>
      </c>
      <c r="U95" s="117">
        <f t="shared" si="133"/>
        <v>2.2999999999999998</v>
      </c>
      <c r="V95" s="117">
        <f t="shared" si="133"/>
        <v>4.1899999999999995</v>
      </c>
      <c r="W95" s="117">
        <f t="shared" si="133"/>
        <v>19.62</v>
      </c>
      <c r="X95" s="117">
        <f t="shared" si="133"/>
        <v>79.44</v>
      </c>
      <c r="Y95" s="117">
        <f t="shared" si="133"/>
        <v>0.18</v>
      </c>
      <c r="Z95" s="117">
        <f>SUM(B95:Y95)</f>
        <v>728.74000000000012</v>
      </c>
      <c r="AA95" s="185">
        <f>Z95/$Z$121</f>
        <v>5.1580563398425178E-2</v>
      </c>
      <c r="AC95" s="117">
        <f t="shared" ref="AC95:AC121" si="134">SUM(B95:T95)</f>
        <v>623.01000000000022</v>
      </c>
      <c r="AD95" s="117">
        <f t="shared" ref="AD95:AD121" si="135">SUM(U95:X95)</f>
        <v>105.55</v>
      </c>
      <c r="AE95" s="117">
        <f t="shared" ref="AE95:AE121" si="136">Y95</f>
        <v>0.18</v>
      </c>
      <c r="AF95" s="117">
        <f>SUM(AC95:AE95)</f>
        <v>728.74000000000012</v>
      </c>
      <c r="AG95" s="185">
        <f>AD95/AF95</f>
        <v>0.14483903724236349</v>
      </c>
    </row>
    <row r="96" spans="1:33" x14ac:dyDescent="0.35">
      <c r="A96" s="6" t="s">
        <v>78</v>
      </c>
      <c r="B96" s="12">
        <v>3.52</v>
      </c>
      <c r="C96" s="12">
        <v>1.6400000000000001</v>
      </c>
      <c r="D96" s="12"/>
      <c r="E96" s="12"/>
      <c r="F96" s="12">
        <v>0.22</v>
      </c>
      <c r="G96" s="12"/>
      <c r="H96" s="12">
        <v>0.14000000000000001</v>
      </c>
      <c r="I96" s="12"/>
      <c r="J96" s="12"/>
      <c r="K96" s="12"/>
      <c r="L96" s="12"/>
      <c r="M96" s="12">
        <v>0.04</v>
      </c>
      <c r="N96" s="12"/>
      <c r="O96" s="12"/>
      <c r="P96" s="12"/>
      <c r="Q96" s="12"/>
      <c r="R96" s="12">
        <v>0.28999999999999998</v>
      </c>
      <c r="S96" s="12"/>
      <c r="T96" s="12"/>
      <c r="U96" s="12"/>
      <c r="V96" s="12"/>
      <c r="W96" s="12"/>
      <c r="X96" s="12"/>
      <c r="Y96" s="12">
        <v>0.11</v>
      </c>
      <c r="Z96" s="12">
        <f>SUM(B96:Y96)</f>
        <v>5.96</v>
      </c>
      <c r="AA96" s="22">
        <f t="shared" ref="AA96:AA120" si="137">Z96/$Z$121</f>
        <v>4.2185163138377751E-4</v>
      </c>
      <c r="AC96" s="12">
        <f t="shared" si="134"/>
        <v>5.85</v>
      </c>
      <c r="AD96" s="12">
        <f t="shared" si="135"/>
        <v>0</v>
      </c>
      <c r="AE96" s="12">
        <f t="shared" si="136"/>
        <v>0.11</v>
      </c>
      <c r="AF96" s="12">
        <f>SUM(AC96:AE96)</f>
        <v>5.96</v>
      </c>
      <c r="AG96" s="22">
        <f>AD96/AF96</f>
        <v>0</v>
      </c>
    </row>
    <row r="97" spans="1:44" x14ac:dyDescent="0.35">
      <c r="A97" s="6" t="s">
        <v>7</v>
      </c>
      <c r="B97" s="12">
        <v>6.6400000000000006</v>
      </c>
      <c r="C97" s="12">
        <v>1.64</v>
      </c>
      <c r="D97" s="12"/>
      <c r="E97" s="12"/>
      <c r="F97" s="12"/>
      <c r="G97" s="12"/>
      <c r="H97" s="12">
        <v>0.06</v>
      </c>
      <c r="I97" s="12"/>
      <c r="J97" s="12">
        <v>0.21</v>
      </c>
      <c r="K97" s="12"/>
      <c r="L97" s="12">
        <v>0.38</v>
      </c>
      <c r="M97" s="12">
        <v>0.05</v>
      </c>
      <c r="N97" s="12"/>
      <c r="O97" s="12"/>
      <c r="P97" s="12"/>
      <c r="Q97" s="12"/>
      <c r="R97" s="12">
        <v>0.28999999999999998</v>
      </c>
      <c r="S97" s="12">
        <v>0.81</v>
      </c>
      <c r="T97" s="12">
        <v>0.37</v>
      </c>
      <c r="U97" s="12"/>
      <c r="V97" s="12"/>
      <c r="W97" s="12"/>
      <c r="X97" s="12"/>
      <c r="Y97" s="12"/>
      <c r="Z97" s="12">
        <f t="shared" ref="Z97:Z103" si="138">SUM(B97:Y97)</f>
        <v>10.450000000000003</v>
      </c>
      <c r="AA97" s="22">
        <f t="shared" si="137"/>
        <v>7.3965596442289862E-4</v>
      </c>
      <c r="AC97" s="12">
        <f t="shared" si="134"/>
        <v>10.450000000000003</v>
      </c>
      <c r="AD97" s="12">
        <f t="shared" si="135"/>
        <v>0</v>
      </c>
      <c r="AE97" s="12">
        <f t="shared" si="136"/>
        <v>0</v>
      </c>
      <c r="AF97" s="12">
        <f t="shared" ref="AF97:AF103" si="139">SUM(AC97:AE97)</f>
        <v>10.450000000000003</v>
      </c>
      <c r="AG97" s="22">
        <f t="shared" ref="AG97:AG103" si="140">AD97/AF97</f>
        <v>0</v>
      </c>
    </row>
    <row r="98" spans="1:44" x14ac:dyDescent="0.35">
      <c r="A98" s="6" t="s">
        <v>8</v>
      </c>
      <c r="B98" s="12"/>
      <c r="C98" s="12"/>
      <c r="D98" s="12"/>
      <c r="E98" s="12"/>
      <c r="F98" s="12"/>
      <c r="G98" s="12"/>
      <c r="H98" s="12"/>
      <c r="I98" s="12"/>
      <c r="J98" s="12"/>
      <c r="K98" s="12"/>
      <c r="L98" s="12"/>
      <c r="M98" s="12"/>
      <c r="N98" s="12"/>
      <c r="O98" s="12"/>
      <c r="P98" s="12"/>
      <c r="Q98" s="12"/>
      <c r="R98" s="12"/>
      <c r="S98" s="12">
        <v>0.62</v>
      </c>
      <c r="T98" s="12"/>
      <c r="U98" s="12"/>
      <c r="V98" s="12"/>
      <c r="W98" s="12"/>
      <c r="X98" s="12"/>
      <c r="Y98" s="12"/>
      <c r="Z98" s="12">
        <f t="shared" si="138"/>
        <v>0.62</v>
      </c>
      <c r="AA98" s="22">
        <f t="shared" si="137"/>
        <v>4.388389453992316E-5</v>
      </c>
      <c r="AC98" s="12">
        <f t="shared" si="134"/>
        <v>0.62</v>
      </c>
      <c r="AD98" s="12">
        <f t="shared" si="135"/>
        <v>0</v>
      </c>
      <c r="AE98" s="12">
        <f t="shared" si="136"/>
        <v>0</v>
      </c>
      <c r="AF98" s="12">
        <f t="shared" si="139"/>
        <v>0.62</v>
      </c>
      <c r="AG98" s="22">
        <f t="shared" si="140"/>
        <v>0</v>
      </c>
    </row>
    <row r="99" spans="1:44" x14ac:dyDescent="0.35">
      <c r="A99" s="6" t="s">
        <v>26</v>
      </c>
      <c r="B99" s="12">
        <v>18.240000000000002</v>
      </c>
      <c r="C99" s="12">
        <v>0.34</v>
      </c>
      <c r="D99" s="12"/>
      <c r="E99" s="12"/>
      <c r="F99" s="12"/>
      <c r="G99" s="12">
        <v>1.79</v>
      </c>
      <c r="H99" s="12"/>
      <c r="I99" s="12"/>
      <c r="J99" s="12"/>
      <c r="K99" s="12"/>
      <c r="L99" s="12"/>
      <c r="M99" s="12"/>
      <c r="N99" s="12"/>
      <c r="O99" s="12"/>
      <c r="P99" s="12"/>
      <c r="Q99" s="12"/>
      <c r="R99" s="12"/>
      <c r="S99" s="12"/>
      <c r="T99" s="12"/>
      <c r="U99" s="12"/>
      <c r="V99" s="12"/>
      <c r="W99" s="12"/>
      <c r="X99" s="12"/>
      <c r="Y99" s="12"/>
      <c r="Z99" s="12">
        <f t="shared" si="138"/>
        <v>20.37</v>
      </c>
      <c r="AA99" s="22">
        <f t="shared" si="137"/>
        <v>1.4417982770616692E-3</v>
      </c>
      <c r="AC99" s="12">
        <f t="shared" si="134"/>
        <v>20.37</v>
      </c>
      <c r="AD99" s="12">
        <f t="shared" si="135"/>
        <v>0</v>
      </c>
      <c r="AE99" s="12">
        <f t="shared" si="136"/>
        <v>0</v>
      </c>
      <c r="AF99" s="12">
        <f t="shared" si="139"/>
        <v>20.37</v>
      </c>
      <c r="AG99" s="22">
        <f t="shared" si="140"/>
        <v>0</v>
      </c>
    </row>
    <row r="100" spans="1:44" x14ac:dyDescent="0.35">
      <c r="A100" s="6" t="s">
        <v>27</v>
      </c>
      <c r="B100" s="12">
        <v>483.31</v>
      </c>
      <c r="C100" s="12"/>
      <c r="D100" s="12"/>
      <c r="E100" s="12"/>
      <c r="F100" s="12"/>
      <c r="G100" s="12"/>
      <c r="H100" s="12"/>
      <c r="I100" s="12"/>
      <c r="J100" s="12"/>
      <c r="K100" s="12"/>
      <c r="L100" s="12">
        <v>0.04</v>
      </c>
      <c r="M100" s="12"/>
      <c r="N100" s="12"/>
      <c r="O100" s="12"/>
      <c r="P100" s="12"/>
      <c r="Q100" s="12"/>
      <c r="R100" s="12"/>
      <c r="S100" s="12"/>
      <c r="T100" s="12"/>
      <c r="U100" s="12"/>
      <c r="V100" s="12">
        <v>2.98</v>
      </c>
      <c r="W100" s="12">
        <v>11.46</v>
      </c>
      <c r="X100" s="12">
        <v>56.48</v>
      </c>
      <c r="Y100" s="12"/>
      <c r="Z100" s="12">
        <f t="shared" si="138"/>
        <v>554.27</v>
      </c>
      <c r="AA100" s="22">
        <f t="shared" si="137"/>
        <v>3.9231493913940665E-2</v>
      </c>
      <c r="AC100" s="12">
        <f t="shared" si="134"/>
        <v>483.35</v>
      </c>
      <c r="AD100" s="12">
        <f t="shared" si="135"/>
        <v>70.92</v>
      </c>
      <c r="AE100" s="12">
        <f t="shared" si="136"/>
        <v>0</v>
      </c>
      <c r="AF100" s="12">
        <f t="shared" si="139"/>
        <v>554.27</v>
      </c>
      <c r="AG100" s="22">
        <f t="shared" si="140"/>
        <v>0.12795208111570175</v>
      </c>
    </row>
    <row r="101" spans="1:44" x14ac:dyDescent="0.35">
      <c r="A101" s="6" t="s">
        <v>28</v>
      </c>
      <c r="B101" s="12">
        <v>0.31</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f t="shared" si="138"/>
        <v>0.31</v>
      </c>
      <c r="AA101" s="22">
        <f t="shared" si="137"/>
        <v>2.194194726996158E-5</v>
      </c>
      <c r="AC101" s="12">
        <f t="shared" si="134"/>
        <v>0.31</v>
      </c>
      <c r="AD101" s="12">
        <f t="shared" si="135"/>
        <v>0</v>
      </c>
      <c r="AE101" s="12">
        <f t="shared" si="136"/>
        <v>0</v>
      </c>
      <c r="AF101" s="12">
        <f t="shared" si="139"/>
        <v>0.31</v>
      </c>
      <c r="AG101" s="22">
        <f t="shared" si="140"/>
        <v>0</v>
      </c>
    </row>
    <row r="102" spans="1:44" x14ac:dyDescent="0.35">
      <c r="A102" s="6" t="s">
        <v>29</v>
      </c>
      <c r="B102" s="12">
        <v>64.570000000000007</v>
      </c>
      <c r="C102" s="12">
        <v>3.12</v>
      </c>
      <c r="D102" s="12"/>
      <c r="E102" s="12"/>
      <c r="F102" s="12"/>
      <c r="G102" s="12">
        <v>1.54</v>
      </c>
      <c r="H102" s="12">
        <v>0.86</v>
      </c>
      <c r="I102" s="12"/>
      <c r="J102" s="12"/>
      <c r="K102" s="12"/>
      <c r="L102" s="12">
        <v>6.17</v>
      </c>
      <c r="M102" s="12">
        <v>7.71</v>
      </c>
      <c r="N102" s="12"/>
      <c r="O102" s="12"/>
      <c r="P102" s="12"/>
      <c r="Q102" s="12">
        <v>0.15</v>
      </c>
      <c r="R102" s="12">
        <v>1.94</v>
      </c>
      <c r="S102" s="12">
        <v>1.52</v>
      </c>
      <c r="T102" s="12">
        <v>0.12000000000000001</v>
      </c>
      <c r="U102" s="12">
        <v>2.2999999999999998</v>
      </c>
      <c r="V102" s="12">
        <v>1.21</v>
      </c>
      <c r="W102" s="12">
        <v>8.16</v>
      </c>
      <c r="X102" s="12">
        <v>17.63</v>
      </c>
      <c r="Y102" s="12">
        <v>7.0000000000000007E-2</v>
      </c>
      <c r="Z102" s="12">
        <f t="shared" si="138"/>
        <v>117.07</v>
      </c>
      <c r="AA102" s="22">
        <f t="shared" si="137"/>
        <v>8.2862702157883942E-3</v>
      </c>
      <c r="AC102" s="12">
        <f t="shared" si="134"/>
        <v>87.700000000000017</v>
      </c>
      <c r="AD102" s="12">
        <f t="shared" si="135"/>
        <v>29.299999999999997</v>
      </c>
      <c r="AE102" s="12">
        <f t="shared" si="136"/>
        <v>7.0000000000000007E-2</v>
      </c>
      <c r="AF102" s="12">
        <f t="shared" si="139"/>
        <v>117.07000000000001</v>
      </c>
      <c r="AG102" s="22">
        <f t="shared" si="140"/>
        <v>0.25027761168531643</v>
      </c>
    </row>
    <row r="103" spans="1:44" x14ac:dyDescent="0.35">
      <c r="A103" s="6" t="s">
        <v>30</v>
      </c>
      <c r="B103" s="12">
        <v>9.7100000000000009</v>
      </c>
      <c r="C103" s="12">
        <v>1.4100000000000001</v>
      </c>
      <c r="D103" s="12"/>
      <c r="E103" s="12"/>
      <c r="F103" s="12"/>
      <c r="G103" s="12"/>
      <c r="H103" s="12">
        <v>0.28999999999999998</v>
      </c>
      <c r="I103" s="12"/>
      <c r="J103" s="12"/>
      <c r="K103" s="12"/>
      <c r="L103" s="12"/>
      <c r="M103" s="12">
        <v>0.99</v>
      </c>
      <c r="N103" s="12"/>
      <c r="O103" s="12"/>
      <c r="P103" s="12"/>
      <c r="Q103" s="12"/>
      <c r="R103" s="12">
        <v>1.96</v>
      </c>
      <c r="S103" s="12"/>
      <c r="T103" s="12"/>
      <c r="U103" s="12"/>
      <c r="V103" s="12"/>
      <c r="W103" s="12"/>
      <c r="X103" s="12">
        <v>5.33</v>
      </c>
      <c r="Y103" s="12"/>
      <c r="Z103" s="12">
        <f t="shared" si="138"/>
        <v>19.689999999999998</v>
      </c>
      <c r="AA103" s="22">
        <f t="shared" si="137"/>
        <v>1.3936675540178823E-3</v>
      </c>
      <c r="AC103" s="12">
        <f t="shared" si="134"/>
        <v>14.36</v>
      </c>
      <c r="AD103" s="12">
        <f t="shared" si="135"/>
        <v>5.33</v>
      </c>
      <c r="AE103" s="12">
        <f t="shared" si="136"/>
        <v>0</v>
      </c>
      <c r="AF103" s="12">
        <f t="shared" si="139"/>
        <v>19.689999999999998</v>
      </c>
      <c r="AG103" s="22">
        <f t="shared" si="140"/>
        <v>0.27069578466226513</v>
      </c>
    </row>
    <row r="104" spans="1:44" x14ac:dyDescent="0.35">
      <c r="A104" s="116" t="s">
        <v>15</v>
      </c>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f t="shared" ref="Z104:Z120" si="141">SUM(B104:Y104)</f>
        <v>0</v>
      </c>
      <c r="AA104" s="185">
        <f t="shared" si="137"/>
        <v>0</v>
      </c>
      <c r="AC104" s="117">
        <f t="shared" si="134"/>
        <v>0</v>
      </c>
      <c r="AD104" s="117">
        <f t="shared" si="135"/>
        <v>0</v>
      </c>
      <c r="AE104" s="117">
        <f t="shared" si="136"/>
        <v>0</v>
      </c>
      <c r="AF104" s="117">
        <f>SUM(AC104:AE104)</f>
        <v>0</v>
      </c>
      <c r="AG104" s="185"/>
    </row>
    <row r="105" spans="1:44" x14ac:dyDescent="0.35">
      <c r="A105" s="6" t="s">
        <v>45</v>
      </c>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f t="shared" si="141"/>
        <v>0</v>
      </c>
      <c r="AA105" s="22">
        <f t="shared" si="137"/>
        <v>0</v>
      </c>
      <c r="AC105" s="12">
        <f t="shared" si="134"/>
        <v>0</v>
      </c>
      <c r="AD105" s="12">
        <f t="shared" si="135"/>
        <v>0</v>
      </c>
      <c r="AE105" s="12">
        <f t="shared" si="136"/>
        <v>0</v>
      </c>
      <c r="AF105" s="12">
        <f t="shared" ref="AF105:AF106" si="142">SUM(AC105:AE105)</f>
        <v>0</v>
      </c>
      <c r="AG105" s="22"/>
    </row>
    <row r="106" spans="1:44" x14ac:dyDescent="0.35">
      <c r="A106" s="6" t="s">
        <v>42</v>
      </c>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f t="shared" si="141"/>
        <v>0</v>
      </c>
      <c r="AA106" s="22">
        <f t="shared" si="137"/>
        <v>0</v>
      </c>
      <c r="AC106" s="12">
        <f t="shared" si="134"/>
        <v>0</v>
      </c>
      <c r="AD106" s="12">
        <f t="shared" si="135"/>
        <v>0</v>
      </c>
      <c r="AE106" s="12">
        <f t="shared" si="136"/>
        <v>0</v>
      </c>
      <c r="AF106" s="12">
        <f t="shared" si="142"/>
        <v>0</v>
      </c>
      <c r="AG106" s="22"/>
    </row>
    <row r="107" spans="1:44" x14ac:dyDescent="0.35">
      <c r="A107" s="116" t="s">
        <v>13</v>
      </c>
      <c r="B107" s="117">
        <f>SUM(B108:B110)</f>
        <v>7040.130000000061</v>
      </c>
      <c r="C107" s="117">
        <f t="shared" ref="C107:Y107" si="143">SUM(C108:C110)</f>
        <v>129.83000000000004</v>
      </c>
      <c r="D107" s="117">
        <f t="shared" si="143"/>
        <v>3.5700000000000003</v>
      </c>
      <c r="E107" s="117">
        <f t="shared" si="143"/>
        <v>8.17</v>
      </c>
      <c r="F107" s="117">
        <f t="shared" si="143"/>
        <v>1.4100000000000001</v>
      </c>
      <c r="G107" s="117">
        <f t="shared" si="143"/>
        <v>6.1</v>
      </c>
      <c r="H107" s="117">
        <f t="shared" si="143"/>
        <v>18.84</v>
      </c>
      <c r="I107" s="117">
        <f t="shared" si="143"/>
        <v>6.3599999999999994</v>
      </c>
      <c r="J107" s="117">
        <f t="shared" si="143"/>
        <v>6.29</v>
      </c>
      <c r="K107" s="117">
        <f t="shared" si="143"/>
        <v>7.9000000000000012</v>
      </c>
      <c r="L107" s="117">
        <f t="shared" si="143"/>
        <v>5.6199999999999992</v>
      </c>
      <c r="M107" s="117">
        <f t="shared" si="143"/>
        <v>9.6199999999999992</v>
      </c>
      <c r="N107" s="117">
        <f t="shared" si="143"/>
        <v>3.23</v>
      </c>
      <c r="O107" s="117">
        <f t="shared" si="143"/>
        <v>20.58</v>
      </c>
      <c r="P107" s="117">
        <f t="shared" si="143"/>
        <v>1.7</v>
      </c>
      <c r="Q107" s="117">
        <f t="shared" si="143"/>
        <v>7.33</v>
      </c>
      <c r="R107" s="117">
        <f t="shared" si="143"/>
        <v>8.33</v>
      </c>
      <c r="S107" s="117">
        <f t="shared" si="143"/>
        <v>4.2700000000000005</v>
      </c>
      <c r="T107" s="117">
        <f t="shared" si="143"/>
        <v>4.57</v>
      </c>
      <c r="U107" s="117">
        <f t="shared" si="143"/>
        <v>9</v>
      </c>
      <c r="V107" s="117">
        <f t="shared" si="143"/>
        <v>22.389999999999997</v>
      </c>
      <c r="W107" s="117">
        <f t="shared" si="143"/>
        <v>9.58</v>
      </c>
      <c r="X107" s="117">
        <f t="shared" si="143"/>
        <v>23.060000000000002</v>
      </c>
      <c r="Y107" s="117">
        <f t="shared" si="143"/>
        <v>66.960000000000008</v>
      </c>
      <c r="Z107" s="117">
        <f t="shared" si="141"/>
        <v>7424.8400000000602</v>
      </c>
      <c r="AA107" s="185">
        <f t="shared" si="137"/>
        <v>0.52553370247710607</v>
      </c>
      <c r="AC107" s="117">
        <f t="shared" si="134"/>
        <v>7293.8500000000595</v>
      </c>
      <c r="AD107" s="117">
        <f t="shared" si="135"/>
        <v>64.03</v>
      </c>
      <c r="AE107" s="117">
        <f t="shared" si="136"/>
        <v>66.960000000000008</v>
      </c>
      <c r="AF107" s="117">
        <f>SUM(AC107:AE107)</f>
        <v>7424.8400000000593</v>
      </c>
      <c r="AG107" s="185">
        <f>AD107/AF107</f>
        <v>8.6237548553234136E-3</v>
      </c>
      <c r="AO107" s="342"/>
      <c r="AP107" s="342" t="s">
        <v>256</v>
      </c>
      <c r="AQ107" s="342" t="s">
        <v>96</v>
      </c>
      <c r="AR107" s="342" t="s">
        <v>257</v>
      </c>
    </row>
    <row r="108" spans="1:44" x14ac:dyDescent="0.35">
      <c r="A108" s="6" t="s">
        <v>34</v>
      </c>
      <c r="B108" s="12">
        <v>170.4400000000002</v>
      </c>
      <c r="C108" s="12">
        <v>49.630000000000024</v>
      </c>
      <c r="D108" s="12">
        <v>0.30000000000000004</v>
      </c>
      <c r="E108" s="12"/>
      <c r="F108" s="12"/>
      <c r="G108" s="12"/>
      <c r="H108" s="12">
        <v>0.60000000000000009</v>
      </c>
      <c r="I108" s="12"/>
      <c r="J108" s="12"/>
      <c r="K108" s="12">
        <v>0.57000000000000006</v>
      </c>
      <c r="L108" s="12">
        <v>0.37</v>
      </c>
      <c r="M108" s="12">
        <v>2.4500000000000002</v>
      </c>
      <c r="N108" s="12"/>
      <c r="O108" s="12">
        <v>0.04</v>
      </c>
      <c r="P108" s="12"/>
      <c r="Q108" s="12">
        <v>0.47</v>
      </c>
      <c r="R108" s="12">
        <v>1.8900000000000001</v>
      </c>
      <c r="S108" s="12">
        <v>0.3</v>
      </c>
      <c r="T108" s="12"/>
      <c r="U108" s="12"/>
      <c r="V108" s="12">
        <v>0.1</v>
      </c>
      <c r="W108" s="12">
        <v>7.0000000000000007E-2</v>
      </c>
      <c r="X108" s="12">
        <v>1.2100000000000002</v>
      </c>
      <c r="Y108" s="12">
        <v>1.7000000000000004</v>
      </c>
      <c r="Z108" s="12">
        <f t="shared" si="141"/>
        <v>230.14000000000019</v>
      </c>
      <c r="AA108" s="22">
        <f t="shared" si="137"/>
        <v>1.6289418531319235E-2</v>
      </c>
      <c r="AC108" s="12">
        <f t="shared" si="134"/>
        <v>227.0600000000002</v>
      </c>
      <c r="AD108" s="12">
        <f t="shared" si="135"/>
        <v>1.3800000000000001</v>
      </c>
      <c r="AE108" s="12">
        <f t="shared" si="136"/>
        <v>1.7000000000000004</v>
      </c>
      <c r="AF108" s="12">
        <f t="shared" ref="AF108:AF110" si="144">SUM(AC108:AE108)</f>
        <v>230.14000000000019</v>
      </c>
      <c r="AG108" s="22">
        <f t="shared" ref="AG108:AG110" si="145">AD108/AF108</f>
        <v>5.9963500477969887E-3</v>
      </c>
      <c r="AI108" s="210" t="s">
        <v>255</v>
      </c>
      <c r="AO108" s="116" t="s">
        <v>18</v>
      </c>
      <c r="AP108" s="89">
        <v>139.78</v>
      </c>
      <c r="AQ108" s="89">
        <v>2140.9599999999982</v>
      </c>
      <c r="AR108" s="190">
        <f>AP108/AQ108</f>
        <v>6.5288468724310642E-2</v>
      </c>
    </row>
    <row r="109" spans="1:44" x14ac:dyDescent="0.35">
      <c r="A109" s="6" t="s">
        <v>61</v>
      </c>
      <c r="B109" s="12">
        <v>2649.4300000000103</v>
      </c>
      <c r="C109" s="12">
        <v>30.789999999999996</v>
      </c>
      <c r="D109" s="12">
        <v>1.21</v>
      </c>
      <c r="E109" s="12">
        <v>5.96</v>
      </c>
      <c r="F109" s="12">
        <v>0.79</v>
      </c>
      <c r="G109" s="12">
        <v>2.9400000000000004</v>
      </c>
      <c r="H109" s="12">
        <v>11.59</v>
      </c>
      <c r="I109" s="12">
        <v>3.48</v>
      </c>
      <c r="J109" s="12">
        <v>4.41</v>
      </c>
      <c r="K109" s="12">
        <v>5.2900000000000009</v>
      </c>
      <c r="L109" s="12">
        <v>1.6</v>
      </c>
      <c r="M109" s="12">
        <v>2.14</v>
      </c>
      <c r="N109" s="12">
        <v>0.32</v>
      </c>
      <c r="O109" s="12">
        <v>19.23</v>
      </c>
      <c r="P109" s="12">
        <v>0.74</v>
      </c>
      <c r="Q109" s="12">
        <v>3.5700000000000003</v>
      </c>
      <c r="R109" s="12">
        <v>3.1899999999999995</v>
      </c>
      <c r="S109" s="12">
        <v>1.6</v>
      </c>
      <c r="T109" s="12">
        <v>1.55</v>
      </c>
      <c r="U109" s="12">
        <v>3.83</v>
      </c>
      <c r="V109" s="12">
        <v>4.78</v>
      </c>
      <c r="W109" s="12">
        <v>3.5</v>
      </c>
      <c r="X109" s="12">
        <v>8.16</v>
      </c>
      <c r="Y109" s="12">
        <v>17.499999999999996</v>
      </c>
      <c r="Z109" s="12">
        <f t="shared" si="141"/>
        <v>2787.6000000000104</v>
      </c>
      <c r="AA109" s="22">
        <f t="shared" si="137"/>
        <v>0.19730765228950042</v>
      </c>
      <c r="AC109" s="12">
        <f t="shared" si="134"/>
        <v>2749.8300000000104</v>
      </c>
      <c r="AD109" s="12">
        <f t="shared" si="135"/>
        <v>20.27</v>
      </c>
      <c r="AE109" s="12">
        <f t="shared" si="136"/>
        <v>17.499999999999996</v>
      </c>
      <c r="AF109" s="12">
        <f t="shared" si="144"/>
        <v>2787.6000000000104</v>
      </c>
      <c r="AG109" s="22">
        <f t="shared" si="145"/>
        <v>7.2714880183670271E-3</v>
      </c>
      <c r="AJ109" t="s">
        <v>256</v>
      </c>
      <c r="AK109" t="s">
        <v>96</v>
      </c>
      <c r="AL109" t="s">
        <v>257</v>
      </c>
      <c r="AO109" s="116" t="s">
        <v>5</v>
      </c>
      <c r="AP109" s="89">
        <v>105.55</v>
      </c>
      <c r="AQ109" s="89">
        <v>728.74000000000012</v>
      </c>
      <c r="AR109" s="190">
        <f>AP109/AQ109</f>
        <v>0.14483903724236349</v>
      </c>
    </row>
    <row r="110" spans="1:44" x14ac:dyDescent="0.35">
      <c r="A110" s="6" t="s">
        <v>36</v>
      </c>
      <c r="B110" s="12">
        <v>4220.2600000000502</v>
      </c>
      <c r="C110" s="12">
        <v>49.410000000000018</v>
      </c>
      <c r="D110" s="12">
        <v>2.06</v>
      </c>
      <c r="E110" s="12">
        <v>2.2099999999999995</v>
      </c>
      <c r="F110" s="12">
        <v>0.62</v>
      </c>
      <c r="G110" s="12">
        <v>3.1599999999999993</v>
      </c>
      <c r="H110" s="12">
        <v>6.65</v>
      </c>
      <c r="I110" s="12">
        <v>2.8799999999999994</v>
      </c>
      <c r="J110" s="12">
        <v>1.88</v>
      </c>
      <c r="K110" s="12">
        <v>2.04</v>
      </c>
      <c r="L110" s="12">
        <v>3.6499999999999995</v>
      </c>
      <c r="M110" s="12">
        <v>5.0299999999999994</v>
      </c>
      <c r="N110" s="12">
        <v>2.91</v>
      </c>
      <c r="O110" s="12">
        <v>1.31</v>
      </c>
      <c r="P110" s="12">
        <v>0.96</v>
      </c>
      <c r="Q110" s="12">
        <v>3.2899999999999996</v>
      </c>
      <c r="R110" s="12">
        <v>3.25</v>
      </c>
      <c r="S110" s="12">
        <v>2.37</v>
      </c>
      <c r="T110" s="12">
        <v>3.02</v>
      </c>
      <c r="U110" s="12">
        <v>5.17</v>
      </c>
      <c r="V110" s="12">
        <v>17.509999999999998</v>
      </c>
      <c r="W110" s="12">
        <v>6.01</v>
      </c>
      <c r="X110" s="12">
        <v>13.690000000000003</v>
      </c>
      <c r="Y110" s="12">
        <v>47.760000000000019</v>
      </c>
      <c r="Z110" s="12">
        <f t="shared" si="141"/>
        <v>4407.1000000000504</v>
      </c>
      <c r="AA110" s="22">
        <f t="shared" si="137"/>
        <v>0.31193663165628643</v>
      </c>
      <c r="AC110" s="12">
        <f t="shared" si="134"/>
        <v>4316.9600000000501</v>
      </c>
      <c r="AD110" s="12">
        <f t="shared" si="135"/>
        <v>42.38</v>
      </c>
      <c r="AE110" s="12">
        <f t="shared" si="136"/>
        <v>47.760000000000019</v>
      </c>
      <c r="AF110" s="12">
        <f t="shared" si="144"/>
        <v>4407.1000000000504</v>
      </c>
      <c r="AG110" s="22">
        <f t="shared" si="145"/>
        <v>9.6163009688909982E-3</v>
      </c>
      <c r="AI110" s="6" t="s">
        <v>18</v>
      </c>
      <c r="AJ110" s="12">
        <v>139.78</v>
      </c>
      <c r="AK110" s="12">
        <v>2140.9599999999982</v>
      </c>
      <c r="AL110" s="382">
        <f>AJ110/AK110</f>
        <v>6.5288468724310642E-2</v>
      </c>
      <c r="AO110" s="116" t="s">
        <v>14</v>
      </c>
      <c r="AP110" s="89">
        <v>73.510000000000005</v>
      </c>
      <c r="AQ110" s="89">
        <v>3374.1300000000083</v>
      </c>
      <c r="AR110" s="190">
        <f t="shared" ref="AR110:AR111" si="146">AP110/AQ110</f>
        <v>2.1786356779377149E-2</v>
      </c>
    </row>
    <row r="111" spans="1:44" x14ac:dyDescent="0.35">
      <c r="A111" s="116" t="s">
        <v>14</v>
      </c>
      <c r="B111" s="117">
        <f>SUM(B112:B114)</f>
        <v>3058.5600000000081</v>
      </c>
      <c r="C111" s="117">
        <f t="shared" ref="C111:Y111" si="147">SUM(C112:C114)</f>
        <v>41.190000000000005</v>
      </c>
      <c r="D111" s="117">
        <f t="shared" si="147"/>
        <v>9.5</v>
      </c>
      <c r="E111" s="117">
        <f t="shared" si="147"/>
        <v>7.6300000000000008</v>
      </c>
      <c r="F111" s="117">
        <f t="shared" si="147"/>
        <v>6.6000000000000005</v>
      </c>
      <c r="G111" s="117">
        <f t="shared" si="147"/>
        <v>8</v>
      </c>
      <c r="H111" s="117">
        <f t="shared" si="147"/>
        <v>12.400000000000002</v>
      </c>
      <c r="I111" s="117">
        <f t="shared" si="147"/>
        <v>15.159999999999998</v>
      </c>
      <c r="J111" s="117">
        <f t="shared" si="147"/>
        <v>19.64</v>
      </c>
      <c r="K111" s="117">
        <f t="shared" si="147"/>
        <v>15.650000000000002</v>
      </c>
      <c r="L111" s="117">
        <f t="shared" si="147"/>
        <v>23.150000000000009</v>
      </c>
      <c r="M111" s="117">
        <f t="shared" si="147"/>
        <v>28.95</v>
      </c>
      <c r="N111" s="117">
        <f t="shared" si="147"/>
        <v>11.760000000000002</v>
      </c>
      <c r="O111" s="117">
        <f t="shared" si="147"/>
        <v>6.4399999999999986</v>
      </c>
      <c r="P111" s="117">
        <f t="shared" si="147"/>
        <v>7.1399999999999988</v>
      </c>
      <c r="Q111" s="117">
        <f t="shared" si="147"/>
        <v>6.8499999999999988</v>
      </c>
      <c r="R111" s="117">
        <f t="shared" si="147"/>
        <v>12.26</v>
      </c>
      <c r="S111" s="117">
        <f t="shared" si="147"/>
        <v>6.5799999999999992</v>
      </c>
      <c r="T111" s="117">
        <f t="shared" si="147"/>
        <v>3.0399999999999996</v>
      </c>
      <c r="U111" s="117">
        <f t="shared" si="147"/>
        <v>4.66</v>
      </c>
      <c r="V111" s="117">
        <f t="shared" si="147"/>
        <v>16.819999999999997</v>
      </c>
      <c r="W111" s="117">
        <f t="shared" si="147"/>
        <v>27.470000000000002</v>
      </c>
      <c r="X111" s="117">
        <f t="shared" si="147"/>
        <v>24.560000000000002</v>
      </c>
      <c r="Y111" s="117">
        <f t="shared" si="147"/>
        <v>0.12</v>
      </c>
      <c r="Z111" s="117">
        <f t="shared" si="141"/>
        <v>3374.1300000000078</v>
      </c>
      <c r="AA111" s="185">
        <f t="shared" si="137"/>
        <v>0.23882252432901821</v>
      </c>
      <c r="AC111" s="117">
        <f t="shared" si="134"/>
        <v>3300.5000000000082</v>
      </c>
      <c r="AD111" s="117">
        <f t="shared" si="135"/>
        <v>73.510000000000005</v>
      </c>
      <c r="AE111" s="117">
        <f t="shared" si="136"/>
        <v>0.12</v>
      </c>
      <c r="AF111" s="117">
        <f>SUM(AC111:AE111)</f>
        <v>3374.1300000000083</v>
      </c>
      <c r="AG111" s="185">
        <f>AD111/AF111</f>
        <v>2.1786356779377149E-2</v>
      </c>
      <c r="AI111" s="6" t="s">
        <v>40</v>
      </c>
      <c r="AJ111" s="12">
        <v>71.66</v>
      </c>
      <c r="AK111" s="12">
        <v>3262.6400000000076</v>
      </c>
      <c r="AL111" s="382">
        <f t="shared" ref="AL111:AL119" si="148">AJ111/AK111</f>
        <v>2.1963808449599047E-2</v>
      </c>
      <c r="AO111" s="116" t="s">
        <v>13</v>
      </c>
      <c r="AP111" s="89">
        <v>64.03</v>
      </c>
      <c r="AQ111" s="89">
        <v>7424.8400000000593</v>
      </c>
      <c r="AR111" s="190">
        <f t="shared" si="146"/>
        <v>8.6237548553234136E-3</v>
      </c>
    </row>
    <row r="112" spans="1:44" x14ac:dyDescent="0.35">
      <c r="A112" s="6" t="s">
        <v>37</v>
      </c>
      <c r="B112" s="12">
        <v>107.19</v>
      </c>
      <c r="C112" s="12">
        <v>0.26</v>
      </c>
      <c r="D112" s="12"/>
      <c r="E112" s="12"/>
      <c r="F112" s="12"/>
      <c r="G112" s="12">
        <v>0.28000000000000003</v>
      </c>
      <c r="H112" s="12"/>
      <c r="I112" s="12"/>
      <c r="J112" s="12"/>
      <c r="K112" s="12"/>
      <c r="L112" s="12">
        <v>0.1</v>
      </c>
      <c r="M112" s="12">
        <v>0.08</v>
      </c>
      <c r="N112" s="12"/>
      <c r="O112" s="12"/>
      <c r="P112" s="12"/>
      <c r="Q112" s="12"/>
      <c r="R112" s="12"/>
      <c r="S112" s="12"/>
      <c r="T112" s="12"/>
      <c r="U112" s="12"/>
      <c r="V112" s="12"/>
      <c r="W112" s="12"/>
      <c r="X112" s="12">
        <v>1.85</v>
      </c>
      <c r="Y112" s="12"/>
      <c r="Z112" s="12">
        <f t="shared" si="141"/>
        <v>109.75999999999999</v>
      </c>
      <c r="AA112" s="22">
        <f t="shared" si="137"/>
        <v>7.7688649430676868E-3</v>
      </c>
      <c r="AC112" s="12">
        <f t="shared" si="134"/>
        <v>107.91</v>
      </c>
      <c r="AD112" s="12">
        <f t="shared" si="135"/>
        <v>1.85</v>
      </c>
      <c r="AE112" s="12">
        <f t="shared" si="136"/>
        <v>0</v>
      </c>
      <c r="AF112" s="12">
        <f t="shared" ref="AF112:AF114" si="149">SUM(AC112:AE112)</f>
        <v>109.75999999999999</v>
      </c>
      <c r="AG112" s="22">
        <f t="shared" ref="AG112:AG113" si="150">AD112/AF112</f>
        <v>1.6854956268221578E-2</v>
      </c>
      <c r="AI112" s="6" t="s">
        <v>27</v>
      </c>
      <c r="AJ112" s="12">
        <v>70.92</v>
      </c>
      <c r="AK112" s="12">
        <v>554.27</v>
      </c>
      <c r="AL112" s="382">
        <f t="shared" si="148"/>
        <v>0.12795208111570175</v>
      </c>
    </row>
    <row r="113" spans="1:38" x14ac:dyDescent="0.35">
      <c r="A113" s="6" t="s">
        <v>38</v>
      </c>
      <c r="B113" s="12">
        <v>1.73</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f t="shared" si="141"/>
        <v>1.73</v>
      </c>
      <c r="AA113" s="22">
        <f t="shared" si="137"/>
        <v>1.224502218613985E-4</v>
      </c>
      <c r="AC113" s="12">
        <f t="shared" si="134"/>
        <v>1.73</v>
      </c>
      <c r="AD113" s="12">
        <f t="shared" si="135"/>
        <v>0</v>
      </c>
      <c r="AE113" s="12">
        <f t="shared" si="136"/>
        <v>0</v>
      </c>
      <c r="AF113" s="12">
        <f t="shared" si="149"/>
        <v>1.73</v>
      </c>
      <c r="AG113" s="22">
        <f t="shared" si="150"/>
        <v>0</v>
      </c>
      <c r="AI113" s="6" t="s">
        <v>36</v>
      </c>
      <c r="AJ113" s="12">
        <v>42.38</v>
      </c>
      <c r="AK113" s="12">
        <v>4407.1000000000504</v>
      </c>
      <c r="AL113" s="382">
        <f t="shared" si="148"/>
        <v>9.6163009688909982E-3</v>
      </c>
    </row>
    <row r="114" spans="1:38" x14ac:dyDescent="0.35">
      <c r="A114" s="6" t="s">
        <v>40</v>
      </c>
      <c r="B114" s="12">
        <v>2949.6400000000081</v>
      </c>
      <c r="C114" s="12">
        <v>40.930000000000007</v>
      </c>
      <c r="D114" s="12">
        <v>9.5</v>
      </c>
      <c r="E114" s="12">
        <v>7.6300000000000008</v>
      </c>
      <c r="F114" s="12">
        <v>6.6000000000000005</v>
      </c>
      <c r="G114" s="12">
        <v>7.7200000000000006</v>
      </c>
      <c r="H114" s="12">
        <v>12.400000000000002</v>
      </c>
      <c r="I114" s="12">
        <v>15.159999999999998</v>
      </c>
      <c r="J114" s="12">
        <v>19.64</v>
      </c>
      <c r="K114" s="12">
        <v>15.650000000000002</v>
      </c>
      <c r="L114" s="12">
        <v>23.050000000000008</v>
      </c>
      <c r="M114" s="12">
        <v>28.87</v>
      </c>
      <c r="N114" s="12">
        <v>11.760000000000002</v>
      </c>
      <c r="O114" s="12">
        <v>6.4399999999999986</v>
      </c>
      <c r="P114" s="12">
        <v>7.1399999999999988</v>
      </c>
      <c r="Q114" s="12">
        <v>6.8499999999999988</v>
      </c>
      <c r="R114" s="12">
        <v>12.26</v>
      </c>
      <c r="S114" s="12">
        <v>6.5799999999999992</v>
      </c>
      <c r="T114" s="12">
        <v>3.0399999999999996</v>
      </c>
      <c r="U114" s="12">
        <v>4.66</v>
      </c>
      <c r="V114" s="12">
        <v>16.819999999999997</v>
      </c>
      <c r="W114" s="12">
        <v>27.470000000000002</v>
      </c>
      <c r="X114" s="12">
        <v>22.71</v>
      </c>
      <c r="Y114" s="12">
        <v>0.12</v>
      </c>
      <c r="Z114" s="12">
        <f t="shared" si="141"/>
        <v>3262.6400000000076</v>
      </c>
      <c r="AA114" s="22">
        <f t="shared" si="137"/>
        <v>0.2309312091640891</v>
      </c>
      <c r="AC114" s="12">
        <f t="shared" si="134"/>
        <v>3190.8600000000079</v>
      </c>
      <c r="AD114" s="12">
        <f t="shared" si="135"/>
        <v>71.66</v>
      </c>
      <c r="AE114" s="12">
        <f t="shared" si="136"/>
        <v>0.12</v>
      </c>
      <c r="AF114" s="12">
        <f t="shared" si="149"/>
        <v>3262.6400000000076</v>
      </c>
      <c r="AG114" s="22">
        <f t="shared" ref="AG114" si="151">AD114/AF114</f>
        <v>2.1963808449599047E-2</v>
      </c>
      <c r="AI114" s="6" t="s">
        <v>29</v>
      </c>
      <c r="AJ114" s="12">
        <v>29.299999999999997</v>
      </c>
      <c r="AK114" s="12">
        <v>117.07000000000001</v>
      </c>
      <c r="AL114" s="382">
        <f t="shared" si="148"/>
        <v>0.25027761168531643</v>
      </c>
    </row>
    <row r="115" spans="1:38" x14ac:dyDescent="0.35">
      <c r="A115" s="116" t="s">
        <v>17</v>
      </c>
      <c r="B115" s="117">
        <f>B116</f>
        <v>3.13</v>
      </c>
      <c r="C115" s="117">
        <f t="shared" ref="C115:Y115" si="152">C116</f>
        <v>0</v>
      </c>
      <c r="D115" s="117">
        <f t="shared" si="152"/>
        <v>0</v>
      </c>
      <c r="E115" s="117">
        <f t="shared" si="152"/>
        <v>0</v>
      </c>
      <c r="F115" s="117">
        <f t="shared" si="152"/>
        <v>0</v>
      </c>
      <c r="G115" s="117">
        <f t="shared" si="152"/>
        <v>0</v>
      </c>
      <c r="H115" s="117">
        <f t="shared" si="152"/>
        <v>0</v>
      </c>
      <c r="I115" s="117">
        <f t="shared" si="152"/>
        <v>0</v>
      </c>
      <c r="J115" s="117">
        <f t="shared" si="152"/>
        <v>0</v>
      </c>
      <c r="K115" s="117">
        <f t="shared" si="152"/>
        <v>0</v>
      </c>
      <c r="L115" s="117">
        <f t="shared" si="152"/>
        <v>0</v>
      </c>
      <c r="M115" s="117">
        <f t="shared" si="152"/>
        <v>0</v>
      </c>
      <c r="N115" s="117">
        <f t="shared" si="152"/>
        <v>0</v>
      </c>
      <c r="O115" s="117">
        <f t="shared" si="152"/>
        <v>0</v>
      </c>
      <c r="P115" s="117">
        <f t="shared" si="152"/>
        <v>0</v>
      </c>
      <c r="Q115" s="117">
        <f t="shared" si="152"/>
        <v>0</v>
      </c>
      <c r="R115" s="117">
        <f t="shared" si="152"/>
        <v>0</v>
      </c>
      <c r="S115" s="117">
        <f t="shared" si="152"/>
        <v>0</v>
      </c>
      <c r="T115" s="117">
        <f t="shared" si="152"/>
        <v>0</v>
      </c>
      <c r="U115" s="117">
        <f t="shared" si="152"/>
        <v>0</v>
      </c>
      <c r="V115" s="117">
        <f t="shared" si="152"/>
        <v>0</v>
      </c>
      <c r="W115" s="117">
        <f t="shared" si="152"/>
        <v>0</v>
      </c>
      <c r="X115" s="117">
        <f t="shared" si="152"/>
        <v>0</v>
      </c>
      <c r="Y115" s="117">
        <f t="shared" si="152"/>
        <v>0</v>
      </c>
      <c r="Z115" s="117">
        <f t="shared" si="141"/>
        <v>3.13</v>
      </c>
      <c r="AA115" s="185">
        <f t="shared" si="137"/>
        <v>2.2154288695154758E-4</v>
      </c>
      <c r="AC115" s="117">
        <f t="shared" si="134"/>
        <v>3.13</v>
      </c>
      <c r="AD115" s="117">
        <f t="shared" si="135"/>
        <v>0</v>
      </c>
      <c r="AE115" s="117">
        <f t="shared" si="136"/>
        <v>0</v>
      </c>
      <c r="AF115" s="117">
        <f>SUM(AC115:AE115)</f>
        <v>3.13</v>
      </c>
      <c r="AG115" s="185">
        <f>AD115/AF115</f>
        <v>0</v>
      </c>
      <c r="AI115" s="6" t="s">
        <v>61</v>
      </c>
      <c r="AJ115" s="12">
        <v>20.27</v>
      </c>
      <c r="AK115" s="12">
        <v>2787.6000000000104</v>
      </c>
      <c r="AL115" s="382">
        <f t="shared" si="148"/>
        <v>7.2714880183670271E-3</v>
      </c>
    </row>
    <row r="116" spans="1:38" x14ac:dyDescent="0.35">
      <c r="A116" s="6" t="s">
        <v>55</v>
      </c>
      <c r="B116" s="12">
        <v>3.13</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f t="shared" si="141"/>
        <v>3.13</v>
      </c>
      <c r="AA116" s="22">
        <f t="shared" si="137"/>
        <v>2.2154288695154758E-4</v>
      </c>
      <c r="AC116" s="12">
        <f t="shared" si="134"/>
        <v>3.13</v>
      </c>
      <c r="AD116" s="12">
        <f t="shared" si="135"/>
        <v>0</v>
      </c>
      <c r="AE116" s="12">
        <f t="shared" si="136"/>
        <v>0</v>
      </c>
      <c r="AF116" s="12">
        <f t="shared" ref="AF116" si="153">SUM(AC116:AE116)</f>
        <v>3.13</v>
      </c>
      <c r="AG116" s="22">
        <f t="shared" ref="AG116" si="154">AD116/AF116</f>
        <v>0</v>
      </c>
      <c r="AI116" s="6" t="s">
        <v>22</v>
      </c>
      <c r="AJ116" s="12">
        <v>11.79</v>
      </c>
      <c r="AK116" s="12">
        <v>456.38999999999987</v>
      </c>
      <c r="AL116" s="382">
        <f t="shared" si="148"/>
        <v>2.5833169000197206E-2</v>
      </c>
    </row>
    <row r="117" spans="1:38" x14ac:dyDescent="0.35">
      <c r="A117" s="116" t="s">
        <v>18</v>
      </c>
      <c r="B117" s="117">
        <f>B118</f>
        <v>1682.189999999998</v>
      </c>
      <c r="C117" s="117">
        <f t="shared" ref="C117:Y117" si="155">C118</f>
        <v>84.480000000000018</v>
      </c>
      <c r="D117" s="117">
        <f t="shared" si="155"/>
        <v>6.3500000000000005</v>
      </c>
      <c r="E117" s="117">
        <f t="shared" si="155"/>
        <v>13.469999999999999</v>
      </c>
      <c r="F117" s="117">
        <f t="shared" si="155"/>
        <v>38.699999999999996</v>
      </c>
      <c r="G117" s="117">
        <f t="shared" si="155"/>
        <v>34.500000000000007</v>
      </c>
      <c r="H117" s="117">
        <f t="shared" si="155"/>
        <v>29.330000000000002</v>
      </c>
      <c r="I117" s="117">
        <f t="shared" si="155"/>
        <v>0.37</v>
      </c>
      <c r="J117" s="117">
        <f t="shared" si="155"/>
        <v>15.889999999999999</v>
      </c>
      <c r="K117" s="117">
        <f t="shared" si="155"/>
        <v>7.1899999999999995</v>
      </c>
      <c r="L117" s="117">
        <f t="shared" si="155"/>
        <v>22.84</v>
      </c>
      <c r="M117" s="117">
        <f t="shared" si="155"/>
        <v>24.080000000000002</v>
      </c>
      <c r="N117" s="117">
        <f t="shared" si="155"/>
        <v>2.48</v>
      </c>
      <c r="O117" s="117">
        <f t="shared" si="155"/>
        <v>6.12</v>
      </c>
      <c r="P117" s="117">
        <f t="shared" si="155"/>
        <v>0.18</v>
      </c>
      <c r="Q117" s="117">
        <f t="shared" si="155"/>
        <v>2.2800000000000002</v>
      </c>
      <c r="R117" s="117">
        <f t="shared" si="155"/>
        <v>14.189999999999998</v>
      </c>
      <c r="S117" s="117">
        <f t="shared" si="155"/>
        <v>3.92</v>
      </c>
      <c r="T117" s="117">
        <f t="shared" si="155"/>
        <v>4.8600000000000003</v>
      </c>
      <c r="U117" s="117">
        <f t="shared" si="155"/>
        <v>28.919999999999998</v>
      </c>
      <c r="V117" s="117">
        <f t="shared" si="155"/>
        <v>32.569999999999993</v>
      </c>
      <c r="W117" s="117">
        <f t="shared" si="155"/>
        <v>72.929999999999993</v>
      </c>
      <c r="X117" s="117">
        <f t="shared" si="155"/>
        <v>5.36</v>
      </c>
      <c r="Y117" s="117">
        <f t="shared" si="155"/>
        <v>7.7599999999999962</v>
      </c>
      <c r="Z117" s="117">
        <f t="shared" si="141"/>
        <v>2140.9599999999982</v>
      </c>
      <c r="AA117" s="185">
        <f t="shared" si="137"/>
        <v>0.15153816589386099</v>
      </c>
      <c r="AC117" s="117">
        <f t="shared" si="134"/>
        <v>1993.4199999999978</v>
      </c>
      <c r="AD117" s="117">
        <f t="shared" si="135"/>
        <v>139.78</v>
      </c>
      <c r="AE117" s="117">
        <f t="shared" si="136"/>
        <v>7.7599999999999962</v>
      </c>
      <c r="AF117" s="117">
        <f>SUM(AC117:AE117)</f>
        <v>2140.9599999999982</v>
      </c>
      <c r="AG117" s="185">
        <f>AD117/AF117</f>
        <v>6.5288468724310642E-2</v>
      </c>
      <c r="AI117" s="6" t="s">
        <v>30</v>
      </c>
      <c r="AJ117" s="12">
        <v>5.33</v>
      </c>
      <c r="AK117" s="12">
        <v>19.689999999999998</v>
      </c>
      <c r="AL117" s="382">
        <f t="shared" si="148"/>
        <v>0.27069578466226513</v>
      </c>
    </row>
    <row r="118" spans="1:38" x14ac:dyDescent="0.35">
      <c r="A118" s="6" t="s">
        <v>18</v>
      </c>
      <c r="B118" s="12">
        <v>1682.189999999998</v>
      </c>
      <c r="C118" s="12">
        <v>84.480000000000018</v>
      </c>
      <c r="D118" s="12">
        <v>6.3500000000000005</v>
      </c>
      <c r="E118" s="12">
        <v>13.469999999999999</v>
      </c>
      <c r="F118" s="12">
        <v>38.699999999999996</v>
      </c>
      <c r="G118" s="12">
        <v>34.500000000000007</v>
      </c>
      <c r="H118" s="12">
        <v>29.330000000000002</v>
      </c>
      <c r="I118" s="12">
        <v>0.37</v>
      </c>
      <c r="J118" s="12">
        <v>15.889999999999999</v>
      </c>
      <c r="K118" s="12">
        <v>7.1899999999999995</v>
      </c>
      <c r="L118" s="12">
        <v>22.84</v>
      </c>
      <c r="M118" s="12">
        <v>24.080000000000002</v>
      </c>
      <c r="N118" s="12">
        <v>2.48</v>
      </c>
      <c r="O118" s="12">
        <v>6.12</v>
      </c>
      <c r="P118" s="12">
        <v>0.18</v>
      </c>
      <c r="Q118" s="12">
        <v>2.2800000000000002</v>
      </c>
      <c r="R118" s="12">
        <v>14.189999999999998</v>
      </c>
      <c r="S118" s="12">
        <v>3.92</v>
      </c>
      <c r="T118" s="12">
        <v>4.8600000000000003</v>
      </c>
      <c r="U118" s="12">
        <v>28.919999999999998</v>
      </c>
      <c r="V118" s="12">
        <v>32.569999999999993</v>
      </c>
      <c r="W118" s="12">
        <v>72.929999999999993</v>
      </c>
      <c r="X118" s="12">
        <v>5.36</v>
      </c>
      <c r="Y118" s="12">
        <v>7.7599999999999962</v>
      </c>
      <c r="Z118" s="12">
        <f t="shared" si="141"/>
        <v>2140.9599999999982</v>
      </c>
      <c r="AA118" s="22">
        <f t="shared" si="137"/>
        <v>0.15153816589386099</v>
      </c>
      <c r="AC118" s="12">
        <f t="shared" si="134"/>
        <v>1993.4199999999978</v>
      </c>
      <c r="AD118" s="12">
        <f t="shared" si="135"/>
        <v>139.78</v>
      </c>
      <c r="AE118" s="12">
        <f t="shared" si="136"/>
        <v>7.7599999999999962</v>
      </c>
      <c r="AF118" s="12">
        <f t="shared" ref="AF118" si="156">SUM(AC118:AE118)</f>
        <v>2140.9599999999982</v>
      </c>
      <c r="AG118" s="22">
        <f t="shared" ref="AG118" si="157">AD118/AF118</f>
        <v>6.5288468724310642E-2</v>
      </c>
      <c r="AI118" s="6" t="s">
        <v>37</v>
      </c>
      <c r="AJ118" s="54">
        <v>1.85</v>
      </c>
      <c r="AK118" s="12">
        <v>109.75999999999999</v>
      </c>
      <c r="AL118" s="382">
        <f t="shared" si="148"/>
        <v>1.6854956268221578E-2</v>
      </c>
    </row>
    <row r="119" spans="1:38" x14ac:dyDescent="0.35">
      <c r="A119" s="116" t="s">
        <v>22</v>
      </c>
      <c r="B119" s="117">
        <f>B120</f>
        <v>383.46999999999986</v>
      </c>
      <c r="C119" s="117">
        <f t="shared" ref="C119:Y119" si="158">C120</f>
        <v>11.709999999999999</v>
      </c>
      <c r="D119" s="117">
        <f t="shared" si="158"/>
        <v>3.45</v>
      </c>
      <c r="E119" s="117">
        <f t="shared" si="158"/>
        <v>0.23</v>
      </c>
      <c r="F119" s="117">
        <f t="shared" si="158"/>
        <v>1.9300000000000002</v>
      </c>
      <c r="G119" s="117">
        <f t="shared" si="158"/>
        <v>0.82000000000000006</v>
      </c>
      <c r="H119" s="117">
        <f t="shared" si="158"/>
        <v>1.99</v>
      </c>
      <c r="I119" s="117">
        <f t="shared" si="158"/>
        <v>0</v>
      </c>
      <c r="J119" s="117">
        <f t="shared" si="158"/>
        <v>0</v>
      </c>
      <c r="K119" s="117">
        <f t="shared" si="158"/>
        <v>2.19</v>
      </c>
      <c r="L119" s="117">
        <f t="shared" si="158"/>
        <v>0.54</v>
      </c>
      <c r="M119" s="117">
        <f t="shared" si="158"/>
        <v>1.34</v>
      </c>
      <c r="N119" s="117">
        <f t="shared" si="158"/>
        <v>0</v>
      </c>
      <c r="O119" s="117">
        <f t="shared" si="158"/>
        <v>0</v>
      </c>
      <c r="P119" s="117">
        <f t="shared" si="158"/>
        <v>0.41</v>
      </c>
      <c r="Q119" s="117">
        <f t="shared" si="158"/>
        <v>18.59</v>
      </c>
      <c r="R119" s="117">
        <f t="shared" si="158"/>
        <v>1.9300000000000002</v>
      </c>
      <c r="S119" s="117">
        <f t="shared" si="158"/>
        <v>13.17</v>
      </c>
      <c r="T119" s="117">
        <f t="shared" si="158"/>
        <v>1.28</v>
      </c>
      <c r="U119" s="117">
        <f t="shared" si="158"/>
        <v>7.43</v>
      </c>
      <c r="V119" s="117">
        <f t="shared" si="158"/>
        <v>0</v>
      </c>
      <c r="W119" s="117">
        <f t="shared" si="158"/>
        <v>0</v>
      </c>
      <c r="X119" s="117">
        <f t="shared" si="158"/>
        <v>4.3600000000000003</v>
      </c>
      <c r="Y119" s="117">
        <f t="shared" si="158"/>
        <v>1.55</v>
      </c>
      <c r="Z119" s="117">
        <f t="shared" si="141"/>
        <v>456.38999999999987</v>
      </c>
      <c r="AA119" s="185">
        <f t="shared" si="137"/>
        <v>3.2303501014637949E-2</v>
      </c>
      <c r="AC119" s="117">
        <f t="shared" si="134"/>
        <v>443.04999999999984</v>
      </c>
      <c r="AD119" s="117">
        <f t="shared" si="135"/>
        <v>11.79</v>
      </c>
      <c r="AE119" s="117">
        <f t="shared" si="136"/>
        <v>1.55</v>
      </c>
      <c r="AF119" s="117">
        <f>SUM(AC119:AE119)</f>
        <v>456.38999999999987</v>
      </c>
      <c r="AG119" s="185">
        <f>AD119/AF119</f>
        <v>2.5833169000197206E-2</v>
      </c>
      <c r="AI119" s="6" t="s">
        <v>34</v>
      </c>
      <c r="AJ119" s="54">
        <v>1.3800000000000001</v>
      </c>
      <c r="AK119" s="12">
        <v>230.14000000000019</v>
      </c>
      <c r="AL119" s="382">
        <f t="shared" si="148"/>
        <v>5.9963500477969887E-3</v>
      </c>
    </row>
    <row r="120" spans="1:38" x14ac:dyDescent="0.35">
      <c r="A120" s="6" t="s">
        <v>22</v>
      </c>
      <c r="B120" s="12">
        <v>383.46999999999986</v>
      </c>
      <c r="C120" s="12">
        <v>11.709999999999999</v>
      </c>
      <c r="D120" s="12">
        <v>3.45</v>
      </c>
      <c r="E120" s="12">
        <v>0.23</v>
      </c>
      <c r="F120" s="12">
        <v>1.9300000000000002</v>
      </c>
      <c r="G120" s="12">
        <v>0.82000000000000006</v>
      </c>
      <c r="H120" s="12">
        <v>1.99</v>
      </c>
      <c r="I120" s="12"/>
      <c r="J120" s="12"/>
      <c r="K120" s="12">
        <v>2.19</v>
      </c>
      <c r="L120" s="12">
        <v>0.54</v>
      </c>
      <c r="M120" s="12">
        <v>1.34</v>
      </c>
      <c r="N120" s="12"/>
      <c r="O120" s="12"/>
      <c r="P120" s="12">
        <v>0.41</v>
      </c>
      <c r="Q120" s="12">
        <v>18.59</v>
      </c>
      <c r="R120" s="12">
        <v>1.9300000000000002</v>
      </c>
      <c r="S120" s="12">
        <v>13.17</v>
      </c>
      <c r="T120" s="12">
        <v>1.28</v>
      </c>
      <c r="U120" s="12">
        <v>7.43</v>
      </c>
      <c r="V120" s="12"/>
      <c r="W120" s="12"/>
      <c r="X120" s="12">
        <v>4.3600000000000003</v>
      </c>
      <c r="Y120" s="12">
        <v>1.55</v>
      </c>
      <c r="Z120" s="12">
        <f t="shared" si="141"/>
        <v>456.38999999999987</v>
      </c>
      <c r="AA120" s="22">
        <f t="shared" si="137"/>
        <v>3.2303501014637949E-2</v>
      </c>
      <c r="AC120" s="12">
        <f t="shared" si="134"/>
        <v>443.04999999999984</v>
      </c>
      <c r="AD120" s="12">
        <f t="shared" si="135"/>
        <v>11.79</v>
      </c>
      <c r="AE120" s="12">
        <f t="shared" si="136"/>
        <v>1.55</v>
      </c>
      <c r="AF120" s="12">
        <f t="shared" ref="AF120:AF121" si="159">SUM(AC120:AE120)</f>
        <v>456.38999999999987</v>
      </c>
      <c r="AG120" s="22">
        <f t="shared" ref="AG120" si="160">AD120/AF120</f>
        <v>2.5833169000197206E-2</v>
      </c>
    </row>
    <row r="121" spans="1:38" ht="15.5" x14ac:dyDescent="0.35">
      <c r="A121" s="179" t="s">
        <v>25</v>
      </c>
      <c r="B121" s="213">
        <f>SUM(B119,B117,B115,B111,B107,B104,B95)</f>
        <v>12753.780000000066</v>
      </c>
      <c r="C121" s="213">
        <f t="shared" ref="C121:AA121" si="161">SUM(C119,C117,C115,C111,C107,C104,C95)</f>
        <v>275.36</v>
      </c>
      <c r="D121" s="213">
        <f t="shared" si="161"/>
        <v>22.87</v>
      </c>
      <c r="E121" s="213">
        <f t="shared" si="161"/>
        <v>29.5</v>
      </c>
      <c r="F121" s="213">
        <f t="shared" si="161"/>
        <v>48.86</v>
      </c>
      <c r="G121" s="213">
        <f t="shared" si="161"/>
        <v>52.750000000000007</v>
      </c>
      <c r="H121" s="213">
        <f t="shared" si="161"/>
        <v>63.910000000000004</v>
      </c>
      <c r="I121" s="213">
        <f t="shared" si="161"/>
        <v>21.889999999999997</v>
      </c>
      <c r="J121" s="213">
        <f t="shared" si="161"/>
        <v>42.03</v>
      </c>
      <c r="K121" s="213">
        <f t="shared" si="161"/>
        <v>32.93</v>
      </c>
      <c r="L121" s="213">
        <f t="shared" si="161"/>
        <v>58.740000000000009</v>
      </c>
      <c r="M121" s="213">
        <f t="shared" si="161"/>
        <v>72.78</v>
      </c>
      <c r="N121" s="213">
        <f t="shared" si="161"/>
        <v>17.470000000000002</v>
      </c>
      <c r="O121" s="213">
        <f t="shared" si="161"/>
        <v>33.14</v>
      </c>
      <c r="P121" s="213">
        <f t="shared" si="161"/>
        <v>9.4299999999999979</v>
      </c>
      <c r="Q121" s="213">
        <f t="shared" si="161"/>
        <v>35.199999999999996</v>
      </c>
      <c r="R121" s="213">
        <f t="shared" si="161"/>
        <v>41.19</v>
      </c>
      <c r="S121" s="213">
        <f t="shared" si="161"/>
        <v>30.889999999999997</v>
      </c>
      <c r="T121" s="213">
        <f t="shared" si="161"/>
        <v>14.24</v>
      </c>
      <c r="U121" s="213">
        <f t="shared" si="161"/>
        <v>52.309999999999988</v>
      </c>
      <c r="V121" s="213">
        <f t="shared" si="161"/>
        <v>75.969999999999985</v>
      </c>
      <c r="W121" s="213">
        <f t="shared" si="161"/>
        <v>129.6</v>
      </c>
      <c r="X121" s="213">
        <f t="shared" si="161"/>
        <v>136.78</v>
      </c>
      <c r="Y121" s="213">
        <f t="shared" si="161"/>
        <v>76.570000000000007</v>
      </c>
      <c r="Z121" s="213">
        <f>SUM(B121:Y121)</f>
        <v>14128.190000000068</v>
      </c>
      <c r="AA121" s="213">
        <f t="shared" si="161"/>
        <v>1</v>
      </c>
      <c r="AC121" s="213">
        <f t="shared" si="134"/>
        <v>13656.960000000068</v>
      </c>
      <c r="AD121" s="213">
        <f t="shared" si="135"/>
        <v>394.65999999999997</v>
      </c>
      <c r="AE121" s="213">
        <f t="shared" si="136"/>
        <v>76.570000000000007</v>
      </c>
      <c r="AF121" s="213">
        <f t="shared" si="159"/>
        <v>14128.190000000068</v>
      </c>
      <c r="AG121" s="204">
        <f>AD121/AF121</f>
        <v>2.7934222288913024E-2</v>
      </c>
    </row>
    <row r="122" spans="1:38" x14ac:dyDescent="0.35">
      <c r="A122" s="378" t="s">
        <v>253</v>
      </c>
      <c r="B122" s="379"/>
      <c r="C122" s="379">
        <f>C121+B121</f>
        <v>13029.140000000067</v>
      </c>
      <c r="D122" s="379">
        <f>D121+C122</f>
        <v>13052.010000000068</v>
      </c>
      <c r="E122" s="379">
        <f>E121+D122</f>
        <v>13081.510000000068</v>
      </c>
      <c r="F122" s="379">
        <f t="shared" ref="F122:X122" si="162">F121+E122</f>
        <v>13130.370000000068</v>
      </c>
      <c r="G122" s="379">
        <f t="shared" si="162"/>
        <v>13183.120000000068</v>
      </c>
      <c r="H122" s="379">
        <f t="shared" si="162"/>
        <v>13247.030000000068</v>
      </c>
      <c r="I122" s="379">
        <f t="shared" si="162"/>
        <v>13268.920000000067</v>
      </c>
      <c r="J122" s="379">
        <f t="shared" si="162"/>
        <v>13310.950000000068</v>
      </c>
      <c r="K122" s="379">
        <f t="shared" si="162"/>
        <v>13343.880000000068</v>
      </c>
      <c r="L122" s="379">
        <f t="shared" si="162"/>
        <v>13402.620000000068</v>
      </c>
      <c r="M122" s="379">
        <f t="shared" si="162"/>
        <v>13475.400000000069</v>
      </c>
      <c r="N122" s="379">
        <f t="shared" si="162"/>
        <v>13492.870000000068</v>
      </c>
      <c r="O122" s="379">
        <f t="shared" si="162"/>
        <v>13526.010000000068</v>
      </c>
      <c r="P122" s="379">
        <f t="shared" si="162"/>
        <v>13535.440000000068</v>
      </c>
      <c r="Q122" s="379">
        <f t="shared" si="162"/>
        <v>13570.640000000069</v>
      </c>
      <c r="R122" s="379">
        <f t="shared" si="162"/>
        <v>13611.830000000069</v>
      </c>
      <c r="S122" s="379">
        <f t="shared" si="162"/>
        <v>13642.720000000068</v>
      </c>
      <c r="T122" s="379">
        <f t="shared" si="162"/>
        <v>13656.960000000068</v>
      </c>
      <c r="U122" s="379">
        <f t="shared" si="162"/>
        <v>13709.270000000068</v>
      </c>
      <c r="V122" s="379">
        <f t="shared" si="162"/>
        <v>13785.240000000067</v>
      </c>
      <c r="W122" s="379">
        <f t="shared" si="162"/>
        <v>13914.840000000067</v>
      </c>
      <c r="X122" s="379">
        <f t="shared" si="162"/>
        <v>14051.620000000068</v>
      </c>
    </row>
    <row r="123" spans="1:38" x14ac:dyDescent="0.35">
      <c r="A123" s="380" t="s">
        <v>254</v>
      </c>
      <c r="B123" s="379"/>
      <c r="C123" s="381"/>
      <c r="D123" s="381">
        <f>D122/C122-1</f>
        <v>1.7552962052753696E-3</v>
      </c>
      <c r="E123" s="381">
        <f t="shared" ref="E123:X123" si="163">E122/D122-1</f>
        <v>2.2601882775143967E-3</v>
      </c>
      <c r="F123" s="381">
        <f t="shared" si="163"/>
        <v>3.7350428199802721E-3</v>
      </c>
      <c r="G123" s="381">
        <f t="shared" si="163"/>
        <v>4.0174039269267325E-3</v>
      </c>
      <c r="H123" s="381">
        <f t="shared" si="163"/>
        <v>4.8478660590209888E-3</v>
      </c>
      <c r="I123" s="381">
        <f t="shared" si="163"/>
        <v>1.6524458689985977E-3</v>
      </c>
      <c r="J123" s="381">
        <f t="shared" si="163"/>
        <v>3.1675524458660842E-3</v>
      </c>
      <c r="K123" s="381">
        <f t="shared" si="163"/>
        <v>2.4739030647700222E-3</v>
      </c>
      <c r="L123" s="381">
        <f t="shared" si="163"/>
        <v>4.4020180037589451E-3</v>
      </c>
      <c r="M123" s="381">
        <f t="shared" si="163"/>
        <v>5.4302815419671191E-3</v>
      </c>
      <c r="N123" s="381">
        <f t="shared" si="163"/>
        <v>1.2964364694183494E-3</v>
      </c>
      <c r="O123" s="381">
        <f t="shared" si="163"/>
        <v>2.4561120058221864E-3</v>
      </c>
      <c r="P123" s="381">
        <f t="shared" si="163"/>
        <v>6.9717529411850165E-4</v>
      </c>
      <c r="Q123" s="381">
        <f t="shared" si="163"/>
        <v>2.6005804022626311E-3</v>
      </c>
      <c r="R123" s="381">
        <f t="shared" si="163"/>
        <v>3.0352289943584854E-3</v>
      </c>
      <c r="S123" s="381">
        <f t="shared" si="163"/>
        <v>2.269349529049336E-3</v>
      </c>
      <c r="T123" s="381">
        <f t="shared" si="163"/>
        <v>1.0437801259572943E-3</v>
      </c>
      <c r="U123" s="381">
        <f t="shared" si="163"/>
        <v>3.8302814096256022E-3</v>
      </c>
      <c r="V123" s="381">
        <f t="shared" si="163"/>
        <v>5.5415058569856512E-3</v>
      </c>
      <c r="W123" s="381">
        <f t="shared" si="163"/>
        <v>9.4013597151736406E-3</v>
      </c>
      <c r="X123" s="381">
        <f t="shared" si="163"/>
        <v>9.8297932279494127E-3</v>
      </c>
    </row>
    <row r="124" spans="1:38" ht="15.5" x14ac:dyDescent="0.35">
      <c r="A124" s="179" t="s">
        <v>99</v>
      </c>
      <c r="B124" s="122" t="s">
        <v>100</v>
      </c>
      <c r="C124" s="122">
        <v>2000</v>
      </c>
      <c r="D124" s="122">
        <v>2001</v>
      </c>
      <c r="E124" s="122">
        <v>2002</v>
      </c>
      <c r="F124" s="122">
        <v>2003</v>
      </c>
      <c r="G124" s="122">
        <v>2004</v>
      </c>
      <c r="H124" s="122">
        <v>2005</v>
      </c>
      <c r="I124" s="122">
        <v>2006</v>
      </c>
      <c r="J124" s="122">
        <v>2007</v>
      </c>
      <c r="K124" s="122">
        <v>2008</v>
      </c>
      <c r="L124" s="122">
        <v>2009</v>
      </c>
      <c r="M124" s="122">
        <v>2010</v>
      </c>
      <c r="N124" s="122">
        <v>2011</v>
      </c>
      <c r="O124" s="122">
        <v>2012</v>
      </c>
      <c r="P124" s="122">
        <v>2013</v>
      </c>
      <c r="Q124" s="122">
        <v>2014</v>
      </c>
      <c r="R124" s="122">
        <v>2015</v>
      </c>
      <c r="S124" s="122">
        <v>2016</v>
      </c>
      <c r="T124" s="122">
        <v>2017</v>
      </c>
      <c r="U124" s="122">
        <v>2018</v>
      </c>
      <c r="V124" s="122">
        <v>2019</v>
      </c>
      <c r="W124" s="122">
        <v>2020</v>
      </c>
      <c r="X124" s="123">
        <v>2021</v>
      </c>
      <c r="Y124" s="123" t="s">
        <v>90</v>
      </c>
    </row>
    <row r="125" spans="1:38" x14ac:dyDescent="0.35">
      <c r="A125" s="116" t="s">
        <v>5</v>
      </c>
      <c r="B125" s="22">
        <f t="shared" ref="B125:Y125" si="164">B95/$Z$95</f>
        <v>0.80453934187776155</v>
      </c>
      <c r="C125" s="22">
        <f t="shared" si="164"/>
        <v>1.1183686911655734E-2</v>
      </c>
      <c r="D125" s="22">
        <f t="shared" si="164"/>
        <v>0</v>
      </c>
      <c r="E125" s="22">
        <f t="shared" si="164"/>
        <v>0</v>
      </c>
      <c r="F125" s="22">
        <f t="shared" si="164"/>
        <v>3.0189093503855968E-4</v>
      </c>
      <c r="G125" s="22">
        <f t="shared" si="164"/>
        <v>4.5695309712654713E-3</v>
      </c>
      <c r="H125" s="22">
        <f t="shared" si="164"/>
        <v>1.8525125559184343E-3</v>
      </c>
      <c r="I125" s="22">
        <f t="shared" si="164"/>
        <v>0</v>
      </c>
      <c r="J125" s="22">
        <f t="shared" si="164"/>
        <v>2.8816861980953421E-4</v>
      </c>
      <c r="K125" s="22">
        <f t="shared" si="164"/>
        <v>0</v>
      </c>
      <c r="L125" s="22">
        <f t="shared" si="164"/>
        <v>9.0430057359277647E-3</v>
      </c>
      <c r="M125" s="22">
        <f t="shared" si="164"/>
        <v>1.206191508631336E-2</v>
      </c>
      <c r="N125" s="22">
        <f t="shared" si="164"/>
        <v>0</v>
      </c>
      <c r="O125" s="22">
        <f t="shared" si="164"/>
        <v>0</v>
      </c>
      <c r="P125" s="22">
        <f t="shared" si="164"/>
        <v>0</v>
      </c>
      <c r="Q125" s="22">
        <f t="shared" si="164"/>
        <v>2.0583472843538158E-4</v>
      </c>
      <c r="R125" s="22">
        <f t="shared" si="164"/>
        <v>6.147597222603397E-3</v>
      </c>
      <c r="S125" s="22">
        <f t="shared" si="164"/>
        <v>4.048082992562505E-3</v>
      </c>
      <c r="T125" s="22">
        <f t="shared" si="164"/>
        <v>6.7239344622224652E-4</v>
      </c>
      <c r="U125" s="22">
        <f t="shared" si="164"/>
        <v>3.1561325026758509E-3</v>
      </c>
      <c r="V125" s="22">
        <f t="shared" si="164"/>
        <v>5.7496500809616586E-3</v>
      </c>
      <c r="W125" s="22">
        <f t="shared" si="164"/>
        <v>2.6923182479347912E-2</v>
      </c>
      <c r="X125" s="22">
        <f t="shared" si="164"/>
        <v>0.10901007217937808</v>
      </c>
      <c r="Y125" s="384">
        <f t="shared" si="164"/>
        <v>2.4700167412245789E-4</v>
      </c>
    </row>
    <row r="126" spans="1:38" x14ac:dyDescent="0.35">
      <c r="A126" s="116" t="s">
        <v>15</v>
      </c>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1:38" x14ac:dyDescent="0.35">
      <c r="A127" s="116" t="s">
        <v>13</v>
      </c>
      <c r="B127" s="22">
        <f t="shared" ref="B127:Y127" si="165">B107/$Z$107</f>
        <v>0.94818608885848099</v>
      </c>
      <c r="C127" s="22">
        <f t="shared" si="165"/>
        <v>1.7485898686032154E-2</v>
      </c>
      <c r="D127" s="22">
        <f t="shared" si="165"/>
        <v>4.8081844187887837E-4</v>
      </c>
      <c r="E127" s="22">
        <f t="shared" si="165"/>
        <v>1.1003604118068448E-3</v>
      </c>
      <c r="F127" s="22">
        <f t="shared" si="165"/>
        <v>1.8990308208661583E-4</v>
      </c>
      <c r="G127" s="22">
        <f t="shared" si="165"/>
        <v>8.2156652533925986E-4</v>
      </c>
      <c r="H127" s="22">
        <f t="shared" si="165"/>
        <v>2.5374284159658455E-3</v>
      </c>
      <c r="I127" s="22">
        <f t="shared" si="165"/>
        <v>8.5658411494388402E-4</v>
      </c>
      <c r="J127" s="22">
        <f t="shared" si="165"/>
        <v>8.4715630235802377E-4</v>
      </c>
      <c r="K127" s="22">
        <f t="shared" si="165"/>
        <v>1.0639959918328121E-3</v>
      </c>
      <c r="L127" s="22">
        <f t="shared" si="165"/>
        <v>7.569186676076459E-4</v>
      </c>
      <c r="M127" s="22">
        <f t="shared" si="165"/>
        <v>1.295650815371095E-3</v>
      </c>
      <c r="N127" s="22">
        <f t="shared" si="165"/>
        <v>4.3502620931898514E-4</v>
      </c>
      <c r="O127" s="22">
        <f t="shared" si="165"/>
        <v>2.7717769002429454E-3</v>
      </c>
      <c r="P127" s="22">
        <f t="shared" si="165"/>
        <v>2.2896116279946588E-4</v>
      </c>
      <c r="Q127" s="22">
        <f t="shared" si="165"/>
        <v>9.8722666077652043E-4</v>
      </c>
      <c r="R127" s="22">
        <f t="shared" si="165"/>
        <v>1.1219096977173827E-3</v>
      </c>
      <c r="S127" s="22">
        <f t="shared" si="165"/>
        <v>5.7509656773748201E-4</v>
      </c>
      <c r="T127" s="22">
        <f t="shared" si="165"/>
        <v>6.1550147881974065E-4</v>
      </c>
      <c r="U127" s="22">
        <f t="shared" si="165"/>
        <v>1.2121473324677606E-3</v>
      </c>
      <c r="V127" s="22">
        <f t="shared" si="165"/>
        <v>3.0155531971059061E-3</v>
      </c>
      <c r="W127" s="22">
        <f t="shared" si="165"/>
        <v>1.2902634938934607E-3</v>
      </c>
      <c r="X127" s="22">
        <f t="shared" si="165"/>
        <v>3.1057908318562846E-3</v>
      </c>
      <c r="Y127" s="383">
        <f t="shared" si="165"/>
        <v>9.0183761535601401E-3</v>
      </c>
    </row>
    <row r="128" spans="1:38" x14ac:dyDescent="0.35">
      <c r="A128" s="116" t="s">
        <v>14</v>
      </c>
      <c r="B128" s="22">
        <f t="shared" ref="B128:Y128" si="166">B111/$Z$111</f>
        <v>0.90647366876794933</v>
      </c>
      <c r="C128" s="22">
        <f t="shared" si="166"/>
        <v>1.2207591290199224E-2</v>
      </c>
      <c r="D128" s="22">
        <f t="shared" si="166"/>
        <v>2.815540598613562E-3</v>
      </c>
      <c r="E128" s="22">
        <f t="shared" si="166"/>
        <v>2.2613236597285769E-3</v>
      </c>
      <c r="F128" s="22">
        <f t="shared" si="166"/>
        <v>1.9560597842999483E-3</v>
      </c>
      <c r="G128" s="22">
        <f t="shared" si="166"/>
        <v>2.3709815567272102E-3</v>
      </c>
      <c r="H128" s="22">
        <f t="shared" si="166"/>
        <v>3.6750214129271765E-3</v>
      </c>
      <c r="I128" s="22">
        <f t="shared" si="166"/>
        <v>4.4930100499980625E-3</v>
      </c>
      <c r="J128" s="22">
        <f t="shared" si="166"/>
        <v>5.8207597217653012E-3</v>
      </c>
      <c r="K128" s="22">
        <f t="shared" si="166"/>
        <v>4.6382326703476055E-3</v>
      </c>
      <c r="L128" s="22">
        <f t="shared" si="166"/>
        <v>6.861027879779367E-3</v>
      </c>
      <c r="M128" s="22">
        <f t="shared" si="166"/>
        <v>8.5799895084065908E-3</v>
      </c>
      <c r="N128" s="22">
        <f t="shared" si="166"/>
        <v>3.4853428883889993E-3</v>
      </c>
      <c r="O128" s="22">
        <f t="shared" si="166"/>
        <v>1.9086401531654036E-3</v>
      </c>
      <c r="P128" s="22">
        <f t="shared" si="166"/>
        <v>2.1161010393790348E-3</v>
      </c>
      <c r="Q128" s="22">
        <f t="shared" si="166"/>
        <v>2.0301529579476734E-3</v>
      </c>
      <c r="R128" s="22">
        <f t="shared" si="166"/>
        <v>3.6335292356844493E-3</v>
      </c>
      <c r="S128" s="22">
        <f t="shared" si="166"/>
        <v>1.9501323304081301E-3</v>
      </c>
      <c r="T128" s="22">
        <f t="shared" si="166"/>
        <v>9.0097299155633974E-4</v>
      </c>
      <c r="U128" s="22">
        <f t="shared" si="166"/>
        <v>1.3810967567935999E-3</v>
      </c>
      <c r="V128" s="22">
        <f t="shared" si="166"/>
        <v>4.9849887230189582E-3</v>
      </c>
      <c r="W128" s="22">
        <f t="shared" si="166"/>
        <v>8.1413579204120592E-3</v>
      </c>
      <c r="X128" s="22">
        <f t="shared" si="166"/>
        <v>7.2789133791525355E-3</v>
      </c>
      <c r="Y128" s="22">
        <f t="shared" si="166"/>
        <v>3.556472335090815E-5</v>
      </c>
    </row>
    <row r="129" spans="1:33" x14ac:dyDescent="0.35">
      <c r="A129" s="116" t="s">
        <v>17</v>
      </c>
      <c r="B129" s="22">
        <f t="shared" ref="B129:Y129" si="167">B115/$Z$115</f>
        <v>1</v>
      </c>
      <c r="C129" s="22">
        <f t="shared" si="167"/>
        <v>0</v>
      </c>
      <c r="D129" s="22">
        <f t="shared" si="167"/>
        <v>0</v>
      </c>
      <c r="E129" s="22">
        <f t="shared" si="167"/>
        <v>0</v>
      </c>
      <c r="F129" s="22">
        <f t="shared" si="167"/>
        <v>0</v>
      </c>
      <c r="G129" s="22">
        <f t="shared" si="167"/>
        <v>0</v>
      </c>
      <c r="H129" s="22">
        <f t="shared" si="167"/>
        <v>0</v>
      </c>
      <c r="I129" s="22">
        <f t="shared" si="167"/>
        <v>0</v>
      </c>
      <c r="J129" s="22">
        <f t="shared" si="167"/>
        <v>0</v>
      </c>
      <c r="K129" s="22">
        <f t="shared" si="167"/>
        <v>0</v>
      </c>
      <c r="L129" s="22">
        <f t="shared" si="167"/>
        <v>0</v>
      </c>
      <c r="M129" s="22">
        <f t="shared" si="167"/>
        <v>0</v>
      </c>
      <c r="N129" s="22">
        <f t="shared" si="167"/>
        <v>0</v>
      </c>
      <c r="O129" s="22">
        <f t="shared" si="167"/>
        <v>0</v>
      </c>
      <c r="P129" s="22">
        <f t="shared" si="167"/>
        <v>0</v>
      </c>
      <c r="Q129" s="22">
        <f t="shared" si="167"/>
        <v>0</v>
      </c>
      <c r="R129" s="22">
        <f t="shared" si="167"/>
        <v>0</v>
      </c>
      <c r="S129" s="22">
        <f t="shared" si="167"/>
        <v>0</v>
      </c>
      <c r="T129" s="22">
        <f t="shared" si="167"/>
        <v>0</v>
      </c>
      <c r="U129" s="22">
        <f t="shared" si="167"/>
        <v>0</v>
      </c>
      <c r="V129" s="22">
        <f t="shared" si="167"/>
        <v>0</v>
      </c>
      <c r="W129" s="22">
        <f t="shared" si="167"/>
        <v>0</v>
      </c>
      <c r="X129" s="22">
        <f t="shared" si="167"/>
        <v>0</v>
      </c>
      <c r="Y129" s="22">
        <f t="shared" si="167"/>
        <v>0</v>
      </c>
    </row>
    <row r="130" spans="1:33" x14ac:dyDescent="0.35">
      <c r="A130" s="116" t="s">
        <v>18</v>
      </c>
      <c r="B130" s="22">
        <f t="shared" ref="B130:Y130" si="168">B117/$Z$117</f>
        <v>0.78571762200134487</v>
      </c>
      <c r="C130" s="22">
        <f t="shared" si="168"/>
        <v>3.9458934309842354E-2</v>
      </c>
      <c r="D130" s="22">
        <f t="shared" si="168"/>
        <v>2.9659591958747507E-3</v>
      </c>
      <c r="E130" s="22">
        <f t="shared" si="168"/>
        <v>6.291570136761084E-3</v>
      </c>
      <c r="F130" s="22">
        <f t="shared" si="168"/>
        <v>1.807600328824454E-2</v>
      </c>
      <c r="G130" s="22">
        <f t="shared" si="168"/>
        <v>1.6114266497272267E-2</v>
      </c>
      <c r="H130" s="22">
        <f t="shared" si="168"/>
        <v>1.369946192362306E-2</v>
      </c>
      <c r="I130" s="22">
        <f t="shared" si="168"/>
        <v>1.7281966968089095E-4</v>
      </c>
      <c r="J130" s="22">
        <f t="shared" si="168"/>
        <v>7.4219041925117756E-3</v>
      </c>
      <c r="K130" s="22">
        <f t="shared" si="168"/>
        <v>3.3583065540692052E-3</v>
      </c>
      <c r="L130" s="22">
        <f t="shared" si="168"/>
        <v>1.0668111501382567E-2</v>
      </c>
      <c r="M130" s="22">
        <f t="shared" si="168"/>
        <v>1.1247290934907716E-2</v>
      </c>
      <c r="N130" s="22">
        <f t="shared" si="168"/>
        <v>1.1583588670502961E-3</v>
      </c>
      <c r="O130" s="22">
        <f t="shared" si="168"/>
        <v>2.8585307525596021E-3</v>
      </c>
      <c r="P130" s="22">
        <f t="shared" si="168"/>
        <v>8.4074433898811813E-5</v>
      </c>
      <c r="Q130" s="22">
        <f t="shared" si="168"/>
        <v>1.0649428293849498E-3</v>
      </c>
      <c r="R130" s="22">
        <f t="shared" si="168"/>
        <v>6.6278678723563304E-3</v>
      </c>
      <c r="S130" s="22">
        <f t="shared" si="168"/>
        <v>1.8309543382407907E-3</v>
      </c>
      <c r="T130" s="22">
        <f t="shared" si="168"/>
        <v>2.270009715267919E-3</v>
      </c>
      <c r="U130" s="22">
        <f t="shared" si="168"/>
        <v>1.3507959046409099E-2</v>
      </c>
      <c r="V130" s="22">
        <f t="shared" si="168"/>
        <v>1.5212801733801668E-2</v>
      </c>
      <c r="W130" s="22">
        <f t="shared" si="168"/>
        <v>3.4064158134668586E-2</v>
      </c>
      <c r="X130" s="22">
        <f t="shared" si="168"/>
        <v>2.5035498094312853E-3</v>
      </c>
      <c r="Y130" s="383">
        <f t="shared" si="168"/>
        <v>3.6245422614154411E-3</v>
      </c>
    </row>
    <row r="131" spans="1:33" x14ac:dyDescent="0.35">
      <c r="A131" s="116" t="s">
        <v>22</v>
      </c>
      <c r="B131" s="22">
        <f t="shared" ref="B131:Y131" si="169">B119/$Z$119</f>
        <v>0.8402243695085343</v>
      </c>
      <c r="C131" s="22">
        <f t="shared" si="169"/>
        <v>2.5657880321654732E-2</v>
      </c>
      <c r="D131" s="22">
        <f t="shared" si="169"/>
        <v>7.5593242621442213E-3</v>
      </c>
      <c r="E131" s="22">
        <f t="shared" si="169"/>
        <v>5.0395495080961478E-4</v>
      </c>
      <c r="F131" s="22">
        <f t="shared" si="169"/>
        <v>4.2288393698372024E-3</v>
      </c>
      <c r="G131" s="22">
        <f t="shared" si="169"/>
        <v>1.7967089550603656E-3</v>
      </c>
      <c r="H131" s="22">
        <f t="shared" si="169"/>
        <v>4.3603058787440576E-3</v>
      </c>
      <c r="I131" s="22">
        <f t="shared" si="169"/>
        <v>0</v>
      </c>
      <c r="J131" s="22">
        <f t="shared" si="169"/>
        <v>0</v>
      </c>
      <c r="K131" s="22">
        <f t="shared" si="169"/>
        <v>4.7985275751002447E-3</v>
      </c>
      <c r="L131" s="22">
        <f t="shared" si="169"/>
        <v>1.1831985801617042E-3</v>
      </c>
      <c r="M131" s="22">
        <f t="shared" si="169"/>
        <v>2.936085365586451E-3</v>
      </c>
      <c r="N131" s="22">
        <f t="shared" si="169"/>
        <v>0</v>
      </c>
      <c r="O131" s="22">
        <f t="shared" si="169"/>
        <v>0</v>
      </c>
      <c r="P131" s="22">
        <f t="shared" si="169"/>
        <v>8.9835447753018269E-4</v>
      </c>
      <c r="Q131" s="22">
        <f t="shared" si="169"/>
        <v>4.0732706676307552E-2</v>
      </c>
      <c r="R131" s="22">
        <f t="shared" si="169"/>
        <v>4.2288393698372024E-3</v>
      </c>
      <c r="S131" s="22">
        <f t="shared" si="169"/>
        <v>2.8856898705054895E-2</v>
      </c>
      <c r="T131" s="22">
        <f t="shared" si="169"/>
        <v>2.8046188566795949E-3</v>
      </c>
      <c r="U131" s="22">
        <f t="shared" si="169"/>
        <v>1.6279936019632336E-2</v>
      </c>
      <c r="V131" s="22">
        <f t="shared" si="169"/>
        <v>0</v>
      </c>
      <c r="W131" s="22">
        <f t="shared" si="169"/>
        <v>0</v>
      </c>
      <c r="X131" s="22">
        <f t="shared" si="169"/>
        <v>9.5532329805648707E-3</v>
      </c>
      <c r="Y131" s="383">
        <f t="shared" si="169"/>
        <v>3.396218146760447E-3</v>
      </c>
    </row>
    <row r="132" spans="1:33" x14ac:dyDescent="0.35">
      <c r="A132" s="116" t="s">
        <v>25</v>
      </c>
      <c r="B132" s="22">
        <f t="shared" ref="B132:Y132" si="170">B121/$Z$121</f>
        <v>0.90271860726674857</v>
      </c>
      <c r="C132" s="22">
        <f t="shared" si="170"/>
        <v>1.9490111613731036E-2</v>
      </c>
      <c r="D132" s="22">
        <f t="shared" si="170"/>
        <v>1.6187494647226495E-3</v>
      </c>
      <c r="E132" s="22">
        <f t="shared" si="170"/>
        <v>2.08802401439957E-3</v>
      </c>
      <c r="F132" s="22">
        <f t="shared" si="170"/>
        <v>3.4583340116462026E-3</v>
      </c>
      <c r="G132" s="22">
        <f t="shared" si="170"/>
        <v>3.7336700596466888E-3</v>
      </c>
      <c r="H132" s="22">
        <f t="shared" si="170"/>
        <v>4.5235801613653058E-3</v>
      </c>
      <c r="I132" s="22">
        <f t="shared" si="170"/>
        <v>1.5493845991595449E-3</v>
      </c>
      <c r="J132" s="22">
        <f t="shared" si="170"/>
        <v>2.9749033669564042E-3</v>
      </c>
      <c r="K132" s="22">
        <f t="shared" si="170"/>
        <v>2.330801043870435E-3</v>
      </c>
      <c r="L132" s="22">
        <f t="shared" si="170"/>
        <v>4.157645105282398E-3</v>
      </c>
      <c r="M132" s="22">
        <f t="shared" si="170"/>
        <v>5.1514029751864639E-3</v>
      </c>
      <c r="N132" s="22">
        <f t="shared" si="170"/>
        <v>1.2365348993749318E-3</v>
      </c>
      <c r="O132" s="22">
        <f t="shared" si="170"/>
        <v>2.3456649436339573E-3</v>
      </c>
      <c r="P132" s="22">
        <f t="shared" si="170"/>
        <v>6.6745987985721825E-4</v>
      </c>
      <c r="Q132" s="22">
        <f t="shared" si="170"/>
        <v>2.4914727222666052E-3</v>
      </c>
      <c r="R132" s="22">
        <f t="shared" si="170"/>
        <v>2.9154477679023145E-3</v>
      </c>
      <c r="S132" s="22">
        <f t="shared" si="170"/>
        <v>2.1864088747390749E-3</v>
      </c>
      <c r="T132" s="22">
        <f t="shared" si="170"/>
        <v>1.007913964916945E-3</v>
      </c>
      <c r="U132" s="22">
        <f t="shared" si="170"/>
        <v>3.702526650618355E-3</v>
      </c>
      <c r="V132" s="22">
        <f t="shared" si="170"/>
        <v>5.3771926906418738E-3</v>
      </c>
      <c r="W132" s="22">
        <f t="shared" si="170"/>
        <v>9.1731495683452288E-3</v>
      </c>
      <c r="X132" s="22">
        <f t="shared" si="170"/>
        <v>9.6813533793075647E-3</v>
      </c>
      <c r="Y132" s="22">
        <f t="shared" si="170"/>
        <v>5.419660975680511E-3</v>
      </c>
    </row>
    <row r="137" spans="1:33" ht="15" x14ac:dyDescent="0.35">
      <c r="A137" s="284" t="s">
        <v>79</v>
      </c>
    </row>
    <row r="138" spans="1:33" ht="15.5" x14ac:dyDescent="0.35">
      <c r="A138" s="290" t="s">
        <v>109</v>
      </c>
    </row>
    <row r="140" spans="1:33" ht="52" x14ac:dyDescent="0.35">
      <c r="A140" s="214" t="s">
        <v>88</v>
      </c>
      <c r="B140" s="198" t="s">
        <v>89</v>
      </c>
      <c r="C140" s="198">
        <v>2000</v>
      </c>
      <c r="D140" s="198">
        <v>2001</v>
      </c>
      <c r="E140" s="198">
        <v>2002</v>
      </c>
      <c r="F140" s="198">
        <v>2003</v>
      </c>
      <c r="G140" s="198">
        <v>2004</v>
      </c>
      <c r="H140" s="198">
        <v>2005</v>
      </c>
      <c r="I140" s="198">
        <v>2006</v>
      </c>
      <c r="J140" s="198">
        <v>2007</v>
      </c>
      <c r="K140" s="198">
        <v>2008</v>
      </c>
      <c r="L140" s="198">
        <v>2009</v>
      </c>
      <c r="M140" s="198">
        <v>2010</v>
      </c>
      <c r="N140" s="198">
        <v>2011</v>
      </c>
      <c r="O140" s="198">
        <v>2012</v>
      </c>
      <c r="P140" s="198">
        <v>2013</v>
      </c>
      <c r="Q140" s="198">
        <v>2014</v>
      </c>
      <c r="R140" s="198">
        <v>2015</v>
      </c>
      <c r="S140" s="198">
        <v>2016</v>
      </c>
      <c r="T140" s="198">
        <v>2017</v>
      </c>
      <c r="U140" s="198">
        <v>2018</v>
      </c>
      <c r="V140" s="198">
        <v>2019</v>
      </c>
      <c r="W140" s="198">
        <v>2020</v>
      </c>
      <c r="X140" s="198">
        <v>2021</v>
      </c>
      <c r="Y140" s="198" t="s">
        <v>90</v>
      </c>
      <c r="Z140" s="198" t="s">
        <v>91</v>
      </c>
      <c r="AA140" s="199" t="s">
        <v>92</v>
      </c>
      <c r="AC140" s="127" t="s">
        <v>110</v>
      </c>
      <c r="AD140" s="127" t="s">
        <v>108</v>
      </c>
      <c r="AE140" s="127" t="s">
        <v>94</v>
      </c>
      <c r="AF140" s="127" t="s">
        <v>96</v>
      </c>
      <c r="AG140" s="127" t="s">
        <v>97</v>
      </c>
    </row>
    <row r="141" spans="1:33" x14ac:dyDescent="0.35">
      <c r="A141" s="11" t="s">
        <v>5</v>
      </c>
      <c r="B141" s="119"/>
      <c r="C141" s="119">
        <f t="shared" ref="C141:K141" si="171">SUM(C142:C147)</f>
        <v>2.81</v>
      </c>
      <c r="D141" s="119"/>
      <c r="E141" s="119"/>
      <c r="F141" s="119"/>
      <c r="G141" s="119"/>
      <c r="H141" s="119">
        <f t="shared" si="171"/>
        <v>0.85</v>
      </c>
      <c r="I141" s="119"/>
      <c r="J141" s="119">
        <f t="shared" si="171"/>
        <v>0.38</v>
      </c>
      <c r="K141" s="119">
        <f t="shared" si="171"/>
        <v>0.61</v>
      </c>
      <c r="L141" s="119"/>
      <c r="M141" s="119"/>
      <c r="N141" s="119"/>
      <c r="O141" s="119"/>
      <c r="P141" s="119"/>
      <c r="Q141" s="119"/>
      <c r="R141" s="119"/>
      <c r="S141" s="119"/>
      <c r="T141" s="119"/>
      <c r="U141" s="119"/>
      <c r="V141" s="119"/>
      <c r="W141" s="119"/>
      <c r="X141" s="119"/>
      <c r="Y141" s="119"/>
      <c r="Z141" s="119">
        <f>SUM(B141:Y141)</f>
        <v>4.6500000000000004</v>
      </c>
      <c r="AA141" s="143">
        <f>Z141/$Z$162</f>
        <v>7.2874874623871638E-3</v>
      </c>
      <c r="AC141" s="119">
        <f>SUM(B141:U141)</f>
        <v>4.6500000000000004</v>
      </c>
      <c r="AD141" s="119">
        <f>SUM(V141:X141)</f>
        <v>0</v>
      </c>
      <c r="AE141" s="119">
        <f>Y141</f>
        <v>0</v>
      </c>
      <c r="AF141" s="119">
        <f t="shared" ref="AF141:AF162" si="172">SUM(AC141:AE141)</f>
        <v>4.6500000000000004</v>
      </c>
      <c r="AG141" s="143">
        <f>AD141/AF141</f>
        <v>0</v>
      </c>
    </row>
    <row r="142" spans="1:33" x14ac:dyDescent="0.35">
      <c r="A142" s="6" t="s">
        <v>6</v>
      </c>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f>SUM(B142:Y142)</f>
        <v>0</v>
      </c>
      <c r="AA142" s="24">
        <f>Z142/$Z$162</f>
        <v>0</v>
      </c>
      <c r="AC142" s="12">
        <f>SUM(B142:U142)</f>
        <v>0</v>
      </c>
      <c r="AD142" s="12">
        <f>SUM(V142:X142)</f>
        <v>0</v>
      </c>
      <c r="AE142" s="12">
        <f>Y142</f>
        <v>0</v>
      </c>
      <c r="AF142" s="12">
        <f t="shared" si="172"/>
        <v>0</v>
      </c>
      <c r="AG142" s="22"/>
    </row>
    <row r="143" spans="1:33" x14ac:dyDescent="0.35">
      <c r="A143" s="6" t="s">
        <v>7</v>
      </c>
      <c r="B143" s="12"/>
      <c r="C143" s="12">
        <v>2.81</v>
      </c>
      <c r="D143" s="12"/>
      <c r="E143" s="12"/>
      <c r="F143" s="12"/>
      <c r="G143" s="12"/>
      <c r="H143" s="12"/>
      <c r="I143" s="12"/>
      <c r="J143" s="12">
        <v>0.19</v>
      </c>
      <c r="K143" s="12"/>
      <c r="L143" s="12"/>
      <c r="M143" s="12"/>
      <c r="N143" s="12"/>
      <c r="O143" s="12"/>
      <c r="P143" s="12"/>
      <c r="Q143" s="12"/>
      <c r="R143" s="12"/>
      <c r="S143" s="12"/>
      <c r="T143" s="12"/>
      <c r="U143" s="12"/>
      <c r="V143" s="12"/>
      <c r="W143" s="12"/>
      <c r="X143" s="12"/>
      <c r="Y143" s="12"/>
      <c r="Z143" s="12">
        <f t="shared" ref="Z143:Z161" si="173">SUM(B143:Y143)</f>
        <v>3</v>
      </c>
      <c r="AA143" s="24">
        <f t="shared" ref="AA143:AA161" si="174">Z143/$Z$162</f>
        <v>4.7016048144433312E-3</v>
      </c>
      <c r="AC143" s="12">
        <f t="shared" ref="AC143:AC147" si="175">SUM(B143:U143)</f>
        <v>3</v>
      </c>
      <c r="AD143" s="12">
        <f t="shared" ref="AD143:AD147" si="176">SUM(V143:X143)</f>
        <v>0</v>
      </c>
      <c r="AE143" s="12">
        <f t="shared" ref="AE143:AE147" si="177">Y143</f>
        <v>0</v>
      </c>
      <c r="AF143" s="12">
        <f t="shared" si="172"/>
        <v>3</v>
      </c>
      <c r="AG143" s="22">
        <f t="shared" ref="AG143:AG147" si="178">AD143/AF143</f>
        <v>0</v>
      </c>
    </row>
    <row r="144" spans="1:33" x14ac:dyDescent="0.35">
      <c r="A144" s="6" t="s">
        <v>8</v>
      </c>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f t="shared" si="173"/>
        <v>0</v>
      </c>
      <c r="AA144" s="24">
        <f t="shared" si="174"/>
        <v>0</v>
      </c>
      <c r="AC144" s="12">
        <f t="shared" si="175"/>
        <v>0</v>
      </c>
      <c r="AD144" s="12">
        <f t="shared" si="176"/>
        <v>0</v>
      </c>
      <c r="AE144" s="12">
        <f t="shared" si="177"/>
        <v>0</v>
      </c>
      <c r="AF144" s="12">
        <f t="shared" si="172"/>
        <v>0</v>
      </c>
      <c r="AG144" s="22"/>
    </row>
    <row r="145" spans="1:43" x14ac:dyDescent="0.35">
      <c r="A145" s="6" t="s">
        <v>26</v>
      </c>
      <c r="B145" s="12"/>
      <c r="C145" s="12"/>
      <c r="D145" s="12"/>
      <c r="E145" s="12"/>
      <c r="F145" s="12"/>
      <c r="G145" s="12"/>
      <c r="H145" s="12">
        <v>0.85</v>
      </c>
      <c r="I145" s="12"/>
      <c r="J145" s="12">
        <v>0.19</v>
      </c>
      <c r="K145" s="12"/>
      <c r="L145" s="12"/>
      <c r="M145" s="12"/>
      <c r="N145" s="12"/>
      <c r="O145" s="12"/>
      <c r="P145" s="12"/>
      <c r="Q145" s="12"/>
      <c r="R145" s="12"/>
      <c r="S145" s="12"/>
      <c r="T145" s="12"/>
      <c r="U145" s="12"/>
      <c r="V145" s="12"/>
      <c r="W145" s="12"/>
      <c r="X145" s="12"/>
      <c r="Y145" s="12"/>
      <c r="Z145" s="12">
        <f t="shared" si="173"/>
        <v>1.04</v>
      </c>
      <c r="AA145" s="24">
        <f t="shared" si="174"/>
        <v>1.6298896690070217E-3</v>
      </c>
      <c r="AC145" s="12">
        <f t="shared" si="175"/>
        <v>1.04</v>
      </c>
      <c r="AD145" s="12">
        <f t="shared" si="176"/>
        <v>0</v>
      </c>
      <c r="AE145" s="12">
        <f t="shared" si="177"/>
        <v>0</v>
      </c>
      <c r="AF145" s="12">
        <f t="shared" si="172"/>
        <v>1.04</v>
      </c>
      <c r="AG145" s="22">
        <f t="shared" si="178"/>
        <v>0</v>
      </c>
    </row>
    <row r="146" spans="1:43" x14ac:dyDescent="0.35">
      <c r="A146" s="6" t="s">
        <v>27</v>
      </c>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f t="shared" si="173"/>
        <v>0</v>
      </c>
      <c r="AA146" s="24">
        <f t="shared" si="174"/>
        <v>0</v>
      </c>
      <c r="AC146" s="12">
        <f t="shared" si="175"/>
        <v>0</v>
      </c>
      <c r="AD146" s="12">
        <f t="shared" si="176"/>
        <v>0</v>
      </c>
      <c r="AE146" s="12">
        <f t="shared" si="177"/>
        <v>0</v>
      </c>
      <c r="AF146" s="12">
        <f t="shared" si="172"/>
        <v>0</v>
      </c>
      <c r="AG146" s="22"/>
    </row>
    <row r="147" spans="1:43" x14ac:dyDescent="0.35">
      <c r="A147" s="6" t="s">
        <v>29</v>
      </c>
      <c r="B147" s="12"/>
      <c r="C147" s="12"/>
      <c r="D147" s="12"/>
      <c r="E147" s="12"/>
      <c r="F147" s="12"/>
      <c r="G147" s="12"/>
      <c r="H147" s="12"/>
      <c r="I147" s="12"/>
      <c r="J147" s="12"/>
      <c r="K147" s="12">
        <v>0.61</v>
      </c>
      <c r="L147" s="12"/>
      <c r="M147" s="12"/>
      <c r="N147" s="12"/>
      <c r="O147" s="12"/>
      <c r="P147" s="12"/>
      <c r="Q147" s="12"/>
      <c r="R147" s="12"/>
      <c r="S147" s="12"/>
      <c r="T147" s="12"/>
      <c r="U147" s="12"/>
      <c r="V147" s="12"/>
      <c r="W147" s="12"/>
      <c r="X147" s="12"/>
      <c r="Y147" s="12"/>
      <c r="Z147" s="12">
        <f t="shared" si="173"/>
        <v>0.61</v>
      </c>
      <c r="AA147" s="24">
        <f t="shared" si="174"/>
        <v>9.5599297893681065E-4</v>
      </c>
      <c r="AC147" s="12">
        <f t="shared" si="175"/>
        <v>0.61</v>
      </c>
      <c r="AD147" s="12">
        <f t="shared" si="176"/>
        <v>0</v>
      </c>
      <c r="AE147" s="12">
        <f t="shared" si="177"/>
        <v>0</v>
      </c>
      <c r="AF147" s="12">
        <f t="shared" si="172"/>
        <v>0.61</v>
      </c>
      <c r="AG147" s="22">
        <f t="shared" si="178"/>
        <v>0</v>
      </c>
    </row>
    <row r="148" spans="1:43" x14ac:dyDescent="0.35">
      <c r="A148" s="11" t="s">
        <v>13</v>
      </c>
      <c r="B148" s="119">
        <f>SUM(B149:B151)</f>
        <v>87.200000000000031</v>
      </c>
      <c r="C148" s="119">
        <f t="shared" ref="C148:Y148" si="179">SUM(C149:C151)</f>
        <v>3.81</v>
      </c>
      <c r="D148" s="119"/>
      <c r="E148" s="119">
        <f t="shared" si="179"/>
        <v>0.04</v>
      </c>
      <c r="F148" s="119"/>
      <c r="G148" s="119">
        <f t="shared" si="179"/>
        <v>0.15</v>
      </c>
      <c r="H148" s="119">
        <f t="shared" si="179"/>
        <v>1.52</v>
      </c>
      <c r="I148" s="119"/>
      <c r="J148" s="119"/>
      <c r="K148" s="119">
        <f t="shared" si="179"/>
        <v>0.55000000000000004</v>
      </c>
      <c r="L148" s="119">
        <f t="shared" si="179"/>
        <v>1.41</v>
      </c>
      <c r="M148" s="119">
        <f t="shared" si="179"/>
        <v>2</v>
      </c>
      <c r="N148" s="119">
        <f t="shared" si="179"/>
        <v>0.23</v>
      </c>
      <c r="O148" s="119">
        <f t="shared" si="179"/>
        <v>0.47</v>
      </c>
      <c r="P148" s="119">
        <f t="shared" si="179"/>
        <v>0.11</v>
      </c>
      <c r="Q148" s="119">
        <f t="shared" si="179"/>
        <v>0.92999999999999994</v>
      </c>
      <c r="R148" s="119">
        <f t="shared" si="179"/>
        <v>3.9600000000000004</v>
      </c>
      <c r="S148" s="119">
        <f t="shared" si="179"/>
        <v>0.23</v>
      </c>
      <c r="T148" s="119">
        <f t="shared" si="179"/>
        <v>0.41000000000000003</v>
      </c>
      <c r="U148" s="119">
        <f t="shared" si="179"/>
        <v>0.61</v>
      </c>
      <c r="V148" s="119">
        <f t="shared" si="179"/>
        <v>2.8200000000000003</v>
      </c>
      <c r="W148" s="119">
        <f t="shared" si="179"/>
        <v>9.4200000000000017</v>
      </c>
      <c r="X148" s="119">
        <f t="shared" si="179"/>
        <v>5.67</v>
      </c>
      <c r="Y148" s="119">
        <f t="shared" si="179"/>
        <v>2.16</v>
      </c>
      <c r="Z148" s="119">
        <f>SUM(B148:Y148)</f>
        <v>123.70000000000005</v>
      </c>
      <c r="AA148" s="143">
        <f t="shared" si="174"/>
        <v>0.19386283851554678</v>
      </c>
      <c r="AC148" s="119">
        <f>SUM(B148:U148)</f>
        <v>103.63000000000004</v>
      </c>
      <c r="AD148" s="119">
        <f>SUM(V148:X148)</f>
        <v>17.910000000000004</v>
      </c>
      <c r="AE148" s="119">
        <f>Y148</f>
        <v>2.16</v>
      </c>
      <c r="AF148" s="119">
        <f t="shared" si="172"/>
        <v>123.70000000000005</v>
      </c>
      <c r="AG148" s="143">
        <f t="shared" ref="AG148:AG153" si="180">AD148/AF148</f>
        <v>0.14478577202910264</v>
      </c>
    </row>
    <row r="149" spans="1:43" x14ac:dyDescent="0.35">
      <c r="A149" s="6" t="s">
        <v>34</v>
      </c>
      <c r="B149" s="12">
        <v>18.190000000000001</v>
      </c>
      <c r="C149" s="12">
        <v>0.82</v>
      </c>
      <c r="D149" s="12"/>
      <c r="E149" s="12"/>
      <c r="F149" s="12"/>
      <c r="G149" s="12">
        <v>0.15</v>
      </c>
      <c r="H149" s="12"/>
      <c r="I149" s="12"/>
      <c r="J149" s="12"/>
      <c r="K149" s="12"/>
      <c r="L149" s="12">
        <v>0.01</v>
      </c>
      <c r="M149" s="12">
        <v>0.23</v>
      </c>
      <c r="N149" s="12"/>
      <c r="O149" s="12"/>
      <c r="P149" s="12"/>
      <c r="Q149" s="12"/>
      <c r="R149" s="12">
        <v>0.18</v>
      </c>
      <c r="S149" s="12"/>
      <c r="T149" s="12">
        <v>0.31</v>
      </c>
      <c r="U149" s="12">
        <v>0.45</v>
      </c>
      <c r="V149" s="12">
        <v>0.13</v>
      </c>
      <c r="W149" s="12">
        <v>0.54</v>
      </c>
      <c r="X149" s="12">
        <v>1.85</v>
      </c>
      <c r="Y149" s="12">
        <v>0.54</v>
      </c>
      <c r="Z149" s="12">
        <f t="shared" si="173"/>
        <v>23.4</v>
      </c>
      <c r="AA149" s="24">
        <f t="shared" si="174"/>
        <v>3.6672517552657984E-2</v>
      </c>
      <c r="AC149" s="12">
        <f t="shared" ref="AC149:AC151" si="181">SUM(B149:U149)</f>
        <v>20.34</v>
      </c>
      <c r="AD149" s="12">
        <f t="shared" ref="AD149:AD151" si="182">SUM(V149:X149)</f>
        <v>2.52</v>
      </c>
      <c r="AE149" s="12">
        <f t="shared" ref="AE149:AE151" si="183">Y149</f>
        <v>0.54</v>
      </c>
      <c r="AF149" s="12">
        <f t="shared" si="172"/>
        <v>23.4</v>
      </c>
      <c r="AG149" s="22">
        <f t="shared" si="180"/>
        <v>0.1076923076923077</v>
      </c>
    </row>
    <row r="150" spans="1:43" x14ac:dyDescent="0.35">
      <c r="A150" s="6" t="s">
        <v>61</v>
      </c>
      <c r="B150" s="12">
        <v>12.590000000000003</v>
      </c>
      <c r="C150" s="12">
        <v>0.05</v>
      </c>
      <c r="D150" s="12"/>
      <c r="E150" s="12"/>
      <c r="F150" s="12"/>
      <c r="G150" s="12"/>
      <c r="H150" s="12">
        <v>0.75</v>
      </c>
      <c r="I150" s="12"/>
      <c r="J150" s="12"/>
      <c r="K150" s="12"/>
      <c r="L150" s="12"/>
      <c r="M150" s="12">
        <v>0.03</v>
      </c>
      <c r="N150" s="12"/>
      <c r="O150" s="12"/>
      <c r="P150" s="12"/>
      <c r="Q150" s="12">
        <v>0.06</v>
      </c>
      <c r="R150" s="12"/>
      <c r="S150" s="12"/>
      <c r="T150" s="12"/>
      <c r="U150" s="12"/>
      <c r="V150" s="12"/>
      <c r="W150" s="12">
        <v>0.66</v>
      </c>
      <c r="X150" s="12">
        <v>1.64</v>
      </c>
      <c r="Y150" s="12">
        <v>0.22</v>
      </c>
      <c r="Z150" s="12">
        <f t="shared" si="173"/>
        <v>16.000000000000004</v>
      </c>
      <c r="AA150" s="24">
        <f t="shared" si="174"/>
        <v>2.5075225677031108E-2</v>
      </c>
      <c r="AC150" s="12">
        <f t="shared" si="181"/>
        <v>13.480000000000004</v>
      </c>
      <c r="AD150" s="12">
        <f t="shared" si="182"/>
        <v>2.2999999999999998</v>
      </c>
      <c r="AE150" s="12">
        <f t="shared" si="183"/>
        <v>0.22</v>
      </c>
      <c r="AF150" s="12">
        <f t="shared" si="172"/>
        <v>16.000000000000004</v>
      </c>
      <c r="AG150" s="22">
        <f t="shared" si="180"/>
        <v>0.14374999999999996</v>
      </c>
    </row>
    <row r="151" spans="1:43" x14ac:dyDescent="0.35">
      <c r="A151" s="6" t="s">
        <v>36</v>
      </c>
      <c r="B151" s="12">
        <v>56.420000000000023</v>
      </c>
      <c r="C151" s="12">
        <v>2.94</v>
      </c>
      <c r="D151" s="12"/>
      <c r="E151" s="12">
        <v>0.04</v>
      </c>
      <c r="F151" s="12"/>
      <c r="G151" s="12"/>
      <c r="H151" s="12">
        <v>0.77</v>
      </c>
      <c r="I151" s="12"/>
      <c r="J151" s="12"/>
      <c r="K151" s="12">
        <v>0.55000000000000004</v>
      </c>
      <c r="L151" s="12">
        <v>1.4</v>
      </c>
      <c r="M151" s="12">
        <v>1.74</v>
      </c>
      <c r="N151" s="12">
        <v>0.23</v>
      </c>
      <c r="O151" s="12">
        <v>0.47</v>
      </c>
      <c r="P151" s="12">
        <v>0.11</v>
      </c>
      <c r="Q151" s="12">
        <v>0.87</v>
      </c>
      <c r="R151" s="12">
        <v>3.7800000000000002</v>
      </c>
      <c r="S151" s="12">
        <v>0.23</v>
      </c>
      <c r="T151" s="12">
        <v>0.1</v>
      </c>
      <c r="U151" s="12">
        <v>0.16</v>
      </c>
      <c r="V151" s="12">
        <v>2.6900000000000004</v>
      </c>
      <c r="W151" s="12">
        <v>8.2200000000000024</v>
      </c>
      <c r="X151" s="12">
        <v>2.1799999999999997</v>
      </c>
      <c r="Y151" s="12">
        <v>1.4</v>
      </c>
      <c r="Z151" s="12">
        <f t="shared" si="173"/>
        <v>84.300000000000011</v>
      </c>
      <c r="AA151" s="24">
        <f t="shared" si="174"/>
        <v>0.13211509528585763</v>
      </c>
      <c r="AC151" s="12">
        <f t="shared" si="181"/>
        <v>69.810000000000016</v>
      </c>
      <c r="AD151" s="12">
        <f t="shared" si="182"/>
        <v>13.090000000000003</v>
      </c>
      <c r="AE151" s="12">
        <f t="shared" si="183"/>
        <v>1.4</v>
      </c>
      <c r="AF151" s="12">
        <f t="shared" si="172"/>
        <v>84.300000000000026</v>
      </c>
      <c r="AG151" s="22">
        <f t="shared" si="180"/>
        <v>0.15527876631079476</v>
      </c>
    </row>
    <row r="152" spans="1:43" x14ac:dyDescent="0.35">
      <c r="A152" s="11" t="s">
        <v>14</v>
      </c>
      <c r="B152" s="119">
        <f t="shared" ref="B152:Y152" si="184">SUM(B153:B155)</f>
        <v>274.86999999999983</v>
      </c>
      <c r="C152" s="119">
        <f t="shared" si="184"/>
        <v>17.769999999999996</v>
      </c>
      <c r="D152" s="119">
        <f t="shared" si="184"/>
        <v>3.31</v>
      </c>
      <c r="E152" s="119">
        <f t="shared" si="184"/>
        <v>10.17</v>
      </c>
      <c r="F152" s="119">
        <f t="shared" si="184"/>
        <v>0.77</v>
      </c>
      <c r="G152" s="119">
        <f t="shared" si="184"/>
        <v>6.1599999999999993</v>
      </c>
      <c r="H152" s="119">
        <f t="shared" si="184"/>
        <v>5</v>
      </c>
      <c r="I152" s="119">
        <f t="shared" si="184"/>
        <v>7.64</v>
      </c>
      <c r="J152" s="119">
        <f t="shared" si="184"/>
        <v>4.17</v>
      </c>
      <c r="K152" s="119">
        <f t="shared" si="184"/>
        <v>5.87</v>
      </c>
      <c r="L152" s="119">
        <f t="shared" si="184"/>
        <v>4.1100000000000003</v>
      </c>
      <c r="M152" s="119">
        <f t="shared" si="184"/>
        <v>4.1099999999999994</v>
      </c>
      <c r="N152" s="119">
        <f t="shared" si="184"/>
        <v>3.16</v>
      </c>
      <c r="O152" s="119">
        <f t="shared" si="184"/>
        <v>4.75</v>
      </c>
      <c r="P152" s="119">
        <f t="shared" si="184"/>
        <v>2.2199999999999998</v>
      </c>
      <c r="Q152" s="119">
        <f t="shared" si="184"/>
        <v>3.6299999999999994</v>
      </c>
      <c r="R152" s="119">
        <f t="shared" si="184"/>
        <v>18.8</v>
      </c>
      <c r="S152" s="119">
        <f t="shared" si="184"/>
        <v>2.9799999999999995</v>
      </c>
      <c r="T152" s="119">
        <f t="shared" si="184"/>
        <v>1.3599999999999999</v>
      </c>
      <c r="U152" s="119">
        <f t="shared" si="184"/>
        <v>1.08</v>
      </c>
      <c r="V152" s="119">
        <f t="shared" si="184"/>
        <v>8.6399999999999988</v>
      </c>
      <c r="W152" s="119">
        <f t="shared" si="184"/>
        <v>20.000000000000004</v>
      </c>
      <c r="X152" s="119">
        <f t="shared" si="184"/>
        <v>13.659999999999998</v>
      </c>
      <c r="Y152" s="119">
        <f t="shared" si="184"/>
        <v>0.17</v>
      </c>
      <c r="Z152" s="119">
        <f>SUM(B152:Y152)</f>
        <v>424.4</v>
      </c>
      <c r="AA152" s="143">
        <f t="shared" si="174"/>
        <v>0.6651203610832499</v>
      </c>
      <c r="AC152" s="119">
        <f>SUM(B152:U152)</f>
        <v>381.92999999999995</v>
      </c>
      <c r="AD152" s="119">
        <f>SUM(V152:X152)</f>
        <v>42.3</v>
      </c>
      <c r="AE152" s="119">
        <f>Y152</f>
        <v>0.17</v>
      </c>
      <c r="AF152" s="119">
        <f t="shared" si="172"/>
        <v>424.4</v>
      </c>
      <c r="AG152" s="143">
        <f t="shared" si="180"/>
        <v>9.9670122525918947E-2</v>
      </c>
    </row>
    <row r="153" spans="1:43" x14ac:dyDescent="0.35">
      <c r="A153" s="6" t="s">
        <v>37</v>
      </c>
      <c r="B153" s="12">
        <v>0.71</v>
      </c>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f t="shared" si="173"/>
        <v>0.71</v>
      </c>
      <c r="AA153" s="24">
        <f t="shared" si="174"/>
        <v>1.1127131394182551E-3</v>
      </c>
      <c r="AC153" s="12">
        <f t="shared" ref="AC153:AC155" si="185">SUM(B153:U153)</f>
        <v>0.71</v>
      </c>
      <c r="AD153" s="12">
        <f t="shared" ref="AD153:AD155" si="186">SUM(V153:X153)</f>
        <v>0</v>
      </c>
      <c r="AE153" s="12">
        <f t="shared" ref="AE153:AE155" si="187">Y153</f>
        <v>0</v>
      </c>
      <c r="AF153" s="12">
        <f t="shared" si="172"/>
        <v>0.71</v>
      </c>
      <c r="AG153" s="22">
        <f t="shared" si="180"/>
        <v>0</v>
      </c>
      <c r="AN153" s="342"/>
      <c r="AO153" s="342" t="s">
        <v>256</v>
      </c>
      <c r="AP153" s="342" t="s">
        <v>96</v>
      </c>
      <c r="AQ153" s="342" t="s">
        <v>257</v>
      </c>
    </row>
    <row r="154" spans="1:43" x14ac:dyDescent="0.35">
      <c r="A154" s="6" t="s">
        <v>39</v>
      </c>
      <c r="B154" s="12"/>
      <c r="C154" s="12"/>
      <c r="D154" s="12"/>
      <c r="E154" s="12"/>
      <c r="F154" s="12"/>
      <c r="G154" s="12"/>
      <c r="H154" s="12"/>
      <c r="I154" s="12"/>
      <c r="J154" s="12"/>
      <c r="K154" s="12"/>
      <c r="L154" s="12"/>
      <c r="M154" s="12"/>
      <c r="N154" s="12"/>
      <c r="O154" s="12"/>
      <c r="P154" s="12">
        <v>0.77</v>
      </c>
      <c r="Q154" s="12"/>
      <c r="R154" s="12"/>
      <c r="S154" s="12"/>
      <c r="T154" s="12"/>
      <c r="U154" s="12"/>
      <c r="V154" s="12"/>
      <c r="W154" s="12"/>
      <c r="X154" s="12"/>
      <c r="Y154" s="12"/>
      <c r="Z154" s="12">
        <f t="shared" si="173"/>
        <v>0.77</v>
      </c>
      <c r="AA154" s="24">
        <f t="shared" si="174"/>
        <v>1.2067452357071217E-3</v>
      </c>
      <c r="AC154" s="12">
        <f t="shared" si="185"/>
        <v>0.77</v>
      </c>
      <c r="AD154" s="12">
        <f t="shared" si="186"/>
        <v>0</v>
      </c>
      <c r="AE154" s="12">
        <f t="shared" si="187"/>
        <v>0</v>
      </c>
      <c r="AF154" s="12">
        <f t="shared" si="172"/>
        <v>0.77</v>
      </c>
      <c r="AG154" s="22">
        <f t="shared" ref="AG154" si="188">AD154/AF154</f>
        <v>0</v>
      </c>
      <c r="AI154" s="210" t="s">
        <v>255</v>
      </c>
      <c r="AN154" s="118" t="s">
        <v>14</v>
      </c>
      <c r="AO154" s="343">
        <v>42.3</v>
      </c>
      <c r="AP154" s="343">
        <v>424.4</v>
      </c>
      <c r="AQ154" s="190">
        <f t="shared" ref="AQ154" si="189">AO154/AP154</f>
        <v>9.9670122525918947E-2</v>
      </c>
    </row>
    <row r="155" spans="1:43" x14ac:dyDescent="0.35">
      <c r="A155" s="6" t="s">
        <v>40</v>
      </c>
      <c r="B155" s="12">
        <v>274.15999999999985</v>
      </c>
      <c r="C155" s="12">
        <v>17.769999999999996</v>
      </c>
      <c r="D155" s="12">
        <v>3.31</v>
      </c>
      <c r="E155" s="12">
        <v>10.17</v>
      </c>
      <c r="F155" s="12">
        <v>0.77</v>
      </c>
      <c r="G155" s="12">
        <v>6.1599999999999993</v>
      </c>
      <c r="H155" s="12">
        <v>5</v>
      </c>
      <c r="I155" s="12">
        <v>7.64</v>
      </c>
      <c r="J155" s="12">
        <v>4.17</v>
      </c>
      <c r="K155" s="12">
        <v>5.87</v>
      </c>
      <c r="L155" s="12">
        <v>4.1100000000000003</v>
      </c>
      <c r="M155" s="12">
        <v>4.1099999999999994</v>
      </c>
      <c r="N155" s="12">
        <v>3.16</v>
      </c>
      <c r="O155" s="12">
        <v>4.75</v>
      </c>
      <c r="P155" s="12">
        <v>1.45</v>
      </c>
      <c r="Q155" s="12">
        <v>3.6299999999999994</v>
      </c>
      <c r="R155" s="12">
        <v>18.8</v>
      </c>
      <c r="S155" s="12">
        <v>2.9799999999999995</v>
      </c>
      <c r="T155" s="12">
        <v>1.3599999999999999</v>
      </c>
      <c r="U155" s="12">
        <v>1.08</v>
      </c>
      <c r="V155" s="12">
        <v>8.6399999999999988</v>
      </c>
      <c r="W155" s="12">
        <v>20.000000000000004</v>
      </c>
      <c r="X155" s="12">
        <v>13.659999999999998</v>
      </c>
      <c r="Y155" s="12">
        <v>0.17</v>
      </c>
      <c r="Z155" s="12">
        <f t="shared" si="173"/>
        <v>422.91999999999996</v>
      </c>
      <c r="AA155" s="24">
        <f t="shared" si="174"/>
        <v>0.66280090270812453</v>
      </c>
      <c r="AC155" s="12">
        <f t="shared" si="185"/>
        <v>380.44999999999993</v>
      </c>
      <c r="AD155" s="12">
        <f t="shared" si="186"/>
        <v>42.3</v>
      </c>
      <c r="AE155" s="12">
        <f t="shared" si="187"/>
        <v>0.17</v>
      </c>
      <c r="AF155" s="12">
        <f t="shared" si="172"/>
        <v>422.91999999999996</v>
      </c>
      <c r="AG155" s="22">
        <f t="shared" ref="AG155:AG162" si="190">AD155/AF155</f>
        <v>0.10001891610706518</v>
      </c>
      <c r="AJ155" t="s">
        <v>256</v>
      </c>
      <c r="AK155" t="s">
        <v>96</v>
      </c>
      <c r="AL155" t="s">
        <v>257</v>
      </c>
      <c r="AN155" s="118" t="s">
        <v>13</v>
      </c>
      <c r="AO155" s="343">
        <v>17.910000000000004</v>
      </c>
      <c r="AP155" s="343">
        <v>123.70000000000005</v>
      </c>
      <c r="AQ155" s="190">
        <f>AO155/AP155</f>
        <v>0.14478577202910264</v>
      </c>
    </row>
    <row r="156" spans="1:43" x14ac:dyDescent="0.35">
      <c r="A156" s="11" t="s">
        <v>17</v>
      </c>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f>SUM(B156:Y156)</f>
        <v>0</v>
      </c>
      <c r="AA156" s="143">
        <f t="shared" si="174"/>
        <v>0</v>
      </c>
      <c r="AC156" s="119">
        <f>SUM(B156:U156)</f>
        <v>0</v>
      </c>
      <c r="AD156" s="119">
        <f>SUM(V156:X156)</f>
        <v>0</v>
      </c>
      <c r="AE156" s="119">
        <f>Y156</f>
        <v>0</v>
      </c>
      <c r="AF156" s="119">
        <f t="shared" si="172"/>
        <v>0</v>
      </c>
      <c r="AG156" s="143"/>
      <c r="AI156" s="6" t="s">
        <v>40</v>
      </c>
      <c r="AJ156" s="12">
        <v>42.3</v>
      </c>
      <c r="AK156" s="12">
        <v>422.91999999999996</v>
      </c>
      <c r="AL156" s="382">
        <f>AJ156/AK156</f>
        <v>0.10001891610706518</v>
      </c>
      <c r="AN156" s="118" t="s">
        <v>18</v>
      </c>
      <c r="AO156" s="343">
        <v>9.84</v>
      </c>
      <c r="AP156" s="343">
        <v>16.89</v>
      </c>
      <c r="AQ156" s="190">
        <f>AO156/AP156</f>
        <v>0.58259325044404975</v>
      </c>
    </row>
    <row r="157" spans="1:43" x14ac:dyDescent="0.35">
      <c r="A157" s="6" t="s">
        <v>56</v>
      </c>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f t="shared" si="173"/>
        <v>0</v>
      </c>
      <c r="AA157" s="24">
        <f t="shared" si="174"/>
        <v>0</v>
      </c>
      <c r="AC157" s="12">
        <f t="shared" ref="AC157" si="191">SUM(B157:U157)</f>
        <v>0</v>
      </c>
      <c r="AD157" s="12">
        <f t="shared" ref="AD157" si="192">SUM(V157:X157)</f>
        <v>0</v>
      </c>
      <c r="AE157" s="12">
        <f t="shared" ref="AE157" si="193">Y157</f>
        <v>0</v>
      </c>
      <c r="AF157" s="12">
        <f t="shared" si="172"/>
        <v>0</v>
      </c>
      <c r="AG157" s="22"/>
      <c r="AI157" s="6" t="s">
        <v>36</v>
      </c>
      <c r="AJ157" s="12">
        <v>13.090000000000003</v>
      </c>
      <c r="AK157" s="12">
        <v>84.300000000000026</v>
      </c>
      <c r="AL157" s="382">
        <f t="shared" ref="AL157:AL161" si="194">AJ157/AK157</f>
        <v>0.15527876631079476</v>
      </c>
    </row>
    <row r="158" spans="1:43" x14ac:dyDescent="0.35">
      <c r="A158" s="11" t="s">
        <v>18</v>
      </c>
      <c r="B158" s="119">
        <v>6.4399999999999995</v>
      </c>
      <c r="C158" s="119"/>
      <c r="D158" s="119"/>
      <c r="E158" s="119"/>
      <c r="F158" s="119"/>
      <c r="G158" s="119"/>
      <c r="H158" s="119"/>
      <c r="I158" s="119"/>
      <c r="J158" s="119"/>
      <c r="K158" s="119"/>
      <c r="L158" s="119"/>
      <c r="M158" s="119">
        <v>0.48</v>
      </c>
      <c r="N158" s="119"/>
      <c r="O158" s="119"/>
      <c r="P158" s="119"/>
      <c r="Q158" s="119"/>
      <c r="R158" s="119">
        <v>0.12</v>
      </c>
      <c r="S158" s="119"/>
      <c r="T158" s="119"/>
      <c r="U158" s="119"/>
      <c r="V158" s="119">
        <v>1.53</v>
      </c>
      <c r="W158" s="119">
        <v>1.1599999999999999</v>
      </c>
      <c r="X158" s="119">
        <v>7.15</v>
      </c>
      <c r="Y158" s="119">
        <v>0.01</v>
      </c>
      <c r="Z158" s="119">
        <f>SUM(B158:Y158)</f>
        <v>16.890000000000004</v>
      </c>
      <c r="AA158" s="143">
        <f t="shared" si="174"/>
        <v>2.6470035105315964E-2</v>
      </c>
      <c r="AC158" s="119">
        <f>SUM(B158:U158)</f>
        <v>7.04</v>
      </c>
      <c r="AD158" s="119">
        <f>SUM(V158:X158)</f>
        <v>9.84</v>
      </c>
      <c r="AE158" s="119">
        <f>Y158</f>
        <v>0.01</v>
      </c>
      <c r="AF158" s="119">
        <f t="shared" si="172"/>
        <v>16.89</v>
      </c>
      <c r="AG158" s="143">
        <f t="shared" si="190"/>
        <v>0.58259325044404975</v>
      </c>
      <c r="AI158" s="6" t="s">
        <v>18</v>
      </c>
      <c r="AJ158" s="12">
        <v>9.84</v>
      </c>
      <c r="AK158" s="12">
        <v>16.89</v>
      </c>
      <c r="AL158" s="382">
        <f t="shared" si="194"/>
        <v>0.58259325044404975</v>
      </c>
    </row>
    <row r="159" spans="1:43" x14ac:dyDescent="0.35">
      <c r="A159" s="6" t="s">
        <v>18</v>
      </c>
      <c r="B159" s="12">
        <v>6.4399999999999995</v>
      </c>
      <c r="C159" s="12"/>
      <c r="D159" s="12"/>
      <c r="E159" s="12"/>
      <c r="F159" s="12"/>
      <c r="G159" s="12"/>
      <c r="H159" s="12"/>
      <c r="I159" s="12"/>
      <c r="J159" s="12"/>
      <c r="K159" s="12"/>
      <c r="L159" s="12"/>
      <c r="M159" s="12">
        <v>0.48</v>
      </c>
      <c r="N159" s="12"/>
      <c r="O159" s="12"/>
      <c r="P159" s="12"/>
      <c r="Q159" s="12"/>
      <c r="R159" s="12">
        <v>0.12</v>
      </c>
      <c r="S159" s="12"/>
      <c r="T159" s="12"/>
      <c r="U159" s="12"/>
      <c r="V159" s="12">
        <v>1.53</v>
      </c>
      <c r="W159" s="12">
        <v>1.1599999999999999</v>
      </c>
      <c r="X159" s="12">
        <v>7.15</v>
      </c>
      <c r="Y159" s="12">
        <v>0.01</v>
      </c>
      <c r="Z159" s="12">
        <f t="shared" si="173"/>
        <v>16.890000000000004</v>
      </c>
      <c r="AA159" s="24">
        <f t="shared" si="174"/>
        <v>2.6470035105315964E-2</v>
      </c>
      <c r="AC159" s="12">
        <f t="shared" ref="AC159" si="195">SUM(B159:U159)</f>
        <v>7.04</v>
      </c>
      <c r="AD159" s="12">
        <f t="shared" ref="AD159" si="196">SUM(V159:X159)</f>
        <v>9.84</v>
      </c>
      <c r="AE159" s="12">
        <f t="shared" ref="AE159" si="197">Y159</f>
        <v>0.01</v>
      </c>
      <c r="AF159" s="12">
        <f t="shared" si="172"/>
        <v>16.89</v>
      </c>
      <c r="AG159" s="22">
        <f t="shared" si="190"/>
        <v>0.58259325044404975</v>
      </c>
      <c r="AI159" s="6" t="s">
        <v>34</v>
      </c>
      <c r="AJ159" s="54">
        <v>2.52</v>
      </c>
      <c r="AK159" s="12">
        <v>23.4</v>
      </c>
      <c r="AL159" s="382">
        <f t="shared" si="194"/>
        <v>0.1076923076923077</v>
      </c>
    </row>
    <row r="160" spans="1:43" x14ac:dyDescent="0.35">
      <c r="A160" s="11" t="s">
        <v>22</v>
      </c>
      <c r="B160" s="119">
        <v>64.789999999999992</v>
      </c>
      <c r="C160" s="119">
        <v>1.3699999999999999</v>
      </c>
      <c r="D160" s="119"/>
      <c r="E160" s="119"/>
      <c r="F160" s="119"/>
      <c r="G160" s="119"/>
      <c r="H160" s="119"/>
      <c r="I160" s="119"/>
      <c r="J160" s="119"/>
      <c r="K160" s="119"/>
      <c r="L160" s="119"/>
      <c r="M160" s="119">
        <v>0.22999999999999998</v>
      </c>
      <c r="N160" s="119"/>
      <c r="O160" s="119"/>
      <c r="P160" s="119"/>
      <c r="Q160" s="119"/>
      <c r="R160" s="119"/>
      <c r="S160" s="119"/>
      <c r="T160" s="119"/>
      <c r="U160" s="119"/>
      <c r="V160" s="119"/>
      <c r="W160" s="119">
        <v>0.83000000000000007</v>
      </c>
      <c r="X160" s="119">
        <v>0.9</v>
      </c>
      <c r="Y160" s="119">
        <v>0.32</v>
      </c>
      <c r="Z160" s="119">
        <f>SUM(B160:Y160)</f>
        <v>68.44</v>
      </c>
      <c r="AA160" s="143">
        <f t="shared" si="174"/>
        <v>0.10725927783350053</v>
      </c>
      <c r="AC160" s="119">
        <f>SUM(B160:U160)</f>
        <v>66.39</v>
      </c>
      <c r="AD160" s="119">
        <f>SUM(V160:X160)</f>
        <v>1.73</v>
      </c>
      <c r="AE160" s="119">
        <f>Y160</f>
        <v>0.32</v>
      </c>
      <c r="AF160" s="119">
        <f t="shared" si="172"/>
        <v>68.44</v>
      </c>
      <c r="AG160" s="143">
        <f t="shared" si="190"/>
        <v>2.5277615429573349E-2</v>
      </c>
      <c r="AI160" s="6" t="s">
        <v>61</v>
      </c>
      <c r="AJ160" s="54">
        <v>2.2999999999999998</v>
      </c>
      <c r="AK160" s="12">
        <v>16.000000000000004</v>
      </c>
      <c r="AL160" s="382">
        <f t="shared" si="194"/>
        <v>0.14374999999999996</v>
      </c>
    </row>
    <row r="161" spans="1:38" x14ac:dyDescent="0.35">
      <c r="A161" s="6" t="s">
        <v>22</v>
      </c>
      <c r="B161" s="216">
        <v>64.789999999999992</v>
      </c>
      <c r="C161" s="216">
        <v>1.3699999999999999</v>
      </c>
      <c r="D161" s="216"/>
      <c r="E161" s="216"/>
      <c r="F161" s="216"/>
      <c r="G161" s="216"/>
      <c r="H161" s="216"/>
      <c r="I161" s="216"/>
      <c r="J161" s="216"/>
      <c r="K161" s="216"/>
      <c r="L161" s="216"/>
      <c r="M161" s="216">
        <v>0.22999999999999998</v>
      </c>
      <c r="N161" s="216"/>
      <c r="O161" s="216"/>
      <c r="P161" s="216"/>
      <c r="Q161" s="216"/>
      <c r="R161" s="216"/>
      <c r="S161" s="216"/>
      <c r="T161" s="216"/>
      <c r="U161" s="216"/>
      <c r="V161" s="216"/>
      <c r="W161" s="216">
        <v>0.83000000000000007</v>
      </c>
      <c r="X161" s="216">
        <v>0.9</v>
      </c>
      <c r="Y161" s="12">
        <v>0.32</v>
      </c>
      <c r="Z161" s="12">
        <f t="shared" si="173"/>
        <v>68.44</v>
      </c>
      <c r="AA161" s="24">
        <f t="shared" si="174"/>
        <v>0.10725927783350053</v>
      </c>
      <c r="AC161" s="12">
        <f t="shared" ref="AC161" si="198">SUM(B161:U161)</f>
        <v>66.39</v>
      </c>
      <c r="AD161" s="12">
        <f t="shared" ref="AD161" si="199">SUM(V161:X161)</f>
        <v>1.73</v>
      </c>
      <c r="AE161" s="12">
        <f t="shared" ref="AE161:AE162" si="200">Y161</f>
        <v>0.32</v>
      </c>
      <c r="AF161" s="12">
        <f t="shared" si="172"/>
        <v>68.44</v>
      </c>
      <c r="AG161" s="22">
        <f t="shared" si="190"/>
        <v>2.5277615429573349E-2</v>
      </c>
      <c r="AI161" s="6" t="s">
        <v>22</v>
      </c>
      <c r="AJ161" s="54">
        <v>1.73</v>
      </c>
      <c r="AK161" s="12">
        <v>68.44</v>
      </c>
      <c r="AL161" s="382">
        <f t="shared" si="194"/>
        <v>2.5277615429573349E-2</v>
      </c>
    </row>
    <row r="162" spans="1:38" ht="15.5" x14ac:dyDescent="0.35">
      <c r="A162" s="43" t="s">
        <v>25</v>
      </c>
      <c r="B162" s="142">
        <f>SUM(B160,B158,B156,B152,B148,B141)</f>
        <v>433.29999999999984</v>
      </c>
      <c r="C162" s="142">
        <f t="shared" ref="C162:AA162" si="201">SUM(C160,C158,C156,C152,C148,C141)</f>
        <v>25.759999999999994</v>
      </c>
      <c r="D162" s="142">
        <f t="shared" si="201"/>
        <v>3.31</v>
      </c>
      <c r="E162" s="142">
        <f t="shared" si="201"/>
        <v>10.209999999999999</v>
      </c>
      <c r="F162" s="142">
        <f t="shared" si="201"/>
        <v>0.77</v>
      </c>
      <c r="G162" s="142">
        <f t="shared" si="201"/>
        <v>6.31</v>
      </c>
      <c r="H162" s="142">
        <f t="shared" si="201"/>
        <v>7.3699999999999992</v>
      </c>
      <c r="I162" s="142">
        <f t="shared" si="201"/>
        <v>7.64</v>
      </c>
      <c r="J162" s="142">
        <f t="shared" si="201"/>
        <v>4.55</v>
      </c>
      <c r="K162" s="142">
        <f t="shared" si="201"/>
        <v>7.03</v>
      </c>
      <c r="L162" s="142">
        <f t="shared" si="201"/>
        <v>5.5200000000000005</v>
      </c>
      <c r="M162" s="142">
        <f t="shared" si="201"/>
        <v>6.8199999999999994</v>
      </c>
      <c r="N162" s="142">
        <f t="shared" si="201"/>
        <v>3.39</v>
      </c>
      <c r="O162" s="142">
        <f t="shared" si="201"/>
        <v>5.22</v>
      </c>
      <c r="P162" s="142">
        <f t="shared" si="201"/>
        <v>2.3299999999999996</v>
      </c>
      <c r="Q162" s="142">
        <f t="shared" si="201"/>
        <v>4.5599999999999996</v>
      </c>
      <c r="R162" s="142">
        <f t="shared" si="201"/>
        <v>22.880000000000003</v>
      </c>
      <c r="S162" s="142">
        <f t="shared" si="201"/>
        <v>3.2099999999999995</v>
      </c>
      <c r="T162" s="142">
        <f t="shared" si="201"/>
        <v>1.77</v>
      </c>
      <c r="U162" s="142">
        <f t="shared" si="201"/>
        <v>1.69</v>
      </c>
      <c r="V162" s="142">
        <f t="shared" si="201"/>
        <v>12.989999999999998</v>
      </c>
      <c r="W162" s="142">
        <f t="shared" si="201"/>
        <v>31.410000000000004</v>
      </c>
      <c r="X162" s="142">
        <f t="shared" si="201"/>
        <v>27.380000000000003</v>
      </c>
      <c r="Y162" s="142">
        <f t="shared" si="201"/>
        <v>2.66</v>
      </c>
      <c r="Z162" s="142">
        <f>SUM(B162:Y162)</f>
        <v>638.07999999999981</v>
      </c>
      <c r="AA162" s="142">
        <f t="shared" si="201"/>
        <v>1.0000000000000002</v>
      </c>
      <c r="AC162" s="142">
        <f>SUM(B162:U162)</f>
        <v>563.63999999999987</v>
      </c>
      <c r="AD162" s="142">
        <f>SUM(V162:X162)</f>
        <v>71.78</v>
      </c>
      <c r="AE162" s="142">
        <f t="shared" si="200"/>
        <v>2.66</v>
      </c>
      <c r="AF162" s="142">
        <f t="shared" si="172"/>
        <v>638.07999999999981</v>
      </c>
      <c r="AG162" s="197">
        <f t="shared" si="190"/>
        <v>0.11249373119358078</v>
      </c>
    </row>
    <row r="163" spans="1:38" x14ac:dyDescent="0.35">
      <c r="A163" s="378" t="s">
        <v>253</v>
      </c>
      <c r="B163" s="379"/>
      <c r="C163" s="379">
        <f>C162+B162</f>
        <v>459.05999999999983</v>
      </c>
      <c r="D163" s="379">
        <f>D162+C163</f>
        <v>462.36999999999983</v>
      </c>
      <c r="E163" s="379">
        <f>E162+D163</f>
        <v>472.57999999999981</v>
      </c>
      <c r="F163" s="379">
        <f t="shared" ref="F163:X163" si="202">F162+E163</f>
        <v>473.3499999999998</v>
      </c>
      <c r="G163" s="379">
        <f t="shared" si="202"/>
        <v>479.6599999999998</v>
      </c>
      <c r="H163" s="379">
        <f t="shared" si="202"/>
        <v>487.0299999999998</v>
      </c>
      <c r="I163" s="379">
        <f t="shared" si="202"/>
        <v>494.66999999999979</v>
      </c>
      <c r="J163" s="379">
        <f t="shared" si="202"/>
        <v>499.2199999999998</v>
      </c>
      <c r="K163" s="379">
        <f t="shared" si="202"/>
        <v>506.24999999999977</v>
      </c>
      <c r="L163" s="379">
        <f t="shared" si="202"/>
        <v>511.76999999999975</v>
      </c>
      <c r="M163" s="379">
        <f t="shared" si="202"/>
        <v>518.5899999999998</v>
      </c>
      <c r="N163" s="379">
        <f t="shared" si="202"/>
        <v>521.97999999999979</v>
      </c>
      <c r="O163" s="379">
        <f t="shared" si="202"/>
        <v>527.19999999999982</v>
      </c>
      <c r="P163" s="379">
        <f t="shared" si="202"/>
        <v>529.52999999999986</v>
      </c>
      <c r="Q163" s="379">
        <f t="shared" si="202"/>
        <v>534.0899999999998</v>
      </c>
      <c r="R163" s="379">
        <f t="shared" si="202"/>
        <v>556.9699999999998</v>
      </c>
      <c r="S163" s="379">
        <f t="shared" si="202"/>
        <v>560.17999999999984</v>
      </c>
      <c r="T163" s="379">
        <f t="shared" si="202"/>
        <v>561.94999999999982</v>
      </c>
      <c r="U163" s="379">
        <f t="shared" si="202"/>
        <v>563.63999999999987</v>
      </c>
      <c r="V163" s="379">
        <f t="shared" si="202"/>
        <v>576.62999999999988</v>
      </c>
      <c r="W163" s="379">
        <f t="shared" si="202"/>
        <v>608.03999999999985</v>
      </c>
      <c r="X163" s="379">
        <f t="shared" si="202"/>
        <v>635.41999999999985</v>
      </c>
    </row>
    <row r="164" spans="1:38" x14ac:dyDescent="0.35">
      <c r="A164" s="380" t="s">
        <v>254</v>
      </c>
      <c r="B164" s="379"/>
      <c r="C164" s="381"/>
      <c r="D164" s="381">
        <f>D163/C163-1</f>
        <v>7.210386441859562E-3</v>
      </c>
      <c r="E164" s="381">
        <f t="shared" ref="E164:X164" si="203">E163/D163-1</f>
        <v>2.2081882475074144E-2</v>
      </c>
      <c r="F164" s="381">
        <f t="shared" si="203"/>
        <v>1.6293537602098951E-3</v>
      </c>
      <c r="G164" s="381">
        <f t="shared" si="203"/>
        <v>1.3330516531108172E-2</v>
      </c>
      <c r="H164" s="381">
        <f t="shared" si="203"/>
        <v>1.5365050243922873E-2</v>
      </c>
      <c r="I164" s="381">
        <f t="shared" si="203"/>
        <v>1.5686918670307692E-2</v>
      </c>
      <c r="J164" s="381">
        <f t="shared" si="203"/>
        <v>9.1980512260698699E-3</v>
      </c>
      <c r="K164" s="381">
        <f t="shared" si="203"/>
        <v>1.4081967869876921E-2</v>
      </c>
      <c r="L164" s="381">
        <f t="shared" si="203"/>
        <v>1.0903703703703638E-2</v>
      </c>
      <c r="M164" s="381">
        <f t="shared" si="203"/>
        <v>1.3326298923344471E-2</v>
      </c>
      <c r="N164" s="381">
        <f t="shared" si="203"/>
        <v>6.5369559767831653E-3</v>
      </c>
      <c r="O164" s="381">
        <f t="shared" si="203"/>
        <v>1.0000383156442805E-2</v>
      </c>
      <c r="P164" s="381">
        <f t="shared" si="203"/>
        <v>4.4195751138089712E-3</v>
      </c>
      <c r="Q164" s="381">
        <f t="shared" si="203"/>
        <v>8.6114101184067149E-3</v>
      </c>
      <c r="R164" s="381">
        <f t="shared" si="203"/>
        <v>4.283922185399458E-2</v>
      </c>
      <c r="S164" s="381">
        <f t="shared" si="203"/>
        <v>5.7633265705514525E-3</v>
      </c>
      <c r="T164" s="381">
        <f t="shared" si="203"/>
        <v>3.159698668285138E-3</v>
      </c>
      <c r="U164" s="381">
        <f t="shared" si="203"/>
        <v>3.0073849986653745E-3</v>
      </c>
      <c r="V164" s="381">
        <f t="shared" si="203"/>
        <v>2.3046625505641849E-2</v>
      </c>
      <c r="W164" s="381">
        <f t="shared" si="203"/>
        <v>5.4471671609177319E-2</v>
      </c>
      <c r="X164" s="381">
        <f t="shared" si="203"/>
        <v>4.5029932241299919E-2</v>
      </c>
    </row>
    <row r="166" spans="1:38" ht="15.5" x14ac:dyDescent="0.35">
      <c r="A166" s="146" t="s">
        <v>99</v>
      </c>
      <c r="B166" s="147" t="s">
        <v>100</v>
      </c>
      <c r="C166" s="147">
        <v>2000</v>
      </c>
      <c r="D166" s="147">
        <v>2001</v>
      </c>
      <c r="E166" s="147">
        <v>2002</v>
      </c>
      <c r="F166" s="147">
        <v>2003</v>
      </c>
      <c r="G166" s="147">
        <v>2004</v>
      </c>
      <c r="H166" s="147">
        <v>2005</v>
      </c>
      <c r="I166" s="147">
        <v>2006</v>
      </c>
      <c r="J166" s="147">
        <v>2007</v>
      </c>
      <c r="K166" s="147">
        <v>2008</v>
      </c>
      <c r="L166" s="147">
        <v>2009</v>
      </c>
      <c r="M166" s="147">
        <v>2010</v>
      </c>
      <c r="N166" s="147">
        <v>2011</v>
      </c>
      <c r="O166" s="147">
        <v>2012</v>
      </c>
      <c r="P166" s="147">
        <v>2013</v>
      </c>
      <c r="Q166" s="147">
        <v>2014</v>
      </c>
      <c r="R166" s="147">
        <v>2015</v>
      </c>
      <c r="S166" s="147">
        <v>2016</v>
      </c>
      <c r="T166" s="147">
        <v>2017</v>
      </c>
      <c r="U166" s="147">
        <v>2018</v>
      </c>
      <c r="V166" s="147">
        <v>2019</v>
      </c>
      <c r="W166" s="147">
        <v>2020</v>
      </c>
      <c r="X166" s="147">
        <v>2021</v>
      </c>
      <c r="Y166" s="183" t="s">
        <v>90</v>
      </c>
    </row>
    <row r="167" spans="1:38" x14ac:dyDescent="0.35">
      <c r="A167" s="11" t="s">
        <v>5</v>
      </c>
      <c r="B167" s="22">
        <f>B141/$Z$141</f>
        <v>0</v>
      </c>
      <c r="C167" s="22">
        <f t="shared" ref="C167:Y167" si="204">C141/$Z$141</f>
        <v>0.60430107526881716</v>
      </c>
      <c r="D167" s="22">
        <f t="shared" si="204"/>
        <v>0</v>
      </c>
      <c r="E167" s="22">
        <f t="shared" si="204"/>
        <v>0</v>
      </c>
      <c r="F167" s="22">
        <f t="shared" si="204"/>
        <v>0</v>
      </c>
      <c r="G167" s="22">
        <f t="shared" si="204"/>
        <v>0</v>
      </c>
      <c r="H167" s="22">
        <f t="shared" si="204"/>
        <v>0.18279569892473116</v>
      </c>
      <c r="I167" s="22">
        <f t="shared" si="204"/>
        <v>0</v>
      </c>
      <c r="J167" s="22">
        <f t="shared" si="204"/>
        <v>8.1720430107526873E-2</v>
      </c>
      <c r="K167" s="22">
        <f t="shared" si="204"/>
        <v>0.13118279569892471</v>
      </c>
      <c r="L167" s="22">
        <f t="shared" si="204"/>
        <v>0</v>
      </c>
      <c r="M167" s="22">
        <f t="shared" si="204"/>
        <v>0</v>
      </c>
      <c r="N167" s="22">
        <f t="shared" si="204"/>
        <v>0</v>
      </c>
      <c r="O167" s="22">
        <f t="shared" si="204"/>
        <v>0</v>
      </c>
      <c r="P167" s="22">
        <f t="shared" si="204"/>
        <v>0</v>
      </c>
      <c r="Q167" s="22">
        <f t="shared" si="204"/>
        <v>0</v>
      </c>
      <c r="R167" s="22">
        <f t="shared" si="204"/>
        <v>0</v>
      </c>
      <c r="S167" s="22">
        <f t="shared" si="204"/>
        <v>0</v>
      </c>
      <c r="T167" s="22">
        <f t="shared" si="204"/>
        <v>0</v>
      </c>
      <c r="U167" s="22">
        <f t="shared" si="204"/>
        <v>0</v>
      </c>
      <c r="V167" s="22">
        <f t="shared" si="204"/>
        <v>0</v>
      </c>
      <c r="W167" s="22">
        <f t="shared" si="204"/>
        <v>0</v>
      </c>
      <c r="X167" s="22">
        <f t="shared" si="204"/>
        <v>0</v>
      </c>
      <c r="Y167" s="384">
        <f t="shared" si="204"/>
        <v>0</v>
      </c>
    </row>
    <row r="168" spans="1:38" x14ac:dyDescent="0.35">
      <c r="A168" s="11" t="s">
        <v>13</v>
      </c>
      <c r="B168" s="22">
        <f>B148/$Z$148</f>
        <v>0.70493128536782534</v>
      </c>
      <c r="C168" s="22">
        <f t="shared" ref="C168:Y168" si="205">C148/$Z$148</f>
        <v>3.0800323362974929E-2</v>
      </c>
      <c r="D168" s="22">
        <f t="shared" si="205"/>
        <v>0</v>
      </c>
      <c r="E168" s="22">
        <f t="shared" si="205"/>
        <v>3.2336297493936931E-4</v>
      </c>
      <c r="F168" s="22">
        <f t="shared" si="205"/>
        <v>0</v>
      </c>
      <c r="G168" s="22">
        <f t="shared" si="205"/>
        <v>1.2126111560226349E-3</v>
      </c>
      <c r="H168" s="22">
        <f t="shared" si="205"/>
        <v>1.2287793047696035E-2</v>
      </c>
      <c r="I168" s="22">
        <f t="shared" si="205"/>
        <v>0</v>
      </c>
      <c r="J168" s="22">
        <f t="shared" si="205"/>
        <v>0</v>
      </c>
      <c r="K168" s="22">
        <f t="shared" si="205"/>
        <v>4.4462409054163285E-3</v>
      </c>
      <c r="L168" s="22">
        <f t="shared" si="205"/>
        <v>1.1398544866612768E-2</v>
      </c>
      <c r="M168" s="22">
        <f t="shared" si="205"/>
        <v>1.6168148746968466E-2</v>
      </c>
      <c r="N168" s="22">
        <f t="shared" si="205"/>
        <v>1.8593371059013738E-3</v>
      </c>
      <c r="O168" s="22">
        <f t="shared" si="205"/>
        <v>3.7995149555375895E-3</v>
      </c>
      <c r="P168" s="22">
        <f t="shared" si="205"/>
        <v>8.892481810832656E-4</v>
      </c>
      <c r="Q168" s="22">
        <f t="shared" si="205"/>
        <v>7.5181891673403367E-3</v>
      </c>
      <c r="R168" s="22">
        <f t="shared" si="205"/>
        <v>3.2012934518997567E-2</v>
      </c>
      <c r="S168" s="22">
        <f t="shared" si="205"/>
        <v>1.8593371059013738E-3</v>
      </c>
      <c r="T168" s="22">
        <f t="shared" si="205"/>
        <v>3.3144704931285358E-3</v>
      </c>
      <c r="U168" s="22">
        <f t="shared" si="205"/>
        <v>4.9312853678253818E-3</v>
      </c>
      <c r="V168" s="22">
        <f t="shared" si="205"/>
        <v>2.2797089733225539E-2</v>
      </c>
      <c r="W168" s="22">
        <f t="shared" si="205"/>
        <v>7.6151980598221494E-2</v>
      </c>
      <c r="X168" s="22">
        <f t="shared" si="205"/>
        <v>4.58367016976556E-2</v>
      </c>
      <c r="Y168" s="384">
        <f t="shared" si="205"/>
        <v>1.7461600646725944E-2</v>
      </c>
    </row>
    <row r="169" spans="1:38" x14ac:dyDescent="0.35">
      <c r="A169" s="11" t="s">
        <v>14</v>
      </c>
      <c r="B169" s="22">
        <f>B152/$Z$152</f>
        <v>0.64766729500471221</v>
      </c>
      <c r="C169" s="22">
        <f t="shared" ref="C169:Y169" si="206">C152/$Z$152</f>
        <v>4.1870876531573981E-2</v>
      </c>
      <c r="D169" s="22">
        <f t="shared" si="206"/>
        <v>7.7992459943449577E-3</v>
      </c>
      <c r="E169" s="22">
        <f t="shared" si="206"/>
        <v>2.3963242224316682E-2</v>
      </c>
      <c r="F169" s="22">
        <f t="shared" si="206"/>
        <v>1.8143261074458059E-3</v>
      </c>
      <c r="G169" s="22">
        <f t="shared" si="206"/>
        <v>1.4514608859566446E-2</v>
      </c>
      <c r="H169" s="22">
        <f t="shared" si="206"/>
        <v>1.1781338360037702E-2</v>
      </c>
      <c r="I169" s="22">
        <f t="shared" si="206"/>
        <v>1.8001885014137606E-2</v>
      </c>
      <c r="J169" s="22">
        <f t="shared" si="206"/>
        <v>9.8256361922714423E-3</v>
      </c>
      <c r="K169" s="22">
        <f t="shared" si="206"/>
        <v>1.3831291234684261E-2</v>
      </c>
      <c r="L169" s="22">
        <f t="shared" si="206"/>
        <v>9.6842601319509902E-3</v>
      </c>
      <c r="M169" s="22">
        <f t="shared" si="206"/>
        <v>9.6842601319509884E-3</v>
      </c>
      <c r="N169" s="22">
        <f t="shared" si="206"/>
        <v>7.4458058435438275E-3</v>
      </c>
      <c r="O169" s="22">
        <f t="shared" si="206"/>
        <v>1.1192271442035816E-2</v>
      </c>
      <c r="P169" s="22">
        <f t="shared" si="206"/>
        <v>5.2309142318567384E-3</v>
      </c>
      <c r="Q169" s="22">
        <f t="shared" si="206"/>
        <v>8.5532516493873698E-3</v>
      </c>
      <c r="R169" s="22">
        <f t="shared" si="206"/>
        <v>4.4297832233741757E-2</v>
      </c>
      <c r="S169" s="22">
        <f t="shared" si="206"/>
        <v>7.0216776625824685E-3</v>
      </c>
      <c r="T169" s="22">
        <f t="shared" si="206"/>
        <v>3.2045240339302543E-3</v>
      </c>
      <c r="U169" s="22">
        <f t="shared" si="206"/>
        <v>2.5447690857681436E-3</v>
      </c>
      <c r="V169" s="22">
        <f t="shared" si="206"/>
        <v>2.0358152686145145E-2</v>
      </c>
      <c r="W169" s="22">
        <f t="shared" si="206"/>
        <v>4.7125353440150813E-2</v>
      </c>
      <c r="X169" s="22">
        <f t="shared" si="206"/>
        <v>3.2186616399622996E-2</v>
      </c>
      <c r="Y169" s="384">
        <f t="shared" si="206"/>
        <v>4.0056550424128184E-4</v>
      </c>
    </row>
    <row r="170" spans="1:38" x14ac:dyDescent="0.35">
      <c r="A170" s="11" t="s">
        <v>17</v>
      </c>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384"/>
    </row>
    <row r="171" spans="1:38" x14ac:dyDescent="0.35">
      <c r="A171" s="11" t="s">
        <v>18</v>
      </c>
      <c r="B171" s="22">
        <f>B158/$Z$158</f>
        <v>0.38129070455891045</v>
      </c>
      <c r="C171" s="22">
        <f t="shared" ref="C171:Y171" si="207">C158/$Z$158</f>
        <v>0</v>
      </c>
      <c r="D171" s="22">
        <f t="shared" si="207"/>
        <v>0</v>
      </c>
      <c r="E171" s="22">
        <f t="shared" si="207"/>
        <v>0</v>
      </c>
      <c r="F171" s="22">
        <f t="shared" si="207"/>
        <v>0</v>
      </c>
      <c r="G171" s="22">
        <f t="shared" si="207"/>
        <v>0</v>
      </c>
      <c r="H171" s="22">
        <f t="shared" si="207"/>
        <v>0</v>
      </c>
      <c r="I171" s="22">
        <f t="shared" si="207"/>
        <v>0</v>
      </c>
      <c r="J171" s="22">
        <f t="shared" si="207"/>
        <v>0</v>
      </c>
      <c r="K171" s="22">
        <f t="shared" si="207"/>
        <v>0</v>
      </c>
      <c r="L171" s="22">
        <f t="shared" si="207"/>
        <v>0</v>
      </c>
      <c r="M171" s="22">
        <f t="shared" si="207"/>
        <v>2.8419182948490222E-2</v>
      </c>
      <c r="N171" s="22">
        <f t="shared" si="207"/>
        <v>0</v>
      </c>
      <c r="O171" s="22">
        <f t="shared" si="207"/>
        <v>0</v>
      </c>
      <c r="P171" s="22">
        <f t="shared" si="207"/>
        <v>0</v>
      </c>
      <c r="Q171" s="22">
        <f t="shared" si="207"/>
        <v>0</v>
      </c>
      <c r="R171" s="22">
        <f t="shared" si="207"/>
        <v>7.1047957371225554E-3</v>
      </c>
      <c r="S171" s="22">
        <f t="shared" si="207"/>
        <v>0</v>
      </c>
      <c r="T171" s="22">
        <f t="shared" si="207"/>
        <v>0</v>
      </c>
      <c r="U171" s="22">
        <f t="shared" si="207"/>
        <v>0</v>
      </c>
      <c r="V171" s="22">
        <f t="shared" si="207"/>
        <v>9.0586145648312591E-2</v>
      </c>
      <c r="W171" s="22">
        <f t="shared" si="207"/>
        <v>6.8679692125518041E-2</v>
      </c>
      <c r="X171" s="22">
        <f t="shared" si="207"/>
        <v>0.42332741267021901</v>
      </c>
      <c r="Y171" s="384">
        <f t="shared" si="207"/>
        <v>5.9206631142687965E-4</v>
      </c>
    </row>
    <row r="172" spans="1:38" x14ac:dyDescent="0.35">
      <c r="A172" s="11" t="s">
        <v>22</v>
      </c>
      <c r="B172" s="22">
        <f>B160/$Z$160</f>
        <v>0.94666861484511977</v>
      </c>
      <c r="C172" s="22">
        <f t="shared" ref="C172:Y172" si="208">C160/$Z$160</f>
        <v>2.0017533606078317E-2</v>
      </c>
      <c r="D172" s="22">
        <f t="shared" si="208"/>
        <v>0</v>
      </c>
      <c r="E172" s="22">
        <f t="shared" si="208"/>
        <v>0</v>
      </c>
      <c r="F172" s="22">
        <f t="shared" si="208"/>
        <v>0</v>
      </c>
      <c r="G172" s="22">
        <f t="shared" si="208"/>
        <v>0</v>
      </c>
      <c r="H172" s="22">
        <f t="shared" si="208"/>
        <v>0</v>
      </c>
      <c r="I172" s="22">
        <f t="shared" si="208"/>
        <v>0</v>
      </c>
      <c r="J172" s="22">
        <f t="shared" si="208"/>
        <v>0</v>
      </c>
      <c r="K172" s="22">
        <f t="shared" si="208"/>
        <v>0</v>
      </c>
      <c r="L172" s="22">
        <f t="shared" si="208"/>
        <v>0</v>
      </c>
      <c r="M172" s="22">
        <f t="shared" si="208"/>
        <v>3.3606078316773813E-3</v>
      </c>
      <c r="N172" s="22">
        <f t="shared" si="208"/>
        <v>0</v>
      </c>
      <c r="O172" s="22">
        <f t="shared" si="208"/>
        <v>0</v>
      </c>
      <c r="P172" s="22">
        <f t="shared" si="208"/>
        <v>0</v>
      </c>
      <c r="Q172" s="22">
        <f t="shared" si="208"/>
        <v>0</v>
      </c>
      <c r="R172" s="22">
        <f t="shared" si="208"/>
        <v>0</v>
      </c>
      <c r="S172" s="22">
        <f t="shared" si="208"/>
        <v>0</v>
      </c>
      <c r="T172" s="22">
        <f t="shared" si="208"/>
        <v>0</v>
      </c>
      <c r="U172" s="22">
        <f t="shared" si="208"/>
        <v>0</v>
      </c>
      <c r="V172" s="22">
        <f t="shared" si="208"/>
        <v>0</v>
      </c>
      <c r="W172" s="22">
        <f t="shared" si="208"/>
        <v>1.212741087083577E-2</v>
      </c>
      <c r="X172" s="22">
        <f t="shared" si="208"/>
        <v>1.3150204558737581E-2</v>
      </c>
      <c r="Y172" s="384">
        <f t="shared" si="208"/>
        <v>4.6756282875511403E-3</v>
      </c>
    </row>
    <row r="173" spans="1:38" x14ac:dyDescent="0.35">
      <c r="A173" s="11" t="s">
        <v>25</v>
      </c>
      <c r="B173" s="22">
        <f>B162/$Z$162</f>
        <v>0.67906845536609828</v>
      </c>
      <c r="C173" s="22">
        <f t="shared" ref="C173:Y173" si="209">C162/$Z$162</f>
        <v>4.0371113340020061E-2</v>
      </c>
      <c r="D173" s="22">
        <f t="shared" si="209"/>
        <v>5.1874373119358093E-3</v>
      </c>
      <c r="E173" s="22">
        <f t="shared" si="209"/>
        <v>1.600112838515547E-2</v>
      </c>
      <c r="F173" s="22">
        <f t="shared" si="209"/>
        <v>1.2067452357071217E-3</v>
      </c>
      <c r="G173" s="22">
        <f t="shared" si="209"/>
        <v>9.8890421263791405E-3</v>
      </c>
      <c r="H173" s="22">
        <f t="shared" si="209"/>
        <v>1.1550275827482449E-2</v>
      </c>
      <c r="I173" s="22">
        <f t="shared" si="209"/>
        <v>1.1973420260782351E-2</v>
      </c>
      <c r="J173" s="22">
        <f t="shared" si="209"/>
        <v>7.1307673019057188E-3</v>
      </c>
      <c r="K173" s="22">
        <f t="shared" si="209"/>
        <v>1.101742728184554E-2</v>
      </c>
      <c r="L173" s="22">
        <f t="shared" si="209"/>
        <v>8.6509528585757313E-3</v>
      </c>
      <c r="M173" s="22">
        <f t="shared" si="209"/>
        <v>1.0688314944834505E-2</v>
      </c>
      <c r="N173" s="22">
        <f t="shared" si="209"/>
        <v>5.312813440320965E-3</v>
      </c>
      <c r="O173" s="22">
        <f t="shared" si="209"/>
        <v>8.1807923771313965E-3</v>
      </c>
      <c r="P173" s="22">
        <f t="shared" si="209"/>
        <v>3.6515797392176535E-3</v>
      </c>
      <c r="Q173" s="22">
        <f t="shared" si="209"/>
        <v>7.146439317953863E-3</v>
      </c>
      <c r="R173" s="22">
        <f t="shared" si="209"/>
        <v>3.5857572718154478E-2</v>
      </c>
      <c r="S173" s="22">
        <f t="shared" si="209"/>
        <v>5.0307171514543635E-3</v>
      </c>
      <c r="T173" s="22">
        <f t="shared" si="209"/>
        <v>2.7739468405215653E-3</v>
      </c>
      <c r="U173" s="22">
        <f t="shared" si="209"/>
        <v>2.64857071213641E-3</v>
      </c>
      <c r="V173" s="22">
        <f t="shared" si="209"/>
        <v>2.0357948846539624E-2</v>
      </c>
      <c r="W173" s="22">
        <f t="shared" si="209"/>
        <v>4.9225802407221686E-2</v>
      </c>
      <c r="X173" s="22">
        <f t="shared" si="209"/>
        <v>4.2909979939819473E-2</v>
      </c>
      <c r="Y173" s="384">
        <f t="shared" si="209"/>
        <v>4.1687562688064207E-3</v>
      </c>
    </row>
    <row r="176" spans="1:38" ht="23.5" x14ac:dyDescent="0.55000000000000004">
      <c r="A176" s="289" t="s">
        <v>77</v>
      </c>
      <c r="B176" s="205"/>
    </row>
    <row r="177" spans="1:43" ht="15.5" x14ac:dyDescent="0.35">
      <c r="A177" s="288" t="s">
        <v>98</v>
      </c>
    </row>
    <row r="179" spans="1:43" ht="76.5" customHeight="1" x14ac:dyDescent="0.35">
      <c r="A179" s="115" t="s">
        <v>0</v>
      </c>
      <c r="B179" s="114" t="s">
        <v>89</v>
      </c>
      <c r="C179" s="114">
        <v>2000</v>
      </c>
      <c r="D179" s="114">
        <v>2001</v>
      </c>
      <c r="E179" s="114">
        <v>2002</v>
      </c>
      <c r="F179" s="114">
        <v>2003</v>
      </c>
      <c r="G179" s="114">
        <v>2004</v>
      </c>
      <c r="H179" s="114">
        <v>2005</v>
      </c>
      <c r="I179" s="114">
        <v>2006</v>
      </c>
      <c r="J179" s="114">
        <v>2007</v>
      </c>
      <c r="K179" s="114">
        <v>2008</v>
      </c>
      <c r="L179" s="114">
        <v>2009</v>
      </c>
      <c r="M179" s="114">
        <v>2010</v>
      </c>
      <c r="N179" s="114">
        <v>2011</v>
      </c>
      <c r="O179" s="114">
        <v>2012</v>
      </c>
      <c r="P179" s="114">
        <v>2013</v>
      </c>
      <c r="Q179" s="114">
        <v>2014</v>
      </c>
      <c r="R179" s="114">
        <v>2015</v>
      </c>
      <c r="S179" s="114">
        <v>2016</v>
      </c>
      <c r="T179" s="114">
        <v>2017</v>
      </c>
      <c r="U179" s="114">
        <v>2018</v>
      </c>
      <c r="V179" s="114">
        <v>2019</v>
      </c>
      <c r="W179" s="114">
        <v>2020</v>
      </c>
      <c r="X179" s="114">
        <v>2021</v>
      </c>
      <c r="Y179" s="187" t="s">
        <v>90</v>
      </c>
      <c r="Z179" s="187" t="s">
        <v>91</v>
      </c>
      <c r="AA179" s="187" t="s">
        <v>92</v>
      </c>
      <c r="AC179" s="187" t="s">
        <v>93</v>
      </c>
      <c r="AD179" s="187" t="s">
        <v>107</v>
      </c>
      <c r="AE179" s="187" t="s">
        <v>94</v>
      </c>
      <c r="AF179" s="187" t="s">
        <v>96</v>
      </c>
      <c r="AG179" s="187" t="s">
        <v>97</v>
      </c>
    </row>
    <row r="180" spans="1:43" x14ac:dyDescent="0.35">
      <c r="A180" s="116" t="s">
        <v>5</v>
      </c>
      <c r="B180" s="117">
        <f>SUM(B181:B188)</f>
        <v>264.15999999999997</v>
      </c>
      <c r="C180" s="117">
        <f t="shared" ref="C180:Y180" si="210">SUM(C181:C188)</f>
        <v>37.840000000000003</v>
      </c>
      <c r="D180" s="117"/>
      <c r="E180" s="117">
        <f t="shared" si="210"/>
        <v>0.03</v>
      </c>
      <c r="F180" s="117"/>
      <c r="G180" s="117"/>
      <c r="H180" s="117"/>
      <c r="I180" s="117"/>
      <c r="J180" s="117"/>
      <c r="K180" s="117"/>
      <c r="L180" s="117"/>
      <c r="M180" s="117"/>
      <c r="N180" s="117"/>
      <c r="O180" s="117"/>
      <c r="P180" s="117"/>
      <c r="Q180" s="117"/>
      <c r="R180" s="117">
        <f t="shared" si="210"/>
        <v>10.16</v>
      </c>
      <c r="S180" s="117"/>
      <c r="T180" s="117">
        <f t="shared" si="210"/>
        <v>1.51</v>
      </c>
      <c r="U180" s="117">
        <f t="shared" si="210"/>
        <v>0.13</v>
      </c>
      <c r="V180" s="117"/>
      <c r="W180" s="117"/>
      <c r="X180" s="117">
        <f t="shared" si="210"/>
        <v>6.12</v>
      </c>
      <c r="Y180" s="117">
        <f t="shared" si="210"/>
        <v>0.1</v>
      </c>
      <c r="Z180" s="117">
        <f>SUM(B180:Y180)</f>
        <v>320.05</v>
      </c>
      <c r="AA180" s="185">
        <f t="shared" ref="AA180:AA206" si="211">Z180/$Z$206</f>
        <v>0.22673977882156243</v>
      </c>
      <c r="AC180" s="117">
        <f>SUM(B180:T180)</f>
        <v>313.7</v>
      </c>
      <c r="AD180" s="117">
        <f>SUM(U180:X180)</f>
        <v>6.25</v>
      </c>
      <c r="AE180" s="117">
        <f>Y180</f>
        <v>0.1</v>
      </c>
      <c r="AF180" s="117">
        <f>SUM(AC180:AE180)</f>
        <v>320.05</v>
      </c>
      <c r="AG180" s="185">
        <f>AD180/AF180</f>
        <v>1.9528198718950163E-2</v>
      </c>
    </row>
    <row r="181" spans="1:43" x14ac:dyDescent="0.35">
      <c r="A181" s="6" t="s">
        <v>78</v>
      </c>
      <c r="B181" s="12">
        <v>0.63</v>
      </c>
      <c r="C181" s="12"/>
      <c r="D181" s="12"/>
      <c r="E181" s="12">
        <v>0.03</v>
      </c>
      <c r="F181" s="12"/>
      <c r="G181" s="12"/>
      <c r="H181" s="12"/>
      <c r="I181" s="12"/>
      <c r="J181" s="12"/>
      <c r="K181" s="12"/>
      <c r="L181" s="12"/>
      <c r="M181" s="12"/>
      <c r="N181" s="12"/>
      <c r="O181" s="12"/>
      <c r="P181" s="12"/>
      <c r="Q181" s="12"/>
      <c r="R181" s="12"/>
      <c r="S181" s="12"/>
      <c r="T181" s="12"/>
      <c r="U181" s="12"/>
      <c r="V181" s="12"/>
      <c r="W181" s="12"/>
      <c r="X181" s="12"/>
      <c r="Y181" s="12"/>
      <c r="Z181" s="12">
        <f>SUM(B181:Y181)</f>
        <v>0.66</v>
      </c>
      <c r="AA181" s="22">
        <f t="shared" si="211"/>
        <v>4.6757773479841027E-4</v>
      </c>
      <c r="AC181" s="12">
        <f>SUM(B181:T181)</f>
        <v>0.66</v>
      </c>
      <c r="AD181" s="12">
        <f>SUM(U181:X181)</f>
        <v>0</v>
      </c>
      <c r="AE181" s="12">
        <f>Y181</f>
        <v>0</v>
      </c>
      <c r="AF181" s="12">
        <f>SUM(AC181:AE181)</f>
        <v>0.66</v>
      </c>
      <c r="AG181" s="22">
        <f>AD181/AF181</f>
        <v>0</v>
      </c>
    </row>
    <row r="182" spans="1:43" x14ac:dyDescent="0.35">
      <c r="A182" s="6" t="s">
        <v>7</v>
      </c>
      <c r="B182" s="12">
        <v>0.1</v>
      </c>
      <c r="C182" s="12">
        <v>17.37</v>
      </c>
      <c r="D182" s="12"/>
      <c r="E182" s="12"/>
      <c r="F182" s="12"/>
      <c r="G182" s="12"/>
      <c r="H182" s="12"/>
      <c r="I182" s="12"/>
      <c r="J182" s="12"/>
      <c r="K182" s="12"/>
      <c r="L182" s="12"/>
      <c r="M182" s="12"/>
      <c r="N182" s="12"/>
      <c r="O182" s="12"/>
      <c r="P182" s="12"/>
      <c r="Q182" s="12"/>
      <c r="R182" s="12"/>
      <c r="S182" s="12"/>
      <c r="T182" s="12">
        <v>1.51</v>
      </c>
      <c r="U182" s="12"/>
      <c r="V182" s="12"/>
      <c r="W182" s="12"/>
      <c r="X182" s="12"/>
      <c r="Y182" s="12">
        <v>0.1</v>
      </c>
      <c r="Z182" s="12">
        <f t="shared" ref="Z182:Z188" si="212">SUM(B182:Y182)</f>
        <v>19.080000000000005</v>
      </c>
      <c r="AA182" s="22">
        <f t="shared" si="211"/>
        <v>1.3517247242354046E-2</v>
      </c>
      <c r="AC182" s="12">
        <f t="shared" ref="AC182:AC205" si="213">SUM(B182:T182)</f>
        <v>18.980000000000004</v>
      </c>
      <c r="AD182" s="12">
        <f t="shared" ref="AD182:AD205" si="214">SUM(U182:X182)</f>
        <v>0</v>
      </c>
      <c r="AE182" s="12">
        <f t="shared" ref="AE182:AE205" si="215">Y182</f>
        <v>0.1</v>
      </c>
      <c r="AF182" s="12">
        <f t="shared" ref="AF182:AF206" si="216">SUM(AC182:AE182)</f>
        <v>19.080000000000005</v>
      </c>
      <c r="AG182" s="22">
        <f t="shared" ref="AG182:AG205" si="217">AD182/AF182</f>
        <v>0</v>
      </c>
    </row>
    <row r="183" spans="1:43" x14ac:dyDescent="0.35">
      <c r="A183" s="6" t="s">
        <v>8</v>
      </c>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f t="shared" si="212"/>
        <v>0</v>
      </c>
      <c r="AA183" s="22">
        <f t="shared" si="211"/>
        <v>0</v>
      </c>
      <c r="AC183" s="12">
        <f t="shared" si="213"/>
        <v>0</v>
      </c>
      <c r="AD183" s="12">
        <f t="shared" si="214"/>
        <v>0</v>
      </c>
      <c r="AE183" s="12">
        <f t="shared" si="215"/>
        <v>0</v>
      </c>
      <c r="AF183" s="12">
        <f t="shared" si="216"/>
        <v>0</v>
      </c>
      <c r="AG183" s="22"/>
    </row>
    <row r="184" spans="1:43" x14ac:dyDescent="0.35">
      <c r="A184" s="6" t="s">
        <v>26</v>
      </c>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f t="shared" si="212"/>
        <v>0</v>
      </c>
      <c r="AA184" s="22">
        <f t="shared" si="211"/>
        <v>0</v>
      </c>
      <c r="AC184" s="12">
        <f t="shared" si="213"/>
        <v>0</v>
      </c>
      <c r="AD184" s="12">
        <f t="shared" si="214"/>
        <v>0</v>
      </c>
      <c r="AE184" s="12">
        <f t="shared" si="215"/>
        <v>0</v>
      </c>
      <c r="AF184" s="12">
        <f t="shared" si="216"/>
        <v>0</v>
      </c>
      <c r="AG184" s="22"/>
    </row>
    <row r="185" spans="1:43" x14ac:dyDescent="0.35">
      <c r="A185" s="6" t="s">
        <v>27</v>
      </c>
      <c r="B185" s="12">
        <v>221.33999999999997</v>
      </c>
      <c r="C185" s="12">
        <v>18.98</v>
      </c>
      <c r="D185" s="12"/>
      <c r="E185" s="12"/>
      <c r="F185" s="12"/>
      <c r="G185" s="12"/>
      <c r="H185" s="12"/>
      <c r="I185" s="12"/>
      <c r="J185" s="12"/>
      <c r="K185" s="12"/>
      <c r="L185" s="12"/>
      <c r="M185" s="12"/>
      <c r="N185" s="12"/>
      <c r="O185" s="12"/>
      <c r="P185" s="12"/>
      <c r="Q185" s="12"/>
      <c r="R185" s="12"/>
      <c r="S185" s="12"/>
      <c r="T185" s="12"/>
      <c r="U185" s="12"/>
      <c r="V185" s="12"/>
      <c r="W185" s="12"/>
      <c r="X185" s="12"/>
      <c r="Y185" s="12"/>
      <c r="Z185" s="12">
        <f t="shared" si="212"/>
        <v>240.31999999999996</v>
      </c>
      <c r="AA185" s="22">
        <f t="shared" si="211"/>
        <v>0.17025497155568778</v>
      </c>
      <c r="AC185" s="12">
        <f t="shared" si="213"/>
        <v>240.31999999999996</v>
      </c>
      <c r="AD185" s="12">
        <f t="shared" si="214"/>
        <v>0</v>
      </c>
      <c r="AE185" s="12">
        <f t="shared" si="215"/>
        <v>0</v>
      </c>
      <c r="AF185" s="12">
        <f t="shared" si="216"/>
        <v>240.31999999999996</v>
      </c>
      <c r="AG185" s="22">
        <f t="shared" si="217"/>
        <v>0</v>
      </c>
    </row>
    <row r="186" spans="1:43" x14ac:dyDescent="0.35">
      <c r="A186" s="6" t="s">
        <v>28</v>
      </c>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f t="shared" si="212"/>
        <v>0</v>
      </c>
      <c r="AA186" s="22">
        <f t="shared" si="211"/>
        <v>0</v>
      </c>
      <c r="AC186" s="12">
        <f t="shared" si="213"/>
        <v>0</v>
      </c>
      <c r="AD186" s="12">
        <f t="shared" si="214"/>
        <v>0</v>
      </c>
      <c r="AE186" s="12">
        <f t="shared" si="215"/>
        <v>0</v>
      </c>
      <c r="AF186" s="12">
        <f t="shared" si="216"/>
        <v>0</v>
      </c>
      <c r="AG186" s="22"/>
    </row>
    <row r="187" spans="1:43" x14ac:dyDescent="0.35">
      <c r="A187" s="6" t="s">
        <v>29</v>
      </c>
      <c r="B187" s="12">
        <v>26.96</v>
      </c>
      <c r="C187" s="12">
        <f>1.14+0.35</f>
        <v>1.4899999999999998</v>
      </c>
      <c r="D187" s="12"/>
      <c r="E187" s="12"/>
      <c r="F187" s="12"/>
      <c r="G187" s="12"/>
      <c r="H187" s="12"/>
      <c r="I187" s="12"/>
      <c r="J187" s="12"/>
      <c r="K187" s="12"/>
      <c r="L187" s="12"/>
      <c r="M187" s="12"/>
      <c r="N187" s="12"/>
      <c r="O187" s="12"/>
      <c r="P187" s="12"/>
      <c r="Q187" s="12"/>
      <c r="R187" s="12">
        <v>0.01</v>
      </c>
      <c r="S187" s="12"/>
      <c r="T187" s="12"/>
      <c r="U187" s="12">
        <v>0.13</v>
      </c>
      <c r="V187" s="12"/>
      <c r="W187" s="12"/>
      <c r="X187" s="12"/>
      <c r="Y187" s="12"/>
      <c r="Z187" s="12">
        <f t="shared" si="212"/>
        <v>28.59</v>
      </c>
      <c r="AA187" s="22">
        <f t="shared" si="211"/>
        <v>2.0254617330131133E-2</v>
      </c>
      <c r="AC187" s="12">
        <f t="shared" si="213"/>
        <v>28.46</v>
      </c>
      <c r="AD187" s="12">
        <f t="shared" si="214"/>
        <v>0.13</v>
      </c>
      <c r="AE187" s="12">
        <f t="shared" si="215"/>
        <v>0</v>
      </c>
      <c r="AF187" s="12">
        <f t="shared" si="216"/>
        <v>28.59</v>
      </c>
      <c r="AG187" s="22">
        <f t="shared" si="217"/>
        <v>4.5470444211262685E-3</v>
      </c>
    </row>
    <row r="188" spans="1:43" x14ac:dyDescent="0.35">
      <c r="A188" s="6" t="s">
        <v>30</v>
      </c>
      <c r="B188" s="12">
        <f>15+0.13</f>
        <v>15.13</v>
      </c>
      <c r="C188" s="12"/>
      <c r="D188" s="12"/>
      <c r="E188" s="12"/>
      <c r="F188" s="12"/>
      <c r="G188" s="12"/>
      <c r="H188" s="12"/>
      <c r="I188" s="12"/>
      <c r="J188" s="12"/>
      <c r="K188" s="12"/>
      <c r="L188" s="12"/>
      <c r="M188" s="12"/>
      <c r="N188" s="12"/>
      <c r="O188" s="12"/>
      <c r="P188" s="12"/>
      <c r="Q188" s="12"/>
      <c r="R188" s="12">
        <f>3.99+6.16</f>
        <v>10.15</v>
      </c>
      <c r="S188" s="12"/>
      <c r="T188" s="12"/>
      <c r="U188" s="12"/>
      <c r="V188" s="12"/>
      <c r="W188" s="12"/>
      <c r="X188" s="12">
        <v>6.12</v>
      </c>
      <c r="Y188" s="12"/>
      <c r="Z188" s="12">
        <f t="shared" si="212"/>
        <v>31.400000000000002</v>
      </c>
      <c r="AA188" s="22">
        <f t="shared" si="211"/>
        <v>2.2245364958591033E-2</v>
      </c>
      <c r="AC188" s="12">
        <f t="shared" si="213"/>
        <v>25.28</v>
      </c>
      <c r="AD188" s="12">
        <f t="shared" si="214"/>
        <v>6.12</v>
      </c>
      <c r="AE188" s="12">
        <f t="shared" si="215"/>
        <v>0</v>
      </c>
      <c r="AF188" s="12">
        <f t="shared" si="216"/>
        <v>31.400000000000002</v>
      </c>
      <c r="AG188" s="22">
        <f t="shared" si="217"/>
        <v>0.1949044585987261</v>
      </c>
    </row>
    <row r="189" spans="1:43" x14ac:dyDescent="0.35">
      <c r="A189" s="116" t="s">
        <v>15</v>
      </c>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85">
        <f t="shared" si="211"/>
        <v>0</v>
      </c>
      <c r="AC189" s="117">
        <f>SUM(B189:T189)</f>
        <v>0</v>
      </c>
      <c r="AD189" s="117">
        <f>SUM(U189:X189)</f>
        <v>0</v>
      </c>
      <c r="AE189" s="117">
        <f>Y189</f>
        <v>0</v>
      </c>
      <c r="AF189" s="117">
        <f>SUM(AC189:AE189)</f>
        <v>0</v>
      </c>
      <c r="AG189" s="185"/>
    </row>
    <row r="190" spans="1:43" x14ac:dyDescent="0.35">
      <c r="A190" s="6" t="s">
        <v>45</v>
      </c>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22">
        <f t="shared" si="211"/>
        <v>0</v>
      </c>
      <c r="AC190" s="12">
        <f t="shared" si="213"/>
        <v>0</v>
      </c>
      <c r="AD190" s="12">
        <f t="shared" si="214"/>
        <v>0</v>
      </c>
      <c r="AE190" s="12">
        <f t="shared" si="215"/>
        <v>0</v>
      </c>
      <c r="AF190" s="12">
        <f t="shared" si="216"/>
        <v>0</v>
      </c>
      <c r="AG190" s="22"/>
    </row>
    <row r="191" spans="1:43" x14ac:dyDescent="0.35">
      <c r="A191" s="6" t="s">
        <v>42</v>
      </c>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22">
        <f t="shared" si="211"/>
        <v>0</v>
      </c>
      <c r="AC191" s="12">
        <f t="shared" si="213"/>
        <v>0</v>
      </c>
      <c r="AD191" s="12">
        <f t="shared" si="214"/>
        <v>0</v>
      </c>
      <c r="AE191" s="12">
        <f t="shared" si="215"/>
        <v>0</v>
      </c>
      <c r="AF191" s="12">
        <f t="shared" si="216"/>
        <v>0</v>
      </c>
      <c r="AG191" s="22"/>
    </row>
    <row r="192" spans="1:43" x14ac:dyDescent="0.35">
      <c r="A192" s="116" t="s">
        <v>13</v>
      </c>
      <c r="B192" s="117">
        <f>SUM(B193:B195)</f>
        <v>169.95</v>
      </c>
      <c r="C192" s="117">
        <f t="shared" ref="C192:Z192" si="218">SUM(C193:C195)</f>
        <v>1.05</v>
      </c>
      <c r="D192" s="117">
        <f t="shared" si="218"/>
        <v>2.84</v>
      </c>
      <c r="E192" s="117"/>
      <c r="F192" s="117"/>
      <c r="G192" s="117"/>
      <c r="H192" s="117"/>
      <c r="I192" s="117">
        <f t="shared" si="218"/>
        <v>1.1200000000000001</v>
      </c>
      <c r="J192" s="117"/>
      <c r="K192" s="117"/>
      <c r="L192" s="117"/>
      <c r="M192" s="117">
        <f t="shared" si="218"/>
        <v>0.08</v>
      </c>
      <c r="N192" s="117"/>
      <c r="O192" s="117"/>
      <c r="P192" s="117"/>
      <c r="Q192" s="117"/>
      <c r="R192" s="117"/>
      <c r="S192" s="117"/>
      <c r="T192" s="117"/>
      <c r="U192" s="117"/>
      <c r="V192" s="117">
        <f t="shared" si="218"/>
        <v>0.53</v>
      </c>
      <c r="W192" s="117">
        <f t="shared" si="218"/>
        <v>0</v>
      </c>
      <c r="X192" s="117"/>
      <c r="Y192" s="117">
        <f t="shared" si="218"/>
        <v>1.19</v>
      </c>
      <c r="Z192" s="117">
        <f t="shared" si="218"/>
        <v>176.76</v>
      </c>
      <c r="AA192" s="185">
        <f t="shared" si="211"/>
        <v>0.12522581879237424</v>
      </c>
      <c r="AC192" s="117">
        <f>SUM(B192:T192)</f>
        <v>175.04000000000002</v>
      </c>
      <c r="AD192" s="117">
        <f>SUM(U192:X192)</f>
        <v>0.53</v>
      </c>
      <c r="AE192" s="117">
        <f>Y192</f>
        <v>1.19</v>
      </c>
      <c r="AF192" s="117">
        <f>SUM(AC192:AE192)</f>
        <v>176.76000000000002</v>
      </c>
      <c r="AG192" s="185">
        <f>AD192/AF192</f>
        <v>2.9984159312061551E-3</v>
      </c>
      <c r="AN192" s="342"/>
      <c r="AO192" s="342" t="s">
        <v>256</v>
      </c>
      <c r="AP192" s="342" t="s">
        <v>96</v>
      </c>
      <c r="AQ192" s="342" t="s">
        <v>257</v>
      </c>
    </row>
    <row r="193" spans="1:43" x14ac:dyDescent="0.35">
      <c r="A193" s="6" t="s">
        <v>34</v>
      </c>
      <c r="B193" s="12">
        <v>16.729999999999997</v>
      </c>
      <c r="C193" s="12">
        <f>0.6+0.45</f>
        <v>1.05</v>
      </c>
      <c r="D193" s="12"/>
      <c r="E193" s="12"/>
      <c r="F193" s="12"/>
      <c r="G193" s="12"/>
      <c r="H193" s="12"/>
      <c r="I193" s="12">
        <v>1.1200000000000001</v>
      </c>
      <c r="J193" s="12"/>
      <c r="K193" s="12"/>
      <c r="L193" s="12"/>
      <c r="M193" s="12"/>
      <c r="N193" s="12"/>
      <c r="O193" s="12"/>
      <c r="P193" s="12"/>
      <c r="Q193" s="12"/>
      <c r="R193" s="12"/>
      <c r="S193" s="12"/>
      <c r="T193" s="12"/>
      <c r="U193" s="12"/>
      <c r="V193" s="12"/>
      <c r="W193" s="12"/>
      <c r="X193" s="12"/>
      <c r="Y193" s="12">
        <f>0.02+0.01+0.04</f>
        <v>7.0000000000000007E-2</v>
      </c>
      <c r="Z193" s="12">
        <f t="shared" ref="Z193:Z205" si="219">SUM(B193:Y193)</f>
        <v>18.97</v>
      </c>
      <c r="AA193" s="22">
        <f t="shared" si="211"/>
        <v>1.3439317619887639E-2</v>
      </c>
      <c r="AC193" s="12">
        <f t="shared" si="213"/>
        <v>18.899999999999999</v>
      </c>
      <c r="AD193" s="12">
        <f t="shared" si="214"/>
        <v>0</v>
      </c>
      <c r="AE193" s="12">
        <f t="shared" si="215"/>
        <v>7.0000000000000007E-2</v>
      </c>
      <c r="AF193" s="12">
        <f t="shared" si="216"/>
        <v>18.97</v>
      </c>
      <c r="AG193" s="22">
        <f t="shared" si="217"/>
        <v>0</v>
      </c>
      <c r="AI193" s="210" t="s">
        <v>255</v>
      </c>
      <c r="AN193" s="116" t="s">
        <v>18</v>
      </c>
      <c r="AO193" s="343">
        <v>30.770000000000003</v>
      </c>
      <c r="AP193" s="343">
        <v>410.34999999999997</v>
      </c>
      <c r="AQ193" s="190">
        <f>AO193/AP193</f>
        <v>7.4984769099549181E-2</v>
      </c>
    </row>
    <row r="194" spans="1:43" x14ac:dyDescent="0.35">
      <c r="A194" s="6" t="s">
        <v>61</v>
      </c>
      <c r="B194" s="12">
        <v>37.79</v>
      </c>
      <c r="C194" s="12"/>
      <c r="D194" s="12"/>
      <c r="E194" s="12"/>
      <c r="F194" s="12"/>
      <c r="G194" s="12"/>
      <c r="H194" s="12"/>
      <c r="I194" s="12"/>
      <c r="J194" s="12"/>
      <c r="K194" s="12"/>
      <c r="L194" s="12"/>
      <c r="M194" s="12"/>
      <c r="N194" s="12"/>
      <c r="O194" s="12"/>
      <c r="P194" s="12"/>
      <c r="Q194" s="12"/>
      <c r="R194" s="12"/>
      <c r="S194" s="12"/>
      <c r="T194" s="12"/>
      <c r="U194" s="12"/>
      <c r="V194" s="12"/>
      <c r="W194" s="12"/>
      <c r="X194" s="12"/>
      <c r="Y194" s="12">
        <f>0.14+0.03+0.29</f>
        <v>0.45999999999999996</v>
      </c>
      <c r="Z194" s="12">
        <f t="shared" si="219"/>
        <v>38.25</v>
      </c>
      <c r="AA194" s="22">
        <f t="shared" si="211"/>
        <v>2.7098255084907867E-2</v>
      </c>
      <c r="AC194" s="12">
        <f t="shared" si="213"/>
        <v>37.79</v>
      </c>
      <c r="AD194" s="12">
        <f t="shared" si="214"/>
        <v>0</v>
      </c>
      <c r="AE194" s="12">
        <f t="shared" si="215"/>
        <v>0.45999999999999996</v>
      </c>
      <c r="AF194" s="12">
        <f t="shared" si="216"/>
        <v>38.25</v>
      </c>
      <c r="AG194" s="22">
        <f t="shared" si="217"/>
        <v>0</v>
      </c>
      <c r="AJ194" t="s">
        <v>256</v>
      </c>
      <c r="AK194" t="s">
        <v>96</v>
      </c>
      <c r="AL194" t="s">
        <v>257</v>
      </c>
      <c r="AN194" s="116" t="s">
        <v>5</v>
      </c>
      <c r="AO194" s="343">
        <v>6.25</v>
      </c>
      <c r="AP194" s="343">
        <v>320.05</v>
      </c>
      <c r="AQ194" s="190">
        <f>AO194/AP194</f>
        <v>1.9528198718950163E-2</v>
      </c>
    </row>
    <row r="195" spans="1:43" x14ac:dyDescent="0.35">
      <c r="A195" s="6" t="s">
        <v>36</v>
      </c>
      <c r="B195" s="12">
        <v>115.43</v>
      </c>
      <c r="C195" s="12"/>
      <c r="D195" s="12">
        <v>2.84</v>
      </c>
      <c r="E195" s="12"/>
      <c r="F195" s="12"/>
      <c r="G195" s="12"/>
      <c r="H195" s="12"/>
      <c r="I195" s="12"/>
      <c r="J195" s="12"/>
      <c r="K195" s="12"/>
      <c r="L195" s="12"/>
      <c r="M195" s="12">
        <v>0.08</v>
      </c>
      <c r="N195" s="12"/>
      <c r="O195" s="12"/>
      <c r="P195" s="12"/>
      <c r="Q195" s="12"/>
      <c r="R195" s="12"/>
      <c r="S195" s="12"/>
      <c r="T195" s="12"/>
      <c r="U195" s="12"/>
      <c r="V195" s="12">
        <v>0.53</v>
      </c>
      <c r="W195" s="12"/>
      <c r="X195" s="12"/>
      <c r="Y195" s="12">
        <v>0.66</v>
      </c>
      <c r="Z195" s="12">
        <f t="shared" si="219"/>
        <v>119.54</v>
      </c>
      <c r="AA195" s="22">
        <f t="shared" si="211"/>
        <v>8.4688246087578731E-2</v>
      </c>
      <c r="AC195" s="12">
        <f t="shared" si="213"/>
        <v>118.35000000000001</v>
      </c>
      <c r="AD195" s="12">
        <f t="shared" si="214"/>
        <v>0.53</v>
      </c>
      <c r="AE195" s="12">
        <f t="shared" si="215"/>
        <v>0.66</v>
      </c>
      <c r="AF195" s="12">
        <f t="shared" si="216"/>
        <v>119.54</v>
      </c>
      <c r="AG195" s="22">
        <f t="shared" si="217"/>
        <v>4.4336623724276396E-3</v>
      </c>
      <c r="AI195" s="6" t="s">
        <v>18</v>
      </c>
      <c r="AJ195" s="12">
        <v>30.770000000000003</v>
      </c>
      <c r="AK195" s="12">
        <v>410.34999999999997</v>
      </c>
      <c r="AL195" s="382">
        <f>AJ195/AK195</f>
        <v>7.4984769099549181E-2</v>
      </c>
      <c r="AN195" s="116" t="s">
        <v>14</v>
      </c>
      <c r="AO195" s="343">
        <v>15.529999999999998</v>
      </c>
      <c r="AP195" s="343">
        <v>247.95999999999998</v>
      </c>
      <c r="AQ195" s="190">
        <f t="shared" ref="AQ195:AQ196" si="220">AO195/AP195</f>
        <v>6.2631069527343111E-2</v>
      </c>
    </row>
    <row r="196" spans="1:43" x14ac:dyDescent="0.35">
      <c r="A196" s="116" t="s">
        <v>14</v>
      </c>
      <c r="B196" s="117">
        <f>SUM(B197:B199)</f>
        <v>216.34</v>
      </c>
      <c r="C196" s="117">
        <f t="shared" ref="C196:X196" si="221">SUM(C197:C199)</f>
        <v>1.31</v>
      </c>
      <c r="D196" s="117">
        <f t="shared" si="221"/>
        <v>0</v>
      </c>
      <c r="E196" s="117">
        <f t="shared" si="221"/>
        <v>0</v>
      </c>
      <c r="F196" s="117">
        <f t="shared" si="221"/>
        <v>0</v>
      </c>
      <c r="G196" s="117">
        <f t="shared" si="221"/>
        <v>0</v>
      </c>
      <c r="H196" s="117">
        <f t="shared" si="221"/>
        <v>0.71</v>
      </c>
      <c r="I196" s="117">
        <f t="shared" si="221"/>
        <v>5</v>
      </c>
      <c r="J196" s="117">
        <f t="shared" si="221"/>
        <v>0</v>
      </c>
      <c r="K196" s="117">
        <f t="shared" si="221"/>
        <v>0.63</v>
      </c>
      <c r="L196" s="117">
        <f t="shared" si="221"/>
        <v>0</v>
      </c>
      <c r="M196" s="117">
        <f t="shared" si="221"/>
        <v>0.16</v>
      </c>
      <c r="N196" s="117">
        <f t="shared" si="221"/>
        <v>3.42</v>
      </c>
      <c r="O196" s="117">
        <f t="shared" si="221"/>
        <v>3.56</v>
      </c>
      <c r="P196" s="117">
        <f t="shared" si="221"/>
        <v>0.6</v>
      </c>
      <c r="Q196" s="117">
        <f t="shared" si="221"/>
        <v>0</v>
      </c>
      <c r="R196" s="117">
        <f t="shared" si="221"/>
        <v>0.5</v>
      </c>
      <c r="S196" s="117">
        <f t="shared" si="221"/>
        <v>0.2</v>
      </c>
      <c r="T196" s="117"/>
      <c r="U196" s="117">
        <f t="shared" si="221"/>
        <v>0.3</v>
      </c>
      <c r="V196" s="117">
        <f t="shared" si="221"/>
        <v>3</v>
      </c>
      <c r="W196" s="117">
        <f t="shared" si="221"/>
        <v>3.8099999999999996</v>
      </c>
      <c r="X196" s="117">
        <f t="shared" si="221"/>
        <v>8.4199999999999982</v>
      </c>
      <c r="Y196" s="117"/>
      <c r="Z196" s="117">
        <f t="shared" si="219"/>
        <v>247.95999999999998</v>
      </c>
      <c r="AA196" s="185">
        <f t="shared" si="211"/>
        <v>0.17566753806153607</v>
      </c>
      <c r="AC196" s="117">
        <f>SUM(B196:T196)</f>
        <v>232.42999999999998</v>
      </c>
      <c r="AD196" s="117">
        <f>SUM(U196:X196)</f>
        <v>15.529999999999998</v>
      </c>
      <c r="AE196" s="117">
        <f>Y196</f>
        <v>0</v>
      </c>
      <c r="AF196" s="117">
        <f>SUM(AC196:AE196)</f>
        <v>247.95999999999998</v>
      </c>
      <c r="AG196" s="185">
        <f>AD196/AF196</f>
        <v>6.2631069527343111E-2</v>
      </c>
      <c r="AI196" s="6" t="s">
        <v>22</v>
      </c>
      <c r="AJ196" s="12">
        <v>13.1</v>
      </c>
      <c r="AK196" s="12">
        <v>256.07999999999993</v>
      </c>
      <c r="AL196" s="382">
        <f t="shared" ref="AL196:AL201" si="222">AJ196/AK196</f>
        <v>5.1155888784754779E-2</v>
      </c>
      <c r="AN196" s="116" t="s">
        <v>22</v>
      </c>
      <c r="AO196" s="343">
        <v>13.1</v>
      </c>
      <c r="AP196" s="343">
        <v>256.07999999999993</v>
      </c>
      <c r="AQ196" s="190">
        <f t="shared" si="220"/>
        <v>5.1155888784754779E-2</v>
      </c>
    </row>
    <row r="197" spans="1:43" x14ac:dyDescent="0.35">
      <c r="A197" s="6" t="s">
        <v>37</v>
      </c>
      <c r="B197" s="12">
        <f>4.7+6.76</f>
        <v>11.46</v>
      </c>
      <c r="C197" s="12"/>
      <c r="D197" s="12"/>
      <c r="E197" s="12"/>
      <c r="F197" s="12"/>
      <c r="G197" s="12"/>
      <c r="H197" s="12"/>
      <c r="I197" s="12"/>
      <c r="J197" s="12"/>
      <c r="K197" s="12"/>
      <c r="L197" s="12"/>
      <c r="M197" s="12"/>
      <c r="N197" s="12"/>
      <c r="O197" s="12"/>
      <c r="P197" s="12"/>
      <c r="Q197" s="12"/>
      <c r="R197" s="12"/>
      <c r="S197" s="12"/>
      <c r="T197" s="12"/>
      <c r="U197" s="12"/>
      <c r="V197" s="12"/>
      <c r="W197" s="12"/>
      <c r="X197" s="12">
        <f>2.19+1.28</f>
        <v>3.4699999999999998</v>
      </c>
      <c r="Y197" s="12"/>
      <c r="Z197" s="12">
        <f t="shared" si="219"/>
        <v>14.93</v>
      </c>
      <c r="AA197" s="22">
        <f t="shared" si="211"/>
        <v>1.0577175122030704E-2</v>
      </c>
      <c r="AC197" s="12">
        <f t="shared" si="213"/>
        <v>11.46</v>
      </c>
      <c r="AD197" s="12">
        <f t="shared" si="214"/>
        <v>3.4699999999999998</v>
      </c>
      <c r="AE197" s="12">
        <f t="shared" si="215"/>
        <v>0</v>
      </c>
      <c r="AF197" s="12">
        <f t="shared" si="216"/>
        <v>14.93</v>
      </c>
      <c r="AG197" s="22">
        <f t="shared" si="217"/>
        <v>0.23241795043536503</v>
      </c>
      <c r="AI197" s="6" t="s">
        <v>40</v>
      </c>
      <c r="AJ197" s="12">
        <v>12.059999999999999</v>
      </c>
      <c r="AK197" s="12">
        <v>233.02999999999997</v>
      </c>
      <c r="AL197" s="382">
        <f t="shared" si="222"/>
        <v>5.1752993176844182E-2</v>
      </c>
      <c r="AP197" s="141"/>
    </row>
    <row r="198" spans="1:43" x14ac:dyDescent="0.35">
      <c r="A198" s="6" t="s">
        <v>38</v>
      </c>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f t="shared" si="219"/>
        <v>0</v>
      </c>
      <c r="AA198" s="22">
        <f t="shared" si="211"/>
        <v>0</v>
      </c>
      <c r="AC198" s="12">
        <f t="shared" si="213"/>
        <v>0</v>
      </c>
      <c r="AD198" s="12">
        <f t="shared" si="214"/>
        <v>0</v>
      </c>
      <c r="AE198" s="12">
        <f t="shared" si="215"/>
        <v>0</v>
      </c>
      <c r="AF198" s="12">
        <f t="shared" si="216"/>
        <v>0</v>
      </c>
      <c r="AG198" s="22"/>
      <c r="AI198" s="6" t="s">
        <v>30</v>
      </c>
      <c r="AJ198" s="12">
        <v>6.12</v>
      </c>
      <c r="AK198" s="12">
        <v>31.400000000000002</v>
      </c>
      <c r="AL198" s="382">
        <f t="shared" si="222"/>
        <v>0.1949044585987261</v>
      </c>
    </row>
    <row r="199" spans="1:43" x14ac:dyDescent="0.35">
      <c r="A199" s="6" t="s">
        <v>40</v>
      </c>
      <c r="B199" s="12">
        <v>204.88</v>
      </c>
      <c r="C199" s="12">
        <f>1.19+0.12</f>
        <v>1.31</v>
      </c>
      <c r="D199" s="12"/>
      <c r="E199" s="12"/>
      <c r="F199" s="12"/>
      <c r="G199" s="12"/>
      <c r="H199" s="12">
        <v>0.71</v>
      </c>
      <c r="I199" s="12">
        <f>0.37+4.63</f>
        <v>5</v>
      </c>
      <c r="J199" s="12"/>
      <c r="K199" s="12">
        <v>0.63</v>
      </c>
      <c r="L199" s="12"/>
      <c r="M199" s="12">
        <f>0.14+0.02</f>
        <v>0.16</v>
      </c>
      <c r="N199" s="12">
        <v>3.42</v>
      </c>
      <c r="O199" s="12">
        <f>3.2+0.36</f>
        <v>3.56</v>
      </c>
      <c r="P199" s="12">
        <f>0.57+0.03</f>
        <v>0.6</v>
      </c>
      <c r="Q199" s="12"/>
      <c r="R199" s="12">
        <f>0.44+0.06</f>
        <v>0.5</v>
      </c>
      <c r="S199" s="12">
        <v>0.2</v>
      </c>
      <c r="T199" s="12"/>
      <c r="U199" s="12">
        <v>0.3</v>
      </c>
      <c r="V199" s="12">
        <v>3</v>
      </c>
      <c r="W199" s="12">
        <v>3.8099999999999996</v>
      </c>
      <c r="X199" s="12">
        <v>4.9499999999999993</v>
      </c>
      <c r="Y199" s="12"/>
      <c r="Z199" s="12">
        <f t="shared" si="219"/>
        <v>233.02999999999997</v>
      </c>
      <c r="AA199" s="22">
        <f t="shared" si="211"/>
        <v>0.16509036293950535</v>
      </c>
      <c r="AC199" s="12">
        <f t="shared" si="213"/>
        <v>220.96999999999997</v>
      </c>
      <c r="AD199" s="12">
        <f t="shared" si="214"/>
        <v>12.059999999999999</v>
      </c>
      <c r="AE199" s="12">
        <f t="shared" si="215"/>
        <v>0</v>
      </c>
      <c r="AF199" s="12">
        <f t="shared" si="216"/>
        <v>233.02999999999997</v>
      </c>
      <c r="AG199" s="22">
        <f t="shared" si="217"/>
        <v>5.1752993176844182E-2</v>
      </c>
      <c r="AI199" s="6" t="s">
        <v>37</v>
      </c>
      <c r="AJ199" s="12">
        <v>3.4699999999999998</v>
      </c>
      <c r="AK199" s="12">
        <v>14.93</v>
      </c>
      <c r="AL199" s="382">
        <f t="shared" si="222"/>
        <v>0.23241795043536503</v>
      </c>
    </row>
    <row r="200" spans="1:43" x14ac:dyDescent="0.35">
      <c r="A200" s="116" t="s">
        <v>17</v>
      </c>
      <c r="B200" s="117"/>
      <c r="C200" s="117"/>
      <c r="D200" s="117"/>
      <c r="E200" s="117"/>
      <c r="F200" s="117"/>
      <c r="G200" s="117"/>
      <c r="H200" s="117"/>
      <c r="I200" s="117"/>
      <c r="J200" s="117"/>
      <c r="K200" s="117"/>
      <c r="L200" s="117"/>
      <c r="M200" s="117">
        <v>0.33</v>
      </c>
      <c r="N200" s="117"/>
      <c r="O200" s="117"/>
      <c r="P200" s="117"/>
      <c r="Q200" s="117"/>
      <c r="R200" s="117"/>
      <c r="S200" s="117"/>
      <c r="T200" s="117"/>
      <c r="U200" s="117"/>
      <c r="V200" s="117"/>
      <c r="W200" s="117"/>
      <c r="X200" s="117"/>
      <c r="Y200" s="117"/>
      <c r="Z200" s="117">
        <f t="shared" si="219"/>
        <v>0.33</v>
      </c>
      <c r="AA200" s="185">
        <f t="shared" si="211"/>
        <v>2.3378886739920513E-4</v>
      </c>
      <c r="AC200" s="117">
        <f>SUM(B200:T200)</f>
        <v>0.33</v>
      </c>
      <c r="AD200" s="117">
        <f>SUM(U200:X200)</f>
        <v>0</v>
      </c>
      <c r="AE200" s="117">
        <f>Y200</f>
        <v>0</v>
      </c>
      <c r="AF200" s="117">
        <f>SUM(AC200:AE200)</f>
        <v>0.33</v>
      </c>
      <c r="AG200" s="185">
        <f>AD200/AF200</f>
        <v>0</v>
      </c>
      <c r="AI200" s="6" t="s">
        <v>36</v>
      </c>
      <c r="AJ200" s="54">
        <v>0.53</v>
      </c>
      <c r="AK200" s="12">
        <v>119.54</v>
      </c>
      <c r="AL200" s="382">
        <f t="shared" si="222"/>
        <v>4.4336623724276396E-3</v>
      </c>
    </row>
    <row r="201" spans="1:43" x14ac:dyDescent="0.35">
      <c r="A201" s="6" t="s">
        <v>55</v>
      </c>
      <c r="B201" s="12"/>
      <c r="C201" s="12"/>
      <c r="D201" s="12"/>
      <c r="E201" s="12"/>
      <c r="F201" s="12"/>
      <c r="G201" s="12"/>
      <c r="H201" s="12"/>
      <c r="I201" s="12"/>
      <c r="J201" s="12"/>
      <c r="K201" s="12"/>
      <c r="L201" s="12"/>
      <c r="M201" s="12">
        <v>0.33</v>
      </c>
      <c r="N201" s="12"/>
      <c r="O201" s="12"/>
      <c r="P201" s="12"/>
      <c r="Q201" s="12"/>
      <c r="R201" s="12"/>
      <c r="S201" s="12"/>
      <c r="T201" s="12"/>
      <c r="U201" s="12"/>
      <c r="V201" s="12"/>
      <c r="W201" s="12"/>
      <c r="X201" s="12"/>
      <c r="Y201" s="12"/>
      <c r="Z201" s="12">
        <f t="shared" si="219"/>
        <v>0.33</v>
      </c>
      <c r="AA201" s="22">
        <f t="shared" si="211"/>
        <v>2.3378886739920513E-4</v>
      </c>
      <c r="AC201" s="12">
        <f t="shared" si="213"/>
        <v>0.33</v>
      </c>
      <c r="AD201" s="12">
        <f t="shared" si="214"/>
        <v>0</v>
      </c>
      <c r="AE201" s="12">
        <f t="shared" si="215"/>
        <v>0</v>
      </c>
      <c r="AF201" s="12">
        <f t="shared" si="216"/>
        <v>0.33</v>
      </c>
      <c r="AG201" s="22">
        <f t="shared" si="217"/>
        <v>0</v>
      </c>
      <c r="AI201" s="6" t="s">
        <v>29</v>
      </c>
      <c r="AJ201" s="54">
        <v>0.13</v>
      </c>
      <c r="AK201" s="12">
        <v>28.59</v>
      </c>
      <c r="AL201" s="382">
        <f t="shared" si="222"/>
        <v>4.5470444211262685E-3</v>
      </c>
    </row>
    <row r="202" spans="1:43" x14ac:dyDescent="0.35">
      <c r="A202" s="116" t="s">
        <v>18</v>
      </c>
      <c r="B202" s="117">
        <v>229.44</v>
      </c>
      <c r="C202" s="117">
        <v>21.540000000000003</v>
      </c>
      <c r="D202" s="117">
        <v>0.88</v>
      </c>
      <c r="E202" s="117">
        <v>3.12</v>
      </c>
      <c r="F202" s="117"/>
      <c r="G202" s="117">
        <v>39.17</v>
      </c>
      <c r="H202" s="117">
        <v>0.13</v>
      </c>
      <c r="I202" s="117">
        <v>42.01</v>
      </c>
      <c r="J202" s="117">
        <v>14.38</v>
      </c>
      <c r="K202" s="117">
        <v>0.70000000000000007</v>
      </c>
      <c r="L202" s="117">
        <v>1.82</v>
      </c>
      <c r="M202" s="117">
        <v>1.73</v>
      </c>
      <c r="N202" s="117"/>
      <c r="O202" s="117"/>
      <c r="P202" s="117"/>
      <c r="Q202" s="117">
        <v>9.18</v>
      </c>
      <c r="R202" s="117">
        <v>7.1899999999999995</v>
      </c>
      <c r="S202" s="117"/>
      <c r="T202" s="117">
        <v>7.1099999999999994</v>
      </c>
      <c r="U202" s="117">
        <v>14.33</v>
      </c>
      <c r="V202" s="117">
        <v>4.7699999999999996</v>
      </c>
      <c r="W202" s="117">
        <v>11.05</v>
      </c>
      <c r="X202" s="117">
        <v>0.62</v>
      </c>
      <c r="Y202" s="117">
        <v>1.1800000000000002</v>
      </c>
      <c r="Z202" s="117">
        <f t="shared" si="219"/>
        <v>410.34999999999997</v>
      </c>
      <c r="AA202" s="185">
        <f t="shared" si="211"/>
        <v>0.29071291435534491</v>
      </c>
      <c r="AC202" s="117">
        <f>SUM(B202:T202)</f>
        <v>378.4</v>
      </c>
      <c r="AD202" s="117">
        <f>SUM(U202:X202)</f>
        <v>30.770000000000003</v>
      </c>
      <c r="AE202" s="117">
        <f>Y202</f>
        <v>1.1800000000000002</v>
      </c>
      <c r="AF202" s="117">
        <f>SUM(AC202:AE202)</f>
        <v>410.34999999999997</v>
      </c>
      <c r="AG202" s="185">
        <f>AD202/AF202</f>
        <v>7.4984769099549181E-2</v>
      </c>
    </row>
    <row r="203" spans="1:43" x14ac:dyDescent="0.35">
      <c r="A203" s="6" t="s">
        <v>18</v>
      </c>
      <c r="B203" s="12">
        <v>229.44</v>
      </c>
      <c r="C203" s="12">
        <v>21.540000000000003</v>
      </c>
      <c r="D203" s="12">
        <v>0.88</v>
      </c>
      <c r="E203" s="12">
        <f>1.7+1.42</f>
        <v>3.12</v>
      </c>
      <c r="F203" s="12"/>
      <c r="G203" s="12">
        <v>39.17</v>
      </c>
      <c r="H203" s="12">
        <v>0.13</v>
      </c>
      <c r="I203" s="12">
        <f>1.33+40.68</f>
        <v>42.01</v>
      </c>
      <c r="J203" s="12">
        <v>14.38</v>
      </c>
      <c r="K203" s="12">
        <f>0.55+0.15</f>
        <v>0.70000000000000007</v>
      </c>
      <c r="L203" s="12">
        <f>0.29+1.53</f>
        <v>1.82</v>
      </c>
      <c r="M203" s="12">
        <v>1.73</v>
      </c>
      <c r="N203" s="12"/>
      <c r="O203" s="12"/>
      <c r="P203" s="12"/>
      <c r="Q203" s="12">
        <v>9.18</v>
      </c>
      <c r="R203" s="12">
        <f>3.06+4.13</f>
        <v>7.1899999999999995</v>
      </c>
      <c r="S203" s="12"/>
      <c r="T203" s="12">
        <f>5.45+0.6+1.06</f>
        <v>7.1099999999999994</v>
      </c>
      <c r="U203" s="12">
        <v>14.33</v>
      </c>
      <c r="V203" s="12">
        <v>4.7699999999999996</v>
      </c>
      <c r="W203" s="12">
        <v>11.05</v>
      </c>
      <c r="X203" s="12">
        <f>0.31+0.31</f>
        <v>0.62</v>
      </c>
      <c r="Y203" s="12">
        <v>1.1800000000000002</v>
      </c>
      <c r="Z203" s="12">
        <f t="shared" si="219"/>
        <v>410.34999999999997</v>
      </c>
      <c r="AA203" s="22">
        <f t="shared" si="211"/>
        <v>0.29071291435534491</v>
      </c>
      <c r="AC203" s="12">
        <f t="shared" si="213"/>
        <v>378.4</v>
      </c>
      <c r="AD203" s="12">
        <f t="shared" si="214"/>
        <v>30.770000000000003</v>
      </c>
      <c r="AE203" s="12">
        <f t="shared" si="215"/>
        <v>1.1800000000000002</v>
      </c>
      <c r="AF203" s="12">
        <f t="shared" si="216"/>
        <v>410.34999999999997</v>
      </c>
      <c r="AG203" s="22">
        <f t="shared" si="217"/>
        <v>7.4984769099549181E-2</v>
      </c>
    </row>
    <row r="204" spans="1:43" x14ac:dyDescent="0.35">
      <c r="A204" s="116" t="s">
        <v>22</v>
      </c>
      <c r="B204" s="117">
        <v>179.71999999999997</v>
      </c>
      <c r="C204" s="117">
        <v>6.09</v>
      </c>
      <c r="D204" s="117"/>
      <c r="E204" s="117">
        <v>7.0000000000000007E-2</v>
      </c>
      <c r="F204" s="117"/>
      <c r="G204" s="117">
        <v>0.64</v>
      </c>
      <c r="H204" s="117">
        <v>0.67</v>
      </c>
      <c r="I204" s="117"/>
      <c r="J204" s="117">
        <v>0.56999999999999995</v>
      </c>
      <c r="K204" s="117"/>
      <c r="L204" s="117">
        <v>2.36</v>
      </c>
      <c r="M204" s="117"/>
      <c r="N204" s="117">
        <v>2.67</v>
      </c>
      <c r="O204" s="117">
        <v>6.03</v>
      </c>
      <c r="P204" s="117">
        <v>0.28999999999999998</v>
      </c>
      <c r="Q204" s="117">
        <v>0.71</v>
      </c>
      <c r="R204" s="117">
        <v>31.11</v>
      </c>
      <c r="S204" s="117">
        <v>11.51</v>
      </c>
      <c r="T204" s="117">
        <v>0.09</v>
      </c>
      <c r="U204" s="117">
        <v>6.34</v>
      </c>
      <c r="V204" s="117"/>
      <c r="W204" s="117">
        <v>2.52</v>
      </c>
      <c r="X204" s="117">
        <v>4.24</v>
      </c>
      <c r="Y204" s="117">
        <v>0.45</v>
      </c>
      <c r="Z204" s="117">
        <f t="shared" si="219"/>
        <v>256.08</v>
      </c>
      <c r="AA204" s="185">
        <f t="shared" si="211"/>
        <v>0.18142016110178316</v>
      </c>
      <c r="AC204" s="117">
        <f>SUM(B204:T204)</f>
        <v>242.52999999999994</v>
      </c>
      <c r="AD204" s="117">
        <f>SUM(U204:X204)</f>
        <v>13.1</v>
      </c>
      <c r="AE204" s="117">
        <f>Y204</f>
        <v>0.45</v>
      </c>
      <c r="AF204" s="117">
        <f>SUM(AC204:AE204)</f>
        <v>256.07999999999993</v>
      </c>
      <c r="AG204" s="185">
        <f>AD204/AF204</f>
        <v>5.1155888784754779E-2</v>
      </c>
    </row>
    <row r="205" spans="1:43" x14ac:dyDescent="0.35">
      <c r="A205" s="6" t="s">
        <v>22</v>
      </c>
      <c r="B205" s="12">
        <v>179.71999999999997</v>
      </c>
      <c r="C205" s="12">
        <v>6.09</v>
      </c>
      <c r="D205" s="12"/>
      <c r="E205" s="12">
        <v>7.0000000000000007E-2</v>
      </c>
      <c r="F205" s="12"/>
      <c r="G205" s="12">
        <v>0.64</v>
      </c>
      <c r="H205" s="12">
        <f>0.03+0.64</f>
        <v>0.67</v>
      </c>
      <c r="I205" s="12"/>
      <c r="J205" s="12">
        <v>0.56999999999999995</v>
      </c>
      <c r="K205" s="12"/>
      <c r="L205" s="12">
        <v>2.36</v>
      </c>
      <c r="M205" s="12"/>
      <c r="N205" s="12">
        <f>0.21+2.46</f>
        <v>2.67</v>
      </c>
      <c r="O205" s="12">
        <f>0.24+5.79</f>
        <v>6.03</v>
      </c>
      <c r="P205" s="12">
        <v>0.28999999999999998</v>
      </c>
      <c r="Q205" s="12">
        <f>0.2+0.51</f>
        <v>0.71</v>
      </c>
      <c r="R205" s="12">
        <f>28.41+2.49+0.21</f>
        <v>31.11</v>
      </c>
      <c r="S205" s="12">
        <f>9.19+2.22+0.1</f>
        <v>11.51</v>
      </c>
      <c r="T205" s="12">
        <v>0.09</v>
      </c>
      <c r="U205" s="12">
        <f>0.54+5.8</f>
        <v>6.34</v>
      </c>
      <c r="V205" s="12"/>
      <c r="W205" s="12">
        <v>2.52</v>
      </c>
      <c r="X205" s="12">
        <v>4.24</v>
      </c>
      <c r="Y205" s="12">
        <v>0.45</v>
      </c>
      <c r="Z205" s="12">
        <f t="shared" si="219"/>
        <v>256.08</v>
      </c>
      <c r="AA205" s="22">
        <f t="shared" si="211"/>
        <v>0.18142016110178316</v>
      </c>
      <c r="AC205" s="12">
        <f t="shared" si="213"/>
        <v>242.52999999999994</v>
      </c>
      <c r="AD205" s="12">
        <f t="shared" si="214"/>
        <v>13.1</v>
      </c>
      <c r="AE205" s="12">
        <f t="shared" si="215"/>
        <v>0.45</v>
      </c>
      <c r="AF205" s="12">
        <f t="shared" si="216"/>
        <v>256.07999999999993</v>
      </c>
      <c r="AG205" s="22">
        <f t="shared" si="217"/>
        <v>5.1155888784754779E-2</v>
      </c>
    </row>
    <row r="206" spans="1:43" ht="15.5" x14ac:dyDescent="0.35">
      <c r="A206" s="179" t="s">
        <v>25</v>
      </c>
      <c r="B206" s="114">
        <f t="shared" ref="B206:Y206" si="223">SUM(B204,B202,B200,B196,B192,B189,B180)</f>
        <v>1059.6100000000001</v>
      </c>
      <c r="C206" s="114">
        <f t="shared" si="223"/>
        <v>67.830000000000013</v>
      </c>
      <c r="D206" s="114">
        <f t="shared" si="223"/>
        <v>3.7199999999999998</v>
      </c>
      <c r="E206" s="114">
        <f t="shared" si="223"/>
        <v>3.2199999999999998</v>
      </c>
      <c r="F206" s="114">
        <f t="shared" si="223"/>
        <v>0</v>
      </c>
      <c r="G206" s="114">
        <f t="shared" si="223"/>
        <v>39.81</v>
      </c>
      <c r="H206" s="114">
        <f t="shared" si="223"/>
        <v>1.51</v>
      </c>
      <c r="I206" s="114">
        <f t="shared" si="223"/>
        <v>48.129999999999995</v>
      </c>
      <c r="J206" s="114">
        <f t="shared" si="223"/>
        <v>14.950000000000001</v>
      </c>
      <c r="K206" s="114">
        <f t="shared" si="223"/>
        <v>1.33</v>
      </c>
      <c r="L206" s="114">
        <f t="shared" si="223"/>
        <v>4.18</v>
      </c>
      <c r="M206" s="114">
        <f t="shared" si="223"/>
        <v>2.3000000000000003</v>
      </c>
      <c r="N206" s="114">
        <f t="shared" si="223"/>
        <v>6.09</v>
      </c>
      <c r="O206" s="114">
        <f t="shared" si="223"/>
        <v>9.59</v>
      </c>
      <c r="P206" s="114">
        <f t="shared" si="223"/>
        <v>0.8899999999999999</v>
      </c>
      <c r="Q206" s="114">
        <f t="shared" si="223"/>
        <v>9.89</v>
      </c>
      <c r="R206" s="114">
        <f t="shared" si="223"/>
        <v>48.959999999999994</v>
      </c>
      <c r="S206" s="114">
        <f t="shared" si="223"/>
        <v>11.709999999999999</v>
      </c>
      <c r="T206" s="114">
        <f t="shared" si="223"/>
        <v>8.7099999999999991</v>
      </c>
      <c r="U206" s="114">
        <f t="shared" si="223"/>
        <v>21.1</v>
      </c>
      <c r="V206" s="114">
        <f t="shared" si="223"/>
        <v>8.2999999999999989</v>
      </c>
      <c r="W206" s="114">
        <f t="shared" si="223"/>
        <v>17.38</v>
      </c>
      <c r="X206" s="114">
        <f t="shared" si="223"/>
        <v>19.399999999999999</v>
      </c>
      <c r="Y206" s="114">
        <f t="shared" si="223"/>
        <v>2.9200000000000004</v>
      </c>
      <c r="Z206" s="114">
        <f>SUM(Z204,Z202,Z200,Z196,Z192,Z189,Z180)</f>
        <v>1411.53</v>
      </c>
      <c r="AA206" s="186">
        <f t="shared" si="211"/>
        <v>1</v>
      </c>
      <c r="AC206" s="114">
        <f>SUM(B206:T206)</f>
        <v>1342.43</v>
      </c>
      <c r="AD206" s="114">
        <f>SUM(U206:X206)</f>
        <v>66.180000000000007</v>
      </c>
      <c r="AE206" s="114">
        <f>Y206</f>
        <v>2.9200000000000004</v>
      </c>
      <c r="AF206" s="114">
        <f t="shared" si="216"/>
        <v>1411.5300000000002</v>
      </c>
      <c r="AG206" s="204">
        <f>AD206/AF206</f>
        <v>4.6885294680240587E-2</v>
      </c>
    </row>
    <row r="207" spans="1:43" x14ac:dyDescent="0.35">
      <c r="A207" s="378" t="s">
        <v>253</v>
      </c>
      <c r="B207" s="379"/>
      <c r="C207" s="379">
        <f>C206+B206</f>
        <v>1127.44</v>
      </c>
      <c r="D207" s="379">
        <f>D206+C207</f>
        <v>1131.1600000000001</v>
      </c>
      <c r="E207" s="379">
        <f>E206+D207</f>
        <v>1134.3800000000001</v>
      </c>
      <c r="F207" s="379">
        <f t="shared" ref="F207:X207" si="224">F206+E207</f>
        <v>1134.3800000000001</v>
      </c>
      <c r="G207" s="379">
        <f t="shared" si="224"/>
        <v>1174.19</v>
      </c>
      <c r="H207" s="379">
        <f t="shared" si="224"/>
        <v>1175.7</v>
      </c>
      <c r="I207" s="379">
        <f t="shared" si="224"/>
        <v>1223.83</v>
      </c>
      <c r="J207" s="379">
        <f t="shared" si="224"/>
        <v>1238.78</v>
      </c>
      <c r="K207" s="379">
        <f t="shared" si="224"/>
        <v>1240.1099999999999</v>
      </c>
      <c r="L207" s="379">
        <f t="shared" si="224"/>
        <v>1244.29</v>
      </c>
      <c r="M207" s="379">
        <f t="shared" si="224"/>
        <v>1246.5899999999999</v>
      </c>
      <c r="N207" s="379">
        <f t="shared" si="224"/>
        <v>1252.6799999999998</v>
      </c>
      <c r="O207" s="379">
        <f t="shared" si="224"/>
        <v>1262.2699999999998</v>
      </c>
      <c r="P207" s="379">
        <f t="shared" si="224"/>
        <v>1263.1599999999999</v>
      </c>
      <c r="Q207" s="379">
        <f t="shared" si="224"/>
        <v>1273.05</v>
      </c>
      <c r="R207" s="379">
        <f t="shared" si="224"/>
        <v>1322.01</v>
      </c>
      <c r="S207" s="379">
        <f t="shared" si="224"/>
        <v>1333.72</v>
      </c>
      <c r="T207" s="379">
        <f t="shared" si="224"/>
        <v>1342.43</v>
      </c>
      <c r="U207" s="379">
        <f t="shared" si="224"/>
        <v>1363.53</v>
      </c>
      <c r="V207" s="379">
        <f t="shared" si="224"/>
        <v>1371.83</v>
      </c>
      <c r="W207" s="379">
        <f t="shared" si="224"/>
        <v>1389.21</v>
      </c>
      <c r="X207" s="379">
        <f t="shared" si="224"/>
        <v>1408.6100000000001</v>
      </c>
    </row>
    <row r="208" spans="1:43" x14ac:dyDescent="0.35">
      <c r="A208" s="380" t="s">
        <v>254</v>
      </c>
      <c r="B208" s="379"/>
      <c r="C208" s="381"/>
      <c r="D208" s="381">
        <f>D207/C207-1</f>
        <v>3.2995103952317972E-3</v>
      </c>
      <c r="E208" s="381">
        <f t="shared" ref="E208:X208" si="225">E207/D207-1</f>
        <v>2.8466353124225741E-3</v>
      </c>
      <c r="F208" s="381">
        <f t="shared" si="225"/>
        <v>0</v>
      </c>
      <c r="G208" s="381">
        <f t="shared" si="225"/>
        <v>3.5094060191470211E-2</v>
      </c>
      <c r="H208" s="381">
        <f t="shared" si="225"/>
        <v>1.2859928972313028E-3</v>
      </c>
      <c r="I208" s="381">
        <f t="shared" si="225"/>
        <v>4.0937313940631048E-2</v>
      </c>
      <c r="J208" s="381">
        <f t="shared" si="225"/>
        <v>1.2215748919376157E-2</v>
      </c>
      <c r="K208" s="381">
        <f t="shared" si="225"/>
        <v>1.0736369654014144E-3</v>
      </c>
      <c r="L208" s="381">
        <f t="shared" si="225"/>
        <v>3.3706687309997818E-3</v>
      </c>
      <c r="M208" s="381">
        <f t="shared" si="225"/>
        <v>1.8484436907795221E-3</v>
      </c>
      <c r="N208" s="381">
        <f t="shared" si="225"/>
        <v>4.8853271725266545E-3</v>
      </c>
      <c r="O208" s="381">
        <f t="shared" si="225"/>
        <v>7.6555864227096926E-3</v>
      </c>
      <c r="P208" s="381">
        <f t="shared" si="225"/>
        <v>7.0507894507532143E-4</v>
      </c>
      <c r="Q208" s="381">
        <f t="shared" si="225"/>
        <v>7.8295702840496251E-3</v>
      </c>
      <c r="R208" s="381">
        <f t="shared" si="225"/>
        <v>3.8458819370802422E-2</v>
      </c>
      <c r="S208" s="381">
        <f t="shared" si="225"/>
        <v>8.8577242229634923E-3</v>
      </c>
      <c r="T208" s="381">
        <f t="shared" si="225"/>
        <v>6.5306061242240698E-3</v>
      </c>
      <c r="U208" s="381">
        <f t="shared" si="225"/>
        <v>1.571776554457216E-2</v>
      </c>
      <c r="V208" s="381">
        <f t="shared" si="225"/>
        <v>6.0871414637007071E-3</v>
      </c>
      <c r="W208" s="381">
        <f t="shared" si="225"/>
        <v>1.2669208283825339E-2</v>
      </c>
      <c r="X208" s="381">
        <f t="shared" si="225"/>
        <v>1.3964771344865179E-2</v>
      </c>
    </row>
    <row r="209" spans="1:33" ht="15.5" x14ac:dyDescent="0.35">
      <c r="A209" s="179" t="s">
        <v>99</v>
      </c>
      <c r="B209" s="122" t="s">
        <v>89</v>
      </c>
      <c r="C209" s="122">
        <v>2000</v>
      </c>
      <c r="D209" s="122">
        <v>2001</v>
      </c>
      <c r="E209" s="122">
        <v>2002</v>
      </c>
      <c r="F209" s="122">
        <v>2003</v>
      </c>
      <c r="G209" s="122">
        <v>2004</v>
      </c>
      <c r="H209" s="122">
        <v>2005</v>
      </c>
      <c r="I209" s="122">
        <v>2006</v>
      </c>
      <c r="J209" s="122">
        <v>2007</v>
      </c>
      <c r="K209" s="122">
        <v>2008</v>
      </c>
      <c r="L209" s="122">
        <v>2009</v>
      </c>
      <c r="M209" s="122">
        <v>2010</v>
      </c>
      <c r="N209" s="122">
        <v>2011</v>
      </c>
      <c r="O209" s="122">
        <v>2012</v>
      </c>
      <c r="P209" s="122">
        <v>2013</v>
      </c>
      <c r="Q209" s="122">
        <v>2014</v>
      </c>
      <c r="R209" s="122">
        <v>2015</v>
      </c>
      <c r="S209" s="122">
        <v>2016</v>
      </c>
      <c r="T209" s="122">
        <v>2017</v>
      </c>
      <c r="U209" s="122">
        <v>2018</v>
      </c>
      <c r="V209" s="122">
        <v>2019</v>
      </c>
      <c r="W209" s="122">
        <v>2020</v>
      </c>
      <c r="X209" s="123">
        <v>2021</v>
      </c>
      <c r="Y209" s="123" t="s">
        <v>90</v>
      </c>
    </row>
    <row r="210" spans="1:33" x14ac:dyDescent="0.35">
      <c r="A210" s="116" t="s">
        <v>5</v>
      </c>
      <c r="B210" s="22">
        <f t="shared" ref="B210:Y210" si="226">B180/$Z$180</f>
        <v>0.82537103577565996</v>
      </c>
      <c r="C210" s="22">
        <f t="shared" si="226"/>
        <v>0.11823152632401188</v>
      </c>
      <c r="D210" s="22">
        <f t="shared" si="226"/>
        <v>0</v>
      </c>
      <c r="E210" s="22">
        <f t="shared" si="226"/>
        <v>9.3735353850960776E-5</v>
      </c>
      <c r="F210" s="22">
        <f t="shared" si="226"/>
        <v>0</v>
      </c>
      <c r="G210" s="22">
        <f t="shared" si="226"/>
        <v>0</v>
      </c>
      <c r="H210" s="22">
        <f t="shared" si="226"/>
        <v>0</v>
      </c>
      <c r="I210" s="22">
        <f t="shared" si="226"/>
        <v>0</v>
      </c>
      <c r="J210" s="22">
        <f t="shared" si="226"/>
        <v>0</v>
      </c>
      <c r="K210" s="22">
        <f t="shared" si="226"/>
        <v>0</v>
      </c>
      <c r="L210" s="22">
        <f t="shared" si="226"/>
        <v>0</v>
      </c>
      <c r="M210" s="22">
        <f t="shared" si="226"/>
        <v>0</v>
      </c>
      <c r="N210" s="22">
        <f t="shared" si="226"/>
        <v>0</v>
      </c>
      <c r="O210" s="22">
        <f t="shared" si="226"/>
        <v>0</v>
      </c>
      <c r="P210" s="22">
        <f t="shared" si="226"/>
        <v>0</v>
      </c>
      <c r="Q210" s="22">
        <f t="shared" si="226"/>
        <v>0</v>
      </c>
      <c r="R210" s="22">
        <f t="shared" si="226"/>
        <v>3.1745039837525385E-2</v>
      </c>
      <c r="S210" s="22">
        <f t="shared" si="226"/>
        <v>0</v>
      </c>
      <c r="T210" s="22">
        <f t="shared" si="226"/>
        <v>4.7180128104983591E-3</v>
      </c>
      <c r="U210" s="22">
        <f t="shared" si="226"/>
        <v>4.0618653335416341E-4</v>
      </c>
      <c r="V210" s="22">
        <f t="shared" si="226"/>
        <v>0</v>
      </c>
      <c r="W210" s="22">
        <f t="shared" si="226"/>
        <v>0</v>
      </c>
      <c r="X210" s="22">
        <f t="shared" si="226"/>
        <v>1.9122012185596001E-2</v>
      </c>
      <c r="Y210" s="384">
        <f t="shared" si="226"/>
        <v>3.1245117950320261E-4</v>
      </c>
    </row>
    <row r="211" spans="1:33" x14ac:dyDescent="0.35">
      <c r="A211" s="116" t="s">
        <v>15</v>
      </c>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384"/>
    </row>
    <row r="212" spans="1:33" x14ac:dyDescent="0.35">
      <c r="A212" s="116" t="s">
        <v>13</v>
      </c>
      <c r="B212" s="22">
        <f t="shared" ref="B212:Y212" si="227">B192/$Z$192</f>
        <v>0.96147318397827564</v>
      </c>
      <c r="C212" s="22">
        <f t="shared" si="227"/>
        <v>5.9402579769178556E-3</v>
      </c>
      <c r="D212" s="22">
        <f t="shared" si="227"/>
        <v>1.6066983480425436E-2</v>
      </c>
      <c r="E212" s="22">
        <f t="shared" si="227"/>
        <v>0</v>
      </c>
      <c r="F212" s="22">
        <f t="shared" si="227"/>
        <v>0</v>
      </c>
      <c r="G212" s="22">
        <f t="shared" si="227"/>
        <v>0</v>
      </c>
      <c r="H212" s="22">
        <f t="shared" si="227"/>
        <v>0</v>
      </c>
      <c r="I212" s="22">
        <f t="shared" si="227"/>
        <v>6.3362751753790461E-3</v>
      </c>
      <c r="J212" s="22">
        <f t="shared" si="227"/>
        <v>0</v>
      </c>
      <c r="K212" s="22">
        <f t="shared" si="227"/>
        <v>0</v>
      </c>
      <c r="L212" s="22">
        <f t="shared" si="227"/>
        <v>0</v>
      </c>
      <c r="M212" s="22">
        <f t="shared" si="227"/>
        <v>4.5259108395564611E-4</v>
      </c>
      <c r="N212" s="22">
        <f t="shared" si="227"/>
        <v>0</v>
      </c>
      <c r="O212" s="22">
        <f t="shared" si="227"/>
        <v>0</v>
      </c>
      <c r="P212" s="22">
        <f t="shared" si="227"/>
        <v>0</v>
      </c>
      <c r="Q212" s="22">
        <f t="shared" si="227"/>
        <v>0</v>
      </c>
      <c r="R212" s="22">
        <f t="shared" si="227"/>
        <v>0</v>
      </c>
      <c r="S212" s="22">
        <f t="shared" si="227"/>
        <v>0</v>
      </c>
      <c r="T212" s="22">
        <f t="shared" si="227"/>
        <v>0</v>
      </c>
      <c r="U212" s="22">
        <f t="shared" si="227"/>
        <v>0</v>
      </c>
      <c r="V212" s="22">
        <f t="shared" si="227"/>
        <v>2.9984159312061555E-3</v>
      </c>
      <c r="W212" s="22">
        <f t="shared" si="227"/>
        <v>0</v>
      </c>
      <c r="X212" s="22">
        <f t="shared" si="227"/>
        <v>0</v>
      </c>
      <c r="Y212" s="384">
        <f t="shared" si="227"/>
        <v>6.7322923738402356E-3</v>
      </c>
    </row>
    <row r="213" spans="1:33" x14ac:dyDescent="0.35">
      <c r="A213" s="116" t="s">
        <v>14</v>
      </c>
      <c r="B213" s="22">
        <f t="shared" ref="B213:Y213" si="228">B196/$Z$196</f>
        <v>0.8724794321664785</v>
      </c>
      <c r="C213" s="22">
        <f t="shared" si="228"/>
        <v>5.2831101790611398E-3</v>
      </c>
      <c r="D213" s="22">
        <f t="shared" si="228"/>
        <v>0</v>
      </c>
      <c r="E213" s="22">
        <f t="shared" si="228"/>
        <v>0</v>
      </c>
      <c r="F213" s="22">
        <f t="shared" si="228"/>
        <v>0</v>
      </c>
      <c r="G213" s="22">
        <f t="shared" si="228"/>
        <v>0</v>
      </c>
      <c r="H213" s="22">
        <f t="shared" si="228"/>
        <v>2.8633650588804648E-3</v>
      </c>
      <c r="I213" s="22">
        <f t="shared" si="228"/>
        <v>2.0164542668172289E-2</v>
      </c>
      <c r="J213" s="22">
        <f t="shared" si="228"/>
        <v>0</v>
      </c>
      <c r="K213" s="22">
        <f t="shared" si="228"/>
        <v>2.5407323761897083E-3</v>
      </c>
      <c r="L213" s="22">
        <f t="shared" si="228"/>
        <v>0</v>
      </c>
      <c r="M213" s="22">
        <f t="shared" si="228"/>
        <v>6.4526536538151325E-4</v>
      </c>
      <c r="N213" s="22">
        <f t="shared" si="228"/>
        <v>1.3792547185029844E-2</v>
      </c>
      <c r="O213" s="22">
        <f t="shared" si="228"/>
        <v>1.435715437973867E-2</v>
      </c>
      <c r="P213" s="22">
        <f t="shared" si="228"/>
        <v>2.4197451201806745E-3</v>
      </c>
      <c r="Q213" s="22">
        <f t="shared" si="228"/>
        <v>0</v>
      </c>
      <c r="R213" s="22">
        <f t="shared" si="228"/>
        <v>2.0164542668172289E-3</v>
      </c>
      <c r="S213" s="22">
        <f t="shared" si="228"/>
        <v>8.0658170672689153E-4</v>
      </c>
      <c r="T213" s="22">
        <f t="shared" si="228"/>
        <v>0</v>
      </c>
      <c r="U213" s="22">
        <f t="shared" si="228"/>
        <v>1.2098725600903372E-3</v>
      </c>
      <c r="V213" s="22">
        <f t="shared" si="228"/>
        <v>1.2098725600903373E-2</v>
      </c>
      <c r="W213" s="22">
        <f t="shared" si="228"/>
        <v>1.5365381513147281E-2</v>
      </c>
      <c r="X213" s="22">
        <f t="shared" si="228"/>
        <v>3.3957089853202123E-2</v>
      </c>
      <c r="Y213" s="384">
        <f t="shared" si="228"/>
        <v>0</v>
      </c>
    </row>
    <row r="214" spans="1:33" x14ac:dyDescent="0.35">
      <c r="A214" s="116" t="s">
        <v>17</v>
      </c>
      <c r="B214" s="22">
        <f t="shared" ref="B214:Y214" si="229">B200/$Z$200</f>
        <v>0</v>
      </c>
      <c r="C214" s="22">
        <f t="shared" si="229"/>
        <v>0</v>
      </c>
      <c r="D214" s="22">
        <f t="shared" si="229"/>
        <v>0</v>
      </c>
      <c r="E214" s="22">
        <f t="shared" si="229"/>
        <v>0</v>
      </c>
      <c r="F214" s="22">
        <f t="shared" si="229"/>
        <v>0</v>
      </c>
      <c r="G214" s="22">
        <f t="shared" si="229"/>
        <v>0</v>
      </c>
      <c r="H214" s="22">
        <f t="shared" si="229"/>
        <v>0</v>
      </c>
      <c r="I214" s="22">
        <f t="shared" si="229"/>
        <v>0</v>
      </c>
      <c r="J214" s="22">
        <f t="shared" si="229"/>
        <v>0</v>
      </c>
      <c r="K214" s="22">
        <f t="shared" si="229"/>
        <v>0</v>
      </c>
      <c r="L214" s="22">
        <f t="shared" si="229"/>
        <v>0</v>
      </c>
      <c r="M214" s="22">
        <f t="shared" si="229"/>
        <v>1</v>
      </c>
      <c r="N214" s="22">
        <f t="shared" si="229"/>
        <v>0</v>
      </c>
      <c r="O214" s="22">
        <f t="shared" si="229"/>
        <v>0</v>
      </c>
      <c r="P214" s="22">
        <f t="shared" si="229"/>
        <v>0</v>
      </c>
      <c r="Q214" s="22">
        <f t="shared" si="229"/>
        <v>0</v>
      </c>
      <c r="R214" s="22">
        <f t="shared" si="229"/>
        <v>0</v>
      </c>
      <c r="S214" s="22">
        <f t="shared" si="229"/>
        <v>0</v>
      </c>
      <c r="T214" s="22">
        <f t="shared" si="229"/>
        <v>0</v>
      </c>
      <c r="U214" s="22">
        <f t="shared" si="229"/>
        <v>0</v>
      </c>
      <c r="V214" s="22">
        <f t="shared" si="229"/>
        <v>0</v>
      </c>
      <c r="W214" s="22">
        <f t="shared" si="229"/>
        <v>0</v>
      </c>
      <c r="X214" s="22">
        <f t="shared" si="229"/>
        <v>0</v>
      </c>
      <c r="Y214" s="384">
        <f t="shared" si="229"/>
        <v>0</v>
      </c>
    </row>
    <row r="215" spans="1:33" x14ac:dyDescent="0.35">
      <c r="A215" s="116" t="s">
        <v>18</v>
      </c>
      <c r="B215" s="22">
        <f t="shared" ref="B215:Y215" si="230">B202/$Z$202</f>
        <v>0.55913244791032046</v>
      </c>
      <c r="C215" s="22">
        <f t="shared" si="230"/>
        <v>5.249177531375656E-2</v>
      </c>
      <c r="D215" s="22">
        <f t="shared" si="230"/>
        <v>2.1445107834775195E-3</v>
      </c>
      <c r="E215" s="22">
        <f t="shared" si="230"/>
        <v>7.6032655050566602E-3</v>
      </c>
      <c r="F215" s="22">
        <f t="shared" si="230"/>
        <v>0</v>
      </c>
      <c r="G215" s="22">
        <f t="shared" si="230"/>
        <v>9.5455099305470956E-2</v>
      </c>
      <c r="H215" s="22">
        <f t="shared" si="230"/>
        <v>3.1680272937736084E-4</v>
      </c>
      <c r="I215" s="22">
        <f t="shared" si="230"/>
        <v>0.1023760204703302</v>
      </c>
      <c r="J215" s="22">
        <f t="shared" si="230"/>
        <v>3.5043255757280373E-2</v>
      </c>
      <c r="K215" s="22">
        <f t="shared" si="230"/>
        <v>1.7058608504934814E-3</v>
      </c>
      <c r="L215" s="22">
        <f t="shared" si="230"/>
        <v>4.4352382112830512E-3</v>
      </c>
      <c r="M215" s="22">
        <f t="shared" si="230"/>
        <v>4.215913244791032E-3</v>
      </c>
      <c r="N215" s="22">
        <f t="shared" si="230"/>
        <v>0</v>
      </c>
      <c r="O215" s="22">
        <f t="shared" si="230"/>
        <v>0</v>
      </c>
      <c r="P215" s="22">
        <f t="shared" si="230"/>
        <v>0</v>
      </c>
      <c r="Q215" s="22">
        <f t="shared" si="230"/>
        <v>2.237114658218594E-2</v>
      </c>
      <c r="R215" s="22">
        <f t="shared" si="230"/>
        <v>1.7521627878640186E-2</v>
      </c>
      <c r="S215" s="22">
        <f t="shared" si="230"/>
        <v>0</v>
      </c>
      <c r="T215" s="22">
        <f t="shared" si="230"/>
        <v>1.7326672352869502E-2</v>
      </c>
      <c r="U215" s="22">
        <f t="shared" si="230"/>
        <v>3.4921408553673698E-2</v>
      </c>
      <c r="V215" s="22">
        <f t="shared" si="230"/>
        <v>1.1624223224077008E-2</v>
      </c>
      <c r="W215" s="22">
        <f t="shared" si="230"/>
        <v>2.6928231997075672E-2</v>
      </c>
      <c r="X215" s="22">
        <f t="shared" si="230"/>
        <v>1.5109053247227978E-3</v>
      </c>
      <c r="Y215" s="384">
        <f t="shared" si="230"/>
        <v>2.875594005117583E-3</v>
      </c>
    </row>
    <row r="216" spans="1:33" x14ac:dyDescent="0.35">
      <c r="A216" s="116" t="s">
        <v>22</v>
      </c>
      <c r="B216" s="22">
        <f t="shared" ref="B216:Y216" si="231">B204/$Z$204</f>
        <v>0.70181193377069662</v>
      </c>
      <c r="C216" s="22">
        <f t="shared" si="231"/>
        <v>2.3781630740393626E-2</v>
      </c>
      <c r="D216" s="22">
        <f t="shared" si="231"/>
        <v>0</v>
      </c>
      <c r="E216" s="22">
        <f t="shared" si="231"/>
        <v>2.7335207747578884E-4</v>
      </c>
      <c r="F216" s="22">
        <f t="shared" si="231"/>
        <v>0</v>
      </c>
      <c r="G216" s="22">
        <f t="shared" si="231"/>
        <v>2.4992189940643552E-3</v>
      </c>
      <c r="H216" s="22">
        <f t="shared" si="231"/>
        <v>2.6163698844111219E-3</v>
      </c>
      <c r="I216" s="22">
        <f t="shared" si="231"/>
        <v>0</v>
      </c>
      <c r="J216" s="22">
        <f t="shared" si="231"/>
        <v>2.2258669165885659E-3</v>
      </c>
      <c r="K216" s="22">
        <f t="shared" si="231"/>
        <v>0</v>
      </c>
      <c r="L216" s="22">
        <f t="shared" si="231"/>
        <v>9.2158700406123079E-3</v>
      </c>
      <c r="M216" s="22">
        <f t="shared" si="231"/>
        <v>0</v>
      </c>
      <c r="N216" s="22">
        <f t="shared" si="231"/>
        <v>1.042642924086223E-2</v>
      </c>
      <c r="O216" s="22">
        <f t="shared" si="231"/>
        <v>2.3547328959700096E-2</v>
      </c>
      <c r="P216" s="22">
        <f t="shared" si="231"/>
        <v>1.1324586066854107E-3</v>
      </c>
      <c r="Q216" s="22">
        <f t="shared" si="231"/>
        <v>2.7725710715401438E-3</v>
      </c>
      <c r="R216" s="22">
        <f t="shared" si="231"/>
        <v>0.12148547328959701</v>
      </c>
      <c r="S216" s="22">
        <f t="shared" si="231"/>
        <v>4.4946891596376132E-2</v>
      </c>
      <c r="T216" s="22">
        <f t="shared" si="231"/>
        <v>3.5145267104029991E-4</v>
      </c>
      <c r="U216" s="22">
        <f t="shared" si="231"/>
        <v>2.4757888159950017E-2</v>
      </c>
      <c r="V216" s="22">
        <f t="shared" si="231"/>
        <v>0</v>
      </c>
      <c r="W216" s="22">
        <f t="shared" si="231"/>
        <v>9.8406747891283987E-3</v>
      </c>
      <c r="X216" s="22">
        <f t="shared" si="231"/>
        <v>1.6557325835676352E-2</v>
      </c>
      <c r="Y216" s="384">
        <f t="shared" si="231"/>
        <v>1.7572633552014997E-3</v>
      </c>
    </row>
    <row r="217" spans="1:33" x14ac:dyDescent="0.35">
      <c r="A217" s="116" t="s">
        <v>25</v>
      </c>
      <c r="B217" s="22">
        <f t="shared" ref="B217:Y217" si="232">B206/$Z$206</f>
        <v>0.75068188419658111</v>
      </c>
      <c r="C217" s="22">
        <f t="shared" si="232"/>
        <v>4.8054239017236627E-2</v>
      </c>
      <c r="D217" s="22">
        <f t="shared" si="232"/>
        <v>2.6354381415910392E-3</v>
      </c>
      <c r="E217" s="22">
        <f t="shared" si="232"/>
        <v>2.2812125849255771E-3</v>
      </c>
      <c r="F217" s="22">
        <f t="shared" si="232"/>
        <v>0</v>
      </c>
      <c r="G217" s="22">
        <f t="shared" si="232"/>
        <v>2.8203438821704112E-2</v>
      </c>
      <c r="H217" s="22">
        <f t="shared" si="232"/>
        <v>1.0697611811296961E-3</v>
      </c>
      <c r="I217" s="22">
        <f t="shared" si="232"/>
        <v>3.4097752084617398E-2</v>
      </c>
      <c r="J217" s="22">
        <f t="shared" si="232"/>
        <v>1.0591344144297323E-2</v>
      </c>
      <c r="K217" s="22">
        <f t="shared" si="232"/>
        <v>9.422399807301298E-4</v>
      </c>
      <c r="L217" s="22">
        <f t="shared" si="232"/>
        <v>2.9613256537232647E-3</v>
      </c>
      <c r="M217" s="22">
        <f t="shared" si="232"/>
        <v>1.6294375606611268E-3</v>
      </c>
      <c r="N217" s="22">
        <f t="shared" si="232"/>
        <v>4.3144672801853304E-3</v>
      </c>
      <c r="O217" s="22">
        <f t="shared" si="232"/>
        <v>6.7940461768435673E-3</v>
      </c>
      <c r="P217" s="22">
        <f t="shared" si="232"/>
        <v>6.3052149086452285E-4</v>
      </c>
      <c r="Q217" s="22">
        <f t="shared" si="232"/>
        <v>7.006581510842845E-3</v>
      </c>
      <c r="R217" s="22">
        <f t="shared" si="232"/>
        <v>3.4685766508682062E-2</v>
      </c>
      <c r="S217" s="22">
        <f t="shared" si="232"/>
        <v>8.2959625371051265E-3</v>
      </c>
      <c r="T217" s="22">
        <f t="shared" si="232"/>
        <v>6.170609197112353E-3</v>
      </c>
      <c r="U217" s="22">
        <f t="shared" si="232"/>
        <v>1.494831849128251E-2</v>
      </c>
      <c r="V217" s="22">
        <f t="shared" si="232"/>
        <v>5.8801442406466739E-3</v>
      </c>
      <c r="W217" s="22">
        <f t="shared" si="232"/>
        <v>1.2312880349691468E-2</v>
      </c>
      <c r="X217" s="22">
        <f t="shared" si="232"/>
        <v>1.3743951598619936E-2</v>
      </c>
      <c r="Y217" s="384">
        <f t="shared" si="232"/>
        <v>2.0686772509263002E-3</v>
      </c>
    </row>
    <row r="221" spans="1:33" ht="15" x14ac:dyDescent="0.35">
      <c r="A221" s="284" t="s">
        <v>79</v>
      </c>
    </row>
    <row r="222" spans="1:33" ht="15.5" x14ac:dyDescent="0.35">
      <c r="A222" s="288" t="s">
        <v>98</v>
      </c>
    </row>
    <row r="224" spans="1:33" ht="76.5" customHeight="1" x14ac:dyDescent="0.35">
      <c r="A224" s="125" t="s">
        <v>88</v>
      </c>
      <c r="B224" s="198" t="s">
        <v>89</v>
      </c>
      <c r="C224" s="198">
        <v>2000</v>
      </c>
      <c r="D224" s="198">
        <v>2001</v>
      </c>
      <c r="E224" s="198">
        <v>2002</v>
      </c>
      <c r="F224" s="198">
        <v>2003</v>
      </c>
      <c r="G224" s="198">
        <v>2004</v>
      </c>
      <c r="H224" s="198">
        <v>2005</v>
      </c>
      <c r="I224" s="198">
        <v>2006</v>
      </c>
      <c r="J224" s="198">
        <v>2007</v>
      </c>
      <c r="K224" s="198">
        <v>2008</v>
      </c>
      <c r="L224" s="198">
        <v>2009</v>
      </c>
      <c r="M224" s="198">
        <v>2010</v>
      </c>
      <c r="N224" s="198">
        <v>2011</v>
      </c>
      <c r="O224" s="198">
        <v>2012</v>
      </c>
      <c r="P224" s="198">
        <v>2013</v>
      </c>
      <c r="Q224" s="198">
        <v>2014</v>
      </c>
      <c r="R224" s="198">
        <v>2015</v>
      </c>
      <c r="S224" s="198">
        <v>2016</v>
      </c>
      <c r="T224" s="198">
        <v>2017</v>
      </c>
      <c r="U224" s="198">
        <v>2018</v>
      </c>
      <c r="V224" s="198">
        <v>2019</v>
      </c>
      <c r="W224" s="198">
        <v>2020</v>
      </c>
      <c r="X224" s="198">
        <v>2021</v>
      </c>
      <c r="Y224" s="198" t="s">
        <v>90</v>
      </c>
      <c r="Z224" s="198" t="s">
        <v>91</v>
      </c>
      <c r="AA224" s="199" t="s">
        <v>92</v>
      </c>
      <c r="AC224" s="127" t="s">
        <v>110</v>
      </c>
      <c r="AD224" s="127" t="s">
        <v>108</v>
      </c>
      <c r="AE224" s="127" t="s">
        <v>94</v>
      </c>
      <c r="AF224" s="127" t="s">
        <v>96</v>
      </c>
      <c r="AG224" s="127" t="s">
        <v>97</v>
      </c>
    </row>
    <row r="225" spans="1:43" x14ac:dyDescent="0.35">
      <c r="A225" s="11" t="s">
        <v>5</v>
      </c>
      <c r="B225" s="119">
        <f>SUM(B226:B231)</f>
        <v>3.42</v>
      </c>
      <c r="C225" s="119">
        <f t="shared" ref="C225:Y225" si="233">SUM(C226:C231)</f>
        <v>93.38</v>
      </c>
      <c r="D225" s="119"/>
      <c r="E225" s="119">
        <f t="shared" si="233"/>
        <v>1.43</v>
      </c>
      <c r="F225" s="119"/>
      <c r="G225" s="119"/>
      <c r="H225" s="119"/>
      <c r="I225" s="119"/>
      <c r="J225" s="119"/>
      <c r="K225" s="119"/>
      <c r="L225" s="119"/>
      <c r="M225" s="119">
        <f t="shared" si="233"/>
        <v>0.14000000000000001</v>
      </c>
      <c r="N225" s="119"/>
      <c r="O225" s="119"/>
      <c r="P225" s="119"/>
      <c r="Q225" s="119"/>
      <c r="R225" s="119">
        <f t="shared" si="233"/>
        <v>0.34</v>
      </c>
      <c r="S225" s="119"/>
      <c r="T225" s="119"/>
      <c r="U225" s="119"/>
      <c r="V225" s="119"/>
      <c r="W225" s="119"/>
      <c r="X225" s="119"/>
      <c r="Y225" s="119">
        <f t="shared" si="233"/>
        <v>0.05</v>
      </c>
      <c r="Z225" s="119">
        <f>SUM(B225:Y225)</f>
        <v>98.76</v>
      </c>
      <c r="AA225" s="143">
        <f>Z225/$Z$246</f>
        <v>0.72484403669724762</v>
      </c>
      <c r="AC225" s="119">
        <f>SUM(B225:U225)</f>
        <v>98.710000000000008</v>
      </c>
      <c r="AD225" s="119">
        <f>SUM(V225:X225)</f>
        <v>0</v>
      </c>
      <c r="AE225" s="119">
        <f>Y225</f>
        <v>0.05</v>
      </c>
      <c r="AF225" s="119">
        <f t="shared" ref="AF225:AF246" si="234">SUM(AC225:AE225)</f>
        <v>98.76</v>
      </c>
      <c r="AG225" s="143">
        <f>AD225/AF225</f>
        <v>0</v>
      </c>
    </row>
    <row r="226" spans="1:43" x14ac:dyDescent="0.35">
      <c r="A226" s="6" t="s">
        <v>6</v>
      </c>
      <c r="B226" s="12"/>
      <c r="C226" s="12"/>
      <c r="D226" s="12"/>
      <c r="E226" s="12">
        <v>1.43</v>
      </c>
      <c r="F226" s="12"/>
      <c r="G226" s="12"/>
      <c r="H226" s="12"/>
      <c r="I226" s="12"/>
      <c r="J226" s="12"/>
      <c r="K226" s="12"/>
      <c r="L226" s="12"/>
      <c r="M226" s="12">
        <v>0.14000000000000001</v>
      </c>
      <c r="N226" s="12"/>
      <c r="O226" s="12"/>
      <c r="P226" s="12"/>
      <c r="Q226" s="12"/>
      <c r="R226" s="12">
        <v>0.34</v>
      </c>
      <c r="S226" s="12"/>
      <c r="T226" s="12"/>
      <c r="U226" s="12"/>
      <c r="V226" s="12"/>
      <c r="W226" s="12"/>
      <c r="X226" s="12"/>
      <c r="Y226" s="12">
        <v>0.05</v>
      </c>
      <c r="Z226" s="12">
        <f>SUM(B226:Y226)</f>
        <v>1.96</v>
      </c>
      <c r="AA226" s="24"/>
      <c r="AC226" s="12">
        <f>SUM(B226:U226)</f>
        <v>1.91</v>
      </c>
      <c r="AD226" s="12">
        <f>SUM(V226:X226)</f>
        <v>0</v>
      </c>
      <c r="AE226" s="12">
        <f>Y226</f>
        <v>0.05</v>
      </c>
      <c r="AF226" s="12">
        <f t="shared" si="234"/>
        <v>1.96</v>
      </c>
      <c r="AG226" s="22">
        <f>AD226/AF226</f>
        <v>0</v>
      </c>
    </row>
    <row r="227" spans="1:43" x14ac:dyDescent="0.35">
      <c r="A227" s="6" t="s">
        <v>7</v>
      </c>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f t="shared" ref="Z227:Z245" si="235">SUM(B227:Y227)</f>
        <v>0</v>
      </c>
      <c r="AA227" s="24"/>
      <c r="AC227" s="12">
        <f t="shared" ref="AC227:AC245" si="236">SUM(B227:U227)</f>
        <v>0</v>
      </c>
      <c r="AD227" s="12">
        <f t="shared" ref="AD227:AD245" si="237">SUM(V227:X227)</f>
        <v>0</v>
      </c>
      <c r="AE227" s="12">
        <f t="shared" ref="AE227:AE246" si="238">Y227</f>
        <v>0</v>
      </c>
      <c r="AF227" s="12">
        <f t="shared" si="234"/>
        <v>0</v>
      </c>
      <c r="AG227" s="22"/>
    </row>
    <row r="228" spans="1:43" x14ac:dyDescent="0.35">
      <c r="A228" s="6" t="s">
        <v>8</v>
      </c>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f t="shared" si="235"/>
        <v>0</v>
      </c>
      <c r="AA228" s="24"/>
      <c r="AC228" s="12">
        <f t="shared" si="236"/>
        <v>0</v>
      </c>
      <c r="AD228" s="12">
        <f t="shared" si="237"/>
        <v>0</v>
      </c>
      <c r="AE228" s="12">
        <f t="shared" si="238"/>
        <v>0</v>
      </c>
      <c r="AF228" s="12">
        <f t="shared" si="234"/>
        <v>0</v>
      </c>
      <c r="AG228" s="22"/>
    </row>
    <row r="229" spans="1:43" x14ac:dyDescent="0.35">
      <c r="A229" s="6" t="s">
        <v>26</v>
      </c>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f t="shared" si="235"/>
        <v>0</v>
      </c>
      <c r="AA229" s="24"/>
      <c r="AC229" s="12">
        <f t="shared" si="236"/>
        <v>0</v>
      </c>
      <c r="AD229" s="12">
        <f t="shared" si="237"/>
        <v>0</v>
      </c>
      <c r="AE229" s="12">
        <f t="shared" si="238"/>
        <v>0</v>
      </c>
      <c r="AF229" s="12">
        <f t="shared" si="234"/>
        <v>0</v>
      </c>
      <c r="AG229" s="22"/>
    </row>
    <row r="230" spans="1:43" x14ac:dyDescent="0.35">
      <c r="A230" s="6" t="s">
        <v>27</v>
      </c>
      <c r="B230" s="12"/>
      <c r="C230" s="12">
        <v>93.38</v>
      </c>
      <c r="D230" s="12"/>
      <c r="E230" s="12"/>
      <c r="F230" s="12"/>
      <c r="G230" s="12"/>
      <c r="H230" s="12"/>
      <c r="I230" s="12"/>
      <c r="J230" s="12"/>
      <c r="K230" s="12"/>
      <c r="L230" s="12"/>
      <c r="M230" s="12"/>
      <c r="N230" s="12"/>
      <c r="O230" s="12"/>
      <c r="P230" s="12"/>
      <c r="Q230" s="12"/>
      <c r="R230" s="12"/>
      <c r="S230" s="12"/>
      <c r="T230" s="12"/>
      <c r="U230" s="12"/>
      <c r="V230" s="12"/>
      <c r="W230" s="12"/>
      <c r="X230" s="12"/>
      <c r="Y230" s="12"/>
      <c r="Z230" s="12">
        <f t="shared" si="235"/>
        <v>93.38</v>
      </c>
      <c r="AA230" s="24"/>
      <c r="AC230" s="12">
        <f t="shared" si="236"/>
        <v>93.38</v>
      </c>
      <c r="AD230" s="12">
        <f t="shared" si="237"/>
        <v>0</v>
      </c>
      <c r="AE230" s="12">
        <f t="shared" si="238"/>
        <v>0</v>
      </c>
      <c r="AF230" s="12">
        <f t="shared" si="234"/>
        <v>93.38</v>
      </c>
      <c r="AG230" s="22">
        <f t="shared" ref="AG230:AG236" si="239">AD230/AF230</f>
        <v>0</v>
      </c>
    </row>
    <row r="231" spans="1:43" x14ac:dyDescent="0.35">
      <c r="A231" s="6" t="s">
        <v>29</v>
      </c>
      <c r="B231" s="12">
        <v>3.42</v>
      </c>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f t="shared" si="235"/>
        <v>3.42</v>
      </c>
      <c r="AA231" s="24"/>
      <c r="AC231" s="12">
        <f t="shared" si="236"/>
        <v>3.42</v>
      </c>
      <c r="AD231" s="12">
        <f t="shared" si="237"/>
        <v>0</v>
      </c>
      <c r="AE231" s="12">
        <f t="shared" si="238"/>
        <v>0</v>
      </c>
      <c r="AF231" s="12">
        <f t="shared" si="234"/>
        <v>3.42</v>
      </c>
      <c r="AG231" s="22">
        <f t="shared" si="239"/>
        <v>0</v>
      </c>
    </row>
    <row r="232" spans="1:43" x14ac:dyDescent="0.35">
      <c r="A232" s="11" t="s">
        <v>13</v>
      </c>
      <c r="B232" s="119">
        <f>SUM(B233:B235)</f>
        <v>11.54</v>
      </c>
      <c r="C232" s="119">
        <f t="shared" ref="C232:Y232" si="240">SUM(C233:C235)</f>
        <v>0.14000000000000001</v>
      </c>
      <c r="D232" s="119"/>
      <c r="E232" s="119"/>
      <c r="F232" s="119"/>
      <c r="G232" s="119"/>
      <c r="H232" s="119"/>
      <c r="I232" s="119"/>
      <c r="J232" s="119"/>
      <c r="K232" s="119"/>
      <c r="L232" s="119"/>
      <c r="M232" s="119"/>
      <c r="N232" s="119"/>
      <c r="O232" s="119"/>
      <c r="P232" s="119"/>
      <c r="Q232" s="119"/>
      <c r="R232" s="119"/>
      <c r="S232" s="119">
        <f t="shared" si="240"/>
        <v>0.9</v>
      </c>
      <c r="T232" s="119"/>
      <c r="U232" s="119"/>
      <c r="V232" s="119"/>
      <c r="W232" s="119">
        <f t="shared" si="240"/>
        <v>0.26</v>
      </c>
      <c r="X232" s="119"/>
      <c r="Y232" s="119">
        <f t="shared" si="240"/>
        <v>0.26</v>
      </c>
      <c r="Z232" s="119">
        <f>SUM(B232:Y232)</f>
        <v>13.1</v>
      </c>
      <c r="AA232" s="143">
        <f>Z232/$Z$246</f>
        <v>9.6146788990825668E-2</v>
      </c>
      <c r="AC232" s="119">
        <f>SUM(B232:U232)</f>
        <v>12.58</v>
      </c>
      <c r="AD232" s="119">
        <f>SUM(V232:X232)</f>
        <v>0.26</v>
      </c>
      <c r="AE232" s="119">
        <f>Y232</f>
        <v>0.26</v>
      </c>
      <c r="AF232" s="119">
        <f t="shared" si="234"/>
        <v>13.1</v>
      </c>
      <c r="AG232" s="143">
        <f t="shared" si="239"/>
        <v>1.984732824427481E-2</v>
      </c>
    </row>
    <row r="233" spans="1:43" x14ac:dyDescent="0.35">
      <c r="A233" s="6" t="s">
        <v>34</v>
      </c>
      <c r="B233" s="12">
        <v>7.31</v>
      </c>
      <c r="C233" s="12"/>
      <c r="D233" s="12"/>
      <c r="E233" s="12"/>
      <c r="F233" s="12"/>
      <c r="G233" s="12"/>
      <c r="H233" s="12"/>
      <c r="I233" s="12"/>
      <c r="J233" s="12"/>
      <c r="K233" s="12"/>
      <c r="L233" s="12"/>
      <c r="M233" s="12"/>
      <c r="N233" s="12"/>
      <c r="O233" s="12"/>
      <c r="P233" s="12"/>
      <c r="Q233" s="12"/>
      <c r="R233" s="12"/>
      <c r="S233" s="12"/>
      <c r="T233" s="12"/>
      <c r="U233" s="12"/>
      <c r="V233" s="12"/>
      <c r="W233" s="12"/>
      <c r="X233" s="12"/>
      <c r="Y233" s="12">
        <f>0.01+0.02</f>
        <v>0.03</v>
      </c>
      <c r="Z233" s="12">
        <f t="shared" si="235"/>
        <v>7.34</v>
      </c>
      <c r="AA233" s="24"/>
      <c r="AC233" s="12">
        <f t="shared" si="236"/>
        <v>7.31</v>
      </c>
      <c r="AD233" s="12">
        <f t="shared" si="237"/>
        <v>0</v>
      </c>
      <c r="AE233" s="12">
        <f t="shared" si="238"/>
        <v>0.03</v>
      </c>
      <c r="AF233" s="12">
        <f t="shared" si="234"/>
        <v>7.34</v>
      </c>
      <c r="AG233" s="22">
        <f t="shared" si="239"/>
        <v>0</v>
      </c>
    </row>
    <row r="234" spans="1:43" x14ac:dyDescent="0.35">
      <c r="A234" s="6" t="s">
        <v>61</v>
      </c>
      <c r="B234" s="12">
        <v>0.23</v>
      </c>
      <c r="C234" s="12"/>
      <c r="D234" s="12"/>
      <c r="E234" s="12"/>
      <c r="F234" s="12"/>
      <c r="G234" s="12"/>
      <c r="H234" s="12"/>
      <c r="I234" s="12"/>
      <c r="J234" s="12"/>
      <c r="K234" s="12"/>
      <c r="L234" s="12"/>
      <c r="M234" s="12"/>
      <c r="N234" s="12"/>
      <c r="O234" s="12"/>
      <c r="P234" s="12"/>
      <c r="Q234" s="12"/>
      <c r="R234" s="12"/>
      <c r="S234" s="12"/>
      <c r="T234" s="12"/>
      <c r="U234" s="12"/>
      <c r="V234" s="12"/>
      <c r="W234" s="12"/>
      <c r="X234" s="12"/>
      <c r="Y234" s="12">
        <v>0.1</v>
      </c>
      <c r="Z234" s="12">
        <f t="shared" si="235"/>
        <v>0.33</v>
      </c>
      <c r="AA234" s="24"/>
      <c r="AC234" s="12">
        <f t="shared" si="236"/>
        <v>0.23</v>
      </c>
      <c r="AD234" s="12">
        <f t="shared" si="237"/>
        <v>0</v>
      </c>
      <c r="AE234" s="12">
        <f t="shared" si="238"/>
        <v>0.1</v>
      </c>
      <c r="AF234" s="12">
        <f t="shared" si="234"/>
        <v>0.33</v>
      </c>
      <c r="AG234" s="22">
        <f t="shared" si="239"/>
        <v>0</v>
      </c>
    </row>
    <row r="235" spans="1:43" x14ac:dyDescent="0.35">
      <c r="A235" s="6" t="s">
        <v>36</v>
      </c>
      <c r="B235" s="12">
        <v>4</v>
      </c>
      <c r="C235" s="12">
        <v>0.14000000000000001</v>
      </c>
      <c r="D235" s="12"/>
      <c r="E235" s="12"/>
      <c r="F235" s="12"/>
      <c r="G235" s="12"/>
      <c r="H235" s="12"/>
      <c r="I235" s="12"/>
      <c r="J235" s="12"/>
      <c r="K235" s="12"/>
      <c r="L235" s="12"/>
      <c r="M235" s="12"/>
      <c r="N235" s="12"/>
      <c r="O235" s="12"/>
      <c r="P235" s="12"/>
      <c r="Q235" s="12"/>
      <c r="R235" s="12"/>
      <c r="S235" s="12">
        <v>0.9</v>
      </c>
      <c r="T235" s="12"/>
      <c r="U235" s="12"/>
      <c r="V235" s="12"/>
      <c r="W235" s="12">
        <v>0.26</v>
      </c>
      <c r="X235" s="12"/>
      <c r="Y235" s="12">
        <f>0.1+0.03</f>
        <v>0.13</v>
      </c>
      <c r="Z235" s="12">
        <f t="shared" si="235"/>
        <v>5.43</v>
      </c>
      <c r="AA235" s="24"/>
      <c r="AC235" s="12">
        <f t="shared" si="236"/>
        <v>5.04</v>
      </c>
      <c r="AD235" s="12">
        <f t="shared" si="237"/>
        <v>0.26</v>
      </c>
      <c r="AE235" s="12">
        <f t="shared" si="238"/>
        <v>0.13</v>
      </c>
      <c r="AF235" s="12">
        <f t="shared" si="234"/>
        <v>5.43</v>
      </c>
      <c r="AG235" s="22">
        <f t="shared" si="239"/>
        <v>4.7882136279926338E-2</v>
      </c>
    </row>
    <row r="236" spans="1:43" x14ac:dyDescent="0.35">
      <c r="A236" s="11" t="s">
        <v>14</v>
      </c>
      <c r="B236" s="119">
        <f t="shared" ref="B236:Y236" si="241">SUM(B237:B239)</f>
        <v>16.04</v>
      </c>
      <c r="C236" s="119">
        <f t="shared" si="241"/>
        <v>1.47</v>
      </c>
      <c r="D236" s="119">
        <f t="shared" si="241"/>
        <v>0.05</v>
      </c>
      <c r="E236" s="119"/>
      <c r="F236" s="119"/>
      <c r="G236" s="119"/>
      <c r="H236" s="119"/>
      <c r="I236" s="119"/>
      <c r="J236" s="119"/>
      <c r="K236" s="119"/>
      <c r="L236" s="119"/>
      <c r="M236" s="119"/>
      <c r="N236" s="119"/>
      <c r="O236" s="119"/>
      <c r="P236" s="119"/>
      <c r="Q236" s="119"/>
      <c r="R236" s="119"/>
      <c r="S236" s="119"/>
      <c r="T236" s="119"/>
      <c r="U236" s="119"/>
      <c r="V236" s="119"/>
      <c r="W236" s="119">
        <f t="shared" si="241"/>
        <v>0.67</v>
      </c>
      <c r="X236" s="119">
        <f t="shared" si="241"/>
        <v>1.34</v>
      </c>
      <c r="Y236" s="119">
        <f t="shared" si="241"/>
        <v>0</v>
      </c>
      <c r="Z236" s="119">
        <f>SUM(B236:Y236)</f>
        <v>19.57</v>
      </c>
      <c r="AA236" s="143">
        <f>Z236/$Z$246</f>
        <v>0.14363302752293575</v>
      </c>
      <c r="AC236" s="119">
        <f>SUM(B236:U236)</f>
        <v>17.559999999999999</v>
      </c>
      <c r="AD236" s="119">
        <f>SUM(V236:X236)</f>
        <v>2.0100000000000002</v>
      </c>
      <c r="AE236" s="119">
        <f>Y236</f>
        <v>0</v>
      </c>
      <c r="AF236" s="119">
        <f t="shared" si="234"/>
        <v>19.57</v>
      </c>
      <c r="AG236" s="143">
        <f t="shared" si="239"/>
        <v>0.10270822687787431</v>
      </c>
    </row>
    <row r="237" spans="1:43" x14ac:dyDescent="0.35">
      <c r="A237" s="6" t="s">
        <v>37</v>
      </c>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f t="shared" si="235"/>
        <v>0</v>
      </c>
      <c r="AA237" s="24"/>
      <c r="AC237" s="12">
        <f t="shared" si="236"/>
        <v>0</v>
      </c>
      <c r="AD237" s="12">
        <f t="shared" si="237"/>
        <v>0</v>
      </c>
      <c r="AE237" s="12">
        <f t="shared" si="238"/>
        <v>0</v>
      </c>
      <c r="AF237" s="12">
        <f t="shared" si="234"/>
        <v>0</v>
      </c>
      <c r="AG237" s="22"/>
      <c r="AI237" s="210" t="s">
        <v>255</v>
      </c>
      <c r="AN237" s="342"/>
      <c r="AO237" s="342" t="s">
        <v>256</v>
      </c>
      <c r="AP237" s="342" t="s">
        <v>96</v>
      </c>
      <c r="AQ237" s="342" t="s">
        <v>257</v>
      </c>
    </row>
    <row r="238" spans="1:43" x14ac:dyDescent="0.35">
      <c r="A238" s="6" t="s">
        <v>39</v>
      </c>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f t="shared" si="235"/>
        <v>0</v>
      </c>
      <c r="AA238" s="24"/>
      <c r="AC238" s="12">
        <f t="shared" si="236"/>
        <v>0</v>
      </c>
      <c r="AD238" s="12">
        <f t="shared" si="237"/>
        <v>0</v>
      </c>
      <c r="AE238" s="12">
        <f t="shared" si="238"/>
        <v>0</v>
      </c>
      <c r="AF238" s="12">
        <f t="shared" si="234"/>
        <v>0</v>
      </c>
      <c r="AG238" s="22"/>
      <c r="AJ238" t="s">
        <v>256</v>
      </c>
      <c r="AK238" t="s">
        <v>96</v>
      </c>
      <c r="AL238" t="s">
        <v>257</v>
      </c>
      <c r="AN238" s="406" t="s">
        <v>14</v>
      </c>
      <c r="AO238" s="12">
        <v>2.0100000000000002</v>
      </c>
      <c r="AP238" s="12">
        <v>19.57</v>
      </c>
      <c r="AQ238" s="190">
        <f>AO238/AP238</f>
        <v>0.10270822687787431</v>
      </c>
    </row>
    <row r="239" spans="1:43" x14ac:dyDescent="0.35">
      <c r="A239" s="6" t="s">
        <v>40</v>
      </c>
      <c r="B239" s="12">
        <f>15.94+0.1</f>
        <v>16.04</v>
      </c>
      <c r="C239" s="12">
        <v>1.47</v>
      </c>
      <c r="D239" s="12">
        <v>0.05</v>
      </c>
      <c r="E239" s="12"/>
      <c r="F239" s="12"/>
      <c r="G239" s="12"/>
      <c r="H239" s="12"/>
      <c r="I239" s="12"/>
      <c r="J239" s="12"/>
      <c r="K239" s="12"/>
      <c r="L239" s="12"/>
      <c r="M239" s="12"/>
      <c r="N239" s="12"/>
      <c r="O239" s="12"/>
      <c r="P239" s="12"/>
      <c r="Q239" s="12"/>
      <c r="R239" s="12"/>
      <c r="S239" s="12"/>
      <c r="T239" s="12"/>
      <c r="U239" s="12"/>
      <c r="V239" s="12"/>
      <c r="W239" s="12">
        <v>0.67</v>
      </c>
      <c r="X239" s="12">
        <f>1.03+0.31</f>
        <v>1.34</v>
      </c>
      <c r="Y239" s="12"/>
      <c r="Z239" s="12">
        <f t="shared" si="235"/>
        <v>19.57</v>
      </c>
      <c r="AA239" s="24"/>
      <c r="AC239" s="12">
        <f t="shared" si="236"/>
        <v>17.559999999999999</v>
      </c>
      <c r="AD239" s="12">
        <f t="shared" si="237"/>
        <v>2.0100000000000002</v>
      </c>
      <c r="AE239" s="12">
        <f t="shared" si="238"/>
        <v>0</v>
      </c>
      <c r="AF239" s="12">
        <f t="shared" si="234"/>
        <v>19.57</v>
      </c>
      <c r="AG239" s="22">
        <f t="shared" ref="AG239:AG246" si="242">AD239/AF239</f>
        <v>0.10270822687787431</v>
      </c>
      <c r="AI239" s="6" t="s">
        <v>40</v>
      </c>
      <c r="AJ239" s="54">
        <v>2.0100000000000002</v>
      </c>
      <c r="AK239" s="12">
        <v>19.57</v>
      </c>
      <c r="AL239" s="382">
        <f>AJ239/AK239</f>
        <v>0.10270822687787431</v>
      </c>
      <c r="AN239" s="11" t="s">
        <v>17</v>
      </c>
      <c r="AO239" s="54">
        <v>0.56999999999999995</v>
      </c>
      <c r="AP239" s="54">
        <v>0.56999999999999995</v>
      </c>
      <c r="AQ239" s="190">
        <f t="shared" ref="AQ239:AQ240" si="243">AO239/AP239</f>
        <v>1</v>
      </c>
    </row>
    <row r="240" spans="1:43" x14ac:dyDescent="0.35">
      <c r="A240" s="11" t="s">
        <v>17</v>
      </c>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v>0.56999999999999995</v>
      </c>
      <c r="X240" s="119"/>
      <c r="Y240" s="119"/>
      <c r="Z240" s="119">
        <f>SUM(B240:Y240)</f>
        <v>0.56999999999999995</v>
      </c>
      <c r="AA240" s="143">
        <f>Z240/$Z$246</f>
        <v>4.1834862385321091E-3</v>
      </c>
      <c r="AC240" s="119">
        <f>SUM(B240:U240)</f>
        <v>0</v>
      </c>
      <c r="AD240" s="119">
        <f>SUM(V240:X240)</f>
        <v>0.56999999999999995</v>
      </c>
      <c r="AE240" s="119">
        <f>Y240</f>
        <v>0</v>
      </c>
      <c r="AF240" s="119">
        <f t="shared" si="234"/>
        <v>0.56999999999999995</v>
      </c>
      <c r="AG240" s="143">
        <f t="shared" si="242"/>
        <v>1</v>
      </c>
      <c r="AI240" s="6" t="s">
        <v>56</v>
      </c>
      <c r="AJ240" s="54">
        <v>0.56999999999999995</v>
      </c>
      <c r="AK240" s="12">
        <v>0.56999999999999995</v>
      </c>
      <c r="AL240" s="382">
        <f t="shared" ref="AL240:AL242" si="244">AJ240/AK240</f>
        <v>1</v>
      </c>
      <c r="AN240" s="11" t="s">
        <v>13</v>
      </c>
      <c r="AO240" s="54">
        <v>0.26</v>
      </c>
      <c r="AP240" s="54">
        <v>13.1</v>
      </c>
      <c r="AQ240" s="190">
        <f t="shared" si="243"/>
        <v>1.984732824427481E-2</v>
      </c>
    </row>
    <row r="241" spans="1:38" x14ac:dyDescent="0.35">
      <c r="A241" s="6" t="s">
        <v>56</v>
      </c>
      <c r="B241" s="12"/>
      <c r="C241" s="12"/>
      <c r="D241" s="12"/>
      <c r="E241" s="12"/>
      <c r="F241" s="12"/>
      <c r="G241" s="12"/>
      <c r="H241" s="12"/>
      <c r="I241" s="12"/>
      <c r="J241" s="12"/>
      <c r="K241" s="12"/>
      <c r="L241" s="12"/>
      <c r="M241" s="12"/>
      <c r="N241" s="12"/>
      <c r="O241" s="12"/>
      <c r="P241" s="12"/>
      <c r="Q241" s="12"/>
      <c r="R241" s="12"/>
      <c r="S241" s="12"/>
      <c r="T241" s="12"/>
      <c r="U241" s="12"/>
      <c r="V241" s="12"/>
      <c r="W241" s="12">
        <v>0.56999999999999995</v>
      </c>
      <c r="X241" s="12"/>
      <c r="Y241" s="12"/>
      <c r="Z241" s="12">
        <f t="shared" si="235"/>
        <v>0.56999999999999995</v>
      </c>
      <c r="AA241" s="24"/>
      <c r="AC241" s="12">
        <f t="shared" si="236"/>
        <v>0</v>
      </c>
      <c r="AD241" s="12">
        <f t="shared" si="237"/>
        <v>0.56999999999999995</v>
      </c>
      <c r="AE241" s="12">
        <f t="shared" si="238"/>
        <v>0</v>
      </c>
      <c r="AF241" s="12">
        <f t="shared" si="234"/>
        <v>0.56999999999999995</v>
      </c>
      <c r="AG241" s="22">
        <f t="shared" si="242"/>
        <v>1</v>
      </c>
      <c r="AI241" s="6" t="s">
        <v>36</v>
      </c>
      <c r="AJ241" s="54">
        <v>0.26</v>
      </c>
      <c r="AK241" s="12">
        <v>5.43</v>
      </c>
      <c r="AL241" s="382">
        <f t="shared" si="244"/>
        <v>4.7882136279926338E-2</v>
      </c>
    </row>
    <row r="242" spans="1:38" x14ac:dyDescent="0.35">
      <c r="A242" s="11" t="s">
        <v>18</v>
      </c>
      <c r="B242" s="119"/>
      <c r="C242" s="119"/>
      <c r="D242" s="119"/>
      <c r="E242" s="119"/>
      <c r="F242" s="119"/>
      <c r="G242" s="119"/>
      <c r="H242" s="119"/>
      <c r="I242" s="119"/>
      <c r="J242" s="119"/>
      <c r="K242" s="119"/>
      <c r="L242" s="119"/>
      <c r="M242" s="119"/>
      <c r="N242" s="119"/>
      <c r="O242" s="119"/>
      <c r="P242" s="119"/>
      <c r="Q242" s="119"/>
      <c r="R242" s="119"/>
      <c r="S242" s="119"/>
      <c r="T242" s="119"/>
      <c r="U242" s="119"/>
      <c r="V242" s="119">
        <v>0.02</v>
      </c>
      <c r="W242" s="119"/>
      <c r="X242" s="119"/>
      <c r="Y242" s="119"/>
      <c r="Z242" s="119">
        <f>SUM(B242:Y242)</f>
        <v>0.02</v>
      </c>
      <c r="AA242" s="143">
        <f>Z242/$Z$246</f>
        <v>1.4678899082568803E-4</v>
      </c>
      <c r="AC242" s="119">
        <f>SUM(B242:U242)</f>
        <v>0</v>
      </c>
      <c r="AD242" s="119">
        <f>SUM(V242:X242)</f>
        <v>0.02</v>
      </c>
      <c r="AE242" s="119">
        <f>Y242</f>
        <v>0</v>
      </c>
      <c r="AF242" s="119">
        <f t="shared" si="234"/>
        <v>0.02</v>
      </c>
      <c r="AG242" s="143">
        <f t="shared" si="242"/>
        <v>1</v>
      </c>
      <c r="AI242" s="6" t="s">
        <v>18</v>
      </c>
      <c r="AJ242" s="54">
        <v>0.02</v>
      </c>
      <c r="AK242" s="12">
        <v>0.02</v>
      </c>
      <c r="AL242" s="382">
        <f t="shared" si="244"/>
        <v>1</v>
      </c>
    </row>
    <row r="243" spans="1:38" x14ac:dyDescent="0.35">
      <c r="A243" s="6" t="s">
        <v>18</v>
      </c>
      <c r="B243" s="12"/>
      <c r="C243" s="12"/>
      <c r="D243" s="12"/>
      <c r="E243" s="12"/>
      <c r="F243" s="12"/>
      <c r="G243" s="12"/>
      <c r="H243" s="12"/>
      <c r="I243" s="12"/>
      <c r="J243" s="12"/>
      <c r="K243" s="12"/>
      <c r="L243" s="12"/>
      <c r="M243" s="12"/>
      <c r="N243" s="12"/>
      <c r="O243" s="12"/>
      <c r="P243" s="12"/>
      <c r="Q243" s="12"/>
      <c r="R243" s="12"/>
      <c r="S243" s="12"/>
      <c r="T243" s="12"/>
      <c r="U243" s="12"/>
      <c r="V243" s="12">
        <v>0.02</v>
      </c>
      <c r="W243" s="12"/>
      <c r="X243" s="12"/>
      <c r="Y243" s="12"/>
      <c r="Z243" s="12">
        <f t="shared" si="235"/>
        <v>0.02</v>
      </c>
      <c r="AA243" s="24"/>
      <c r="AC243" s="12">
        <f t="shared" si="236"/>
        <v>0</v>
      </c>
      <c r="AD243" s="12">
        <f t="shared" si="237"/>
        <v>0.02</v>
      </c>
      <c r="AE243" s="12">
        <f t="shared" si="238"/>
        <v>0</v>
      </c>
      <c r="AF243" s="12">
        <f t="shared" si="234"/>
        <v>0.02</v>
      </c>
      <c r="AG243" s="22">
        <f t="shared" si="242"/>
        <v>1</v>
      </c>
    </row>
    <row r="244" spans="1:38" x14ac:dyDescent="0.35">
      <c r="A244" s="11" t="s">
        <v>22</v>
      </c>
      <c r="B244" s="119">
        <v>3.86</v>
      </c>
      <c r="C244" s="119"/>
      <c r="D244" s="119"/>
      <c r="E244" s="119">
        <v>0.2</v>
      </c>
      <c r="F244" s="119"/>
      <c r="G244" s="119">
        <v>0.12</v>
      </c>
      <c r="H244" s="119"/>
      <c r="I244" s="119"/>
      <c r="J244" s="119"/>
      <c r="K244" s="119"/>
      <c r="L244" s="119"/>
      <c r="M244" s="119"/>
      <c r="N244" s="119"/>
      <c r="O244" s="119"/>
      <c r="P244" s="119"/>
      <c r="Q244" s="119"/>
      <c r="R244" s="119"/>
      <c r="S244" s="119"/>
      <c r="T244" s="119"/>
      <c r="U244" s="119"/>
      <c r="V244" s="119"/>
      <c r="W244" s="119"/>
      <c r="X244" s="119"/>
      <c r="Y244" s="119">
        <v>0.05</v>
      </c>
      <c r="Z244" s="119">
        <f>SUM(B244:Y244)</f>
        <v>4.2299999999999995</v>
      </c>
      <c r="AA244" s="143">
        <f>Z244/$Z$246</f>
        <v>3.1045871559633016E-2</v>
      </c>
      <c r="AC244" s="119">
        <f>SUM(B244:U244)</f>
        <v>4.18</v>
      </c>
      <c r="AD244" s="119">
        <f>SUM(V244:X244)</f>
        <v>0</v>
      </c>
      <c r="AE244" s="119">
        <f>Y244</f>
        <v>0.05</v>
      </c>
      <c r="AF244" s="119">
        <f t="shared" si="234"/>
        <v>4.2299999999999995</v>
      </c>
      <c r="AG244" s="143">
        <f t="shared" si="242"/>
        <v>0</v>
      </c>
    </row>
    <row r="245" spans="1:38" x14ac:dyDescent="0.35">
      <c r="A245" s="6" t="s">
        <v>22</v>
      </c>
      <c r="B245" s="12">
        <v>3.86</v>
      </c>
      <c r="C245" s="12"/>
      <c r="D245" s="12"/>
      <c r="E245" s="12">
        <v>0.2</v>
      </c>
      <c r="F245" s="12"/>
      <c r="G245" s="12">
        <v>0.12</v>
      </c>
      <c r="H245" s="12"/>
      <c r="I245" s="12"/>
      <c r="J245" s="12"/>
      <c r="K245" s="12"/>
      <c r="L245" s="12"/>
      <c r="M245" s="12"/>
      <c r="N245" s="12"/>
      <c r="O245" s="12"/>
      <c r="P245" s="12"/>
      <c r="Q245" s="12"/>
      <c r="R245" s="12"/>
      <c r="S245" s="12"/>
      <c r="T245" s="12"/>
      <c r="U245" s="12"/>
      <c r="V245" s="12"/>
      <c r="W245" s="12"/>
      <c r="X245" s="12"/>
      <c r="Y245" s="12">
        <v>0.05</v>
      </c>
      <c r="Z245" s="12">
        <f t="shared" si="235"/>
        <v>4.2299999999999995</v>
      </c>
      <c r="AA245" s="24"/>
      <c r="AC245" s="12">
        <f t="shared" si="236"/>
        <v>4.18</v>
      </c>
      <c r="AD245" s="12">
        <f t="shared" si="237"/>
        <v>0</v>
      </c>
      <c r="AE245" s="12">
        <f t="shared" si="238"/>
        <v>0.05</v>
      </c>
      <c r="AF245" s="12">
        <f t="shared" si="234"/>
        <v>4.2299999999999995</v>
      </c>
      <c r="AG245" s="22">
        <f t="shared" si="242"/>
        <v>0</v>
      </c>
    </row>
    <row r="246" spans="1:38" ht="15.5" x14ac:dyDescent="0.35">
      <c r="A246" s="43" t="s">
        <v>25</v>
      </c>
      <c r="B246" s="142">
        <f>SUM(B244,B242,B240,B236,B232,B225)</f>
        <v>34.86</v>
      </c>
      <c r="C246" s="142">
        <f t="shared" ref="C246:Y246" si="245">SUM(C244,C242,C240,C236,C232,C225)</f>
        <v>94.99</v>
      </c>
      <c r="D246" s="142">
        <f t="shared" si="245"/>
        <v>0.05</v>
      </c>
      <c r="E246" s="142">
        <f t="shared" si="245"/>
        <v>1.63</v>
      </c>
      <c r="F246" s="142">
        <f t="shared" si="245"/>
        <v>0</v>
      </c>
      <c r="G246" s="142">
        <f t="shared" si="245"/>
        <v>0.12</v>
      </c>
      <c r="H246" s="142">
        <f t="shared" si="245"/>
        <v>0</v>
      </c>
      <c r="I246" s="142">
        <f t="shared" si="245"/>
        <v>0</v>
      </c>
      <c r="J246" s="142">
        <f t="shared" si="245"/>
        <v>0</v>
      </c>
      <c r="K246" s="142">
        <f t="shared" si="245"/>
        <v>0</v>
      </c>
      <c r="L246" s="142">
        <f t="shared" si="245"/>
        <v>0</v>
      </c>
      <c r="M246" s="142">
        <f t="shared" si="245"/>
        <v>0.14000000000000001</v>
      </c>
      <c r="N246" s="142">
        <f t="shared" si="245"/>
        <v>0</v>
      </c>
      <c r="O246" s="142">
        <f t="shared" si="245"/>
        <v>0</v>
      </c>
      <c r="P246" s="142">
        <f t="shared" si="245"/>
        <v>0</v>
      </c>
      <c r="Q246" s="142">
        <f t="shared" si="245"/>
        <v>0</v>
      </c>
      <c r="R246" s="142">
        <f t="shared" si="245"/>
        <v>0.34</v>
      </c>
      <c r="S246" s="142">
        <f t="shared" si="245"/>
        <v>0.9</v>
      </c>
      <c r="T246" s="142">
        <f t="shared" si="245"/>
        <v>0</v>
      </c>
      <c r="U246" s="142">
        <f t="shared" si="245"/>
        <v>0</v>
      </c>
      <c r="V246" s="142">
        <f t="shared" si="245"/>
        <v>0.02</v>
      </c>
      <c r="W246" s="142">
        <f t="shared" si="245"/>
        <v>1.5</v>
      </c>
      <c r="X246" s="142">
        <f t="shared" si="245"/>
        <v>1.34</v>
      </c>
      <c r="Y246" s="142">
        <f t="shared" si="245"/>
        <v>0.36</v>
      </c>
      <c r="Z246" s="142">
        <f>SUM(B246:Y246)</f>
        <v>136.25000000000003</v>
      </c>
      <c r="AA246" s="188">
        <f>Z246/$Z$246</f>
        <v>1</v>
      </c>
      <c r="AC246" s="142">
        <f>SUM(B246:U246)</f>
        <v>133.03</v>
      </c>
      <c r="AD246" s="142">
        <f>SUM(V246:X246)</f>
        <v>2.8600000000000003</v>
      </c>
      <c r="AE246" s="142">
        <f t="shared" si="238"/>
        <v>0.36</v>
      </c>
      <c r="AF246" s="142">
        <f t="shared" si="234"/>
        <v>136.25000000000003</v>
      </c>
      <c r="AG246" s="197">
        <f t="shared" si="242"/>
        <v>2.0990825688073391E-2</v>
      </c>
    </row>
    <row r="247" spans="1:38" x14ac:dyDescent="0.35">
      <c r="A247" s="378" t="s">
        <v>253</v>
      </c>
      <c r="B247" s="379"/>
      <c r="C247" s="379">
        <f>C246+B246</f>
        <v>129.85</v>
      </c>
      <c r="D247" s="379">
        <f>D246+C247</f>
        <v>129.9</v>
      </c>
      <c r="E247" s="379">
        <f>E246+D247</f>
        <v>131.53</v>
      </c>
      <c r="F247" s="379">
        <f t="shared" ref="F247:X247" si="246">F246+E247</f>
        <v>131.53</v>
      </c>
      <c r="G247" s="379">
        <f t="shared" si="246"/>
        <v>131.65</v>
      </c>
      <c r="H247" s="379">
        <f t="shared" si="246"/>
        <v>131.65</v>
      </c>
      <c r="I247" s="379">
        <f t="shared" si="246"/>
        <v>131.65</v>
      </c>
      <c r="J247" s="379">
        <f t="shared" si="246"/>
        <v>131.65</v>
      </c>
      <c r="K247" s="379">
        <f t="shared" si="246"/>
        <v>131.65</v>
      </c>
      <c r="L247" s="379">
        <f t="shared" si="246"/>
        <v>131.65</v>
      </c>
      <c r="M247" s="379">
        <f t="shared" si="246"/>
        <v>131.79</v>
      </c>
      <c r="N247" s="379">
        <f t="shared" si="246"/>
        <v>131.79</v>
      </c>
      <c r="O247" s="379">
        <f t="shared" si="246"/>
        <v>131.79</v>
      </c>
      <c r="P247" s="379">
        <f t="shared" si="246"/>
        <v>131.79</v>
      </c>
      <c r="Q247" s="379">
        <f t="shared" si="246"/>
        <v>131.79</v>
      </c>
      <c r="R247" s="379">
        <f t="shared" si="246"/>
        <v>132.13</v>
      </c>
      <c r="S247" s="379">
        <f t="shared" si="246"/>
        <v>133.03</v>
      </c>
      <c r="T247" s="379">
        <f t="shared" si="246"/>
        <v>133.03</v>
      </c>
      <c r="U247" s="379">
        <f t="shared" si="246"/>
        <v>133.03</v>
      </c>
      <c r="V247" s="379">
        <f t="shared" si="246"/>
        <v>133.05000000000001</v>
      </c>
      <c r="W247" s="379">
        <f t="shared" si="246"/>
        <v>134.55000000000001</v>
      </c>
      <c r="X247" s="379">
        <f t="shared" si="246"/>
        <v>135.89000000000001</v>
      </c>
    </row>
    <row r="248" spans="1:38" x14ac:dyDescent="0.35">
      <c r="A248" s="380" t="s">
        <v>254</v>
      </c>
      <c r="B248" s="379"/>
      <c r="C248" s="381"/>
      <c r="D248" s="381">
        <f>D247/C247-1</f>
        <v>3.8505968425117665E-4</v>
      </c>
      <c r="E248" s="381">
        <f t="shared" ref="E248:X248" si="247">E247/D247-1</f>
        <v>1.2548113933795291E-2</v>
      </c>
      <c r="F248" s="381">
        <f t="shared" si="247"/>
        <v>0</v>
      </c>
      <c r="G248" s="381">
        <f t="shared" si="247"/>
        <v>9.1233939025325839E-4</v>
      </c>
      <c r="H248" s="381">
        <f t="shared" si="247"/>
        <v>0</v>
      </c>
      <c r="I248" s="381">
        <f t="shared" si="247"/>
        <v>0</v>
      </c>
      <c r="J248" s="381">
        <f t="shared" si="247"/>
        <v>0</v>
      </c>
      <c r="K248" s="381">
        <f t="shared" si="247"/>
        <v>0</v>
      </c>
      <c r="L248" s="381">
        <f t="shared" si="247"/>
        <v>0</v>
      </c>
      <c r="M248" s="381">
        <f t="shared" si="247"/>
        <v>1.0634257500947708E-3</v>
      </c>
      <c r="N248" s="381">
        <f t="shared" si="247"/>
        <v>0</v>
      </c>
      <c r="O248" s="381">
        <f t="shared" si="247"/>
        <v>0</v>
      </c>
      <c r="P248" s="381">
        <f t="shared" si="247"/>
        <v>0</v>
      </c>
      <c r="Q248" s="381">
        <f t="shared" si="247"/>
        <v>0</v>
      </c>
      <c r="R248" s="381">
        <f t="shared" si="247"/>
        <v>2.5798619015100499E-3</v>
      </c>
      <c r="S248" s="381">
        <f t="shared" si="247"/>
        <v>6.8114735487778688E-3</v>
      </c>
      <c r="T248" s="381">
        <f t="shared" si="247"/>
        <v>0</v>
      </c>
      <c r="U248" s="381">
        <f t="shared" si="247"/>
        <v>0</v>
      </c>
      <c r="V248" s="381">
        <f t="shared" si="247"/>
        <v>1.5034202811392561E-4</v>
      </c>
      <c r="W248" s="381">
        <f t="shared" si="247"/>
        <v>1.1273957158962844E-2</v>
      </c>
      <c r="X248" s="381">
        <f t="shared" si="247"/>
        <v>9.9591230026012667E-3</v>
      </c>
    </row>
    <row r="250" spans="1:38" ht="15.5" x14ac:dyDescent="0.35">
      <c r="A250" s="146" t="s">
        <v>99</v>
      </c>
      <c r="B250" s="147" t="s">
        <v>100</v>
      </c>
      <c r="C250" s="147">
        <v>2000</v>
      </c>
      <c r="D250" s="147">
        <v>2001</v>
      </c>
      <c r="E250" s="147">
        <v>2002</v>
      </c>
      <c r="F250" s="147">
        <v>2003</v>
      </c>
      <c r="G250" s="147">
        <v>2004</v>
      </c>
      <c r="H250" s="147">
        <v>2005</v>
      </c>
      <c r="I250" s="147">
        <v>2006</v>
      </c>
      <c r="J250" s="147">
        <v>2007</v>
      </c>
      <c r="K250" s="147">
        <v>2008</v>
      </c>
      <c r="L250" s="147">
        <v>2009</v>
      </c>
      <c r="M250" s="147">
        <v>2010</v>
      </c>
      <c r="N250" s="147">
        <v>2011</v>
      </c>
      <c r="O250" s="147">
        <v>2012</v>
      </c>
      <c r="P250" s="147">
        <v>2013</v>
      </c>
      <c r="Q250" s="147">
        <v>2014</v>
      </c>
      <c r="R250" s="147">
        <v>2015</v>
      </c>
      <c r="S250" s="147">
        <v>2016</v>
      </c>
      <c r="T250" s="147">
        <v>2017</v>
      </c>
      <c r="U250" s="147">
        <v>2018</v>
      </c>
      <c r="V250" s="147">
        <v>2019</v>
      </c>
      <c r="W250" s="147">
        <v>2020</v>
      </c>
      <c r="X250" s="147">
        <v>2021</v>
      </c>
      <c r="Y250" s="183" t="s">
        <v>90</v>
      </c>
    </row>
    <row r="251" spans="1:38" x14ac:dyDescent="0.35">
      <c r="A251" s="11" t="s">
        <v>5</v>
      </c>
      <c r="B251" s="22">
        <f t="shared" ref="B251:Y251" si="248">B225/$Z$225</f>
        <v>3.4629404617253945E-2</v>
      </c>
      <c r="C251" s="22">
        <f t="shared" si="248"/>
        <v>0.94552450384771158</v>
      </c>
      <c r="D251" s="22">
        <f t="shared" si="248"/>
        <v>0</v>
      </c>
      <c r="E251" s="22">
        <f t="shared" si="248"/>
        <v>1.4479546375050627E-2</v>
      </c>
      <c r="F251" s="22">
        <f t="shared" si="248"/>
        <v>0</v>
      </c>
      <c r="G251" s="22">
        <f t="shared" si="248"/>
        <v>0</v>
      </c>
      <c r="H251" s="22">
        <f t="shared" si="248"/>
        <v>0</v>
      </c>
      <c r="I251" s="22">
        <f t="shared" si="248"/>
        <v>0</v>
      </c>
      <c r="J251" s="22">
        <f t="shared" si="248"/>
        <v>0</v>
      </c>
      <c r="K251" s="22">
        <f t="shared" si="248"/>
        <v>0</v>
      </c>
      <c r="L251" s="22">
        <f t="shared" si="248"/>
        <v>0</v>
      </c>
      <c r="M251" s="22">
        <f t="shared" si="248"/>
        <v>1.4175779667881733E-3</v>
      </c>
      <c r="N251" s="22">
        <f t="shared" si="248"/>
        <v>0</v>
      </c>
      <c r="O251" s="22">
        <f t="shared" si="248"/>
        <v>0</v>
      </c>
      <c r="P251" s="22">
        <f t="shared" si="248"/>
        <v>0</v>
      </c>
      <c r="Q251" s="22">
        <f t="shared" si="248"/>
        <v>0</v>
      </c>
      <c r="R251" s="22">
        <f t="shared" si="248"/>
        <v>3.4426893479141355E-3</v>
      </c>
      <c r="S251" s="22">
        <f t="shared" si="248"/>
        <v>0</v>
      </c>
      <c r="T251" s="22">
        <f t="shared" si="248"/>
        <v>0</v>
      </c>
      <c r="U251" s="22">
        <f t="shared" si="248"/>
        <v>0</v>
      </c>
      <c r="V251" s="22">
        <f t="shared" si="248"/>
        <v>0</v>
      </c>
      <c r="W251" s="22">
        <f t="shared" si="248"/>
        <v>0</v>
      </c>
      <c r="X251" s="22">
        <f t="shared" si="248"/>
        <v>0</v>
      </c>
      <c r="Y251" s="384">
        <f t="shared" si="248"/>
        <v>5.0627784528149049E-4</v>
      </c>
    </row>
    <row r="252" spans="1:38" x14ac:dyDescent="0.35">
      <c r="A252" s="11" t="s">
        <v>13</v>
      </c>
      <c r="B252" s="22">
        <f t="shared" ref="B252:Y252" si="249">B232/$Z$232</f>
        <v>0.88091603053435108</v>
      </c>
      <c r="C252" s="22">
        <f t="shared" si="249"/>
        <v>1.0687022900763361E-2</v>
      </c>
      <c r="D252" s="22">
        <f t="shared" si="249"/>
        <v>0</v>
      </c>
      <c r="E252" s="22">
        <f t="shared" si="249"/>
        <v>0</v>
      </c>
      <c r="F252" s="22">
        <f t="shared" si="249"/>
        <v>0</v>
      </c>
      <c r="G252" s="22">
        <f t="shared" si="249"/>
        <v>0</v>
      </c>
      <c r="H252" s="22">
        <f t="shared" si="249"/>
        <v>0</v>
      </c>
      <c r="I252" s="22">
        <f t="shared" si="249"/>
        <v>0</v>
      </c>
      <c r="J252" s="22">
        <f t="shared" si="249"/>
        <v>0</v>
      </c>
      <c r="K252" s="22">
        <f t="shared" si="249"/>
        <v>0</v>
      </c>
      <c r="L252" s="22">
        <f t="shared" si="249"/>
        <v>0</v>
      </c>
      <c r="M252" s="22">
        <f t="shared" si="249"/>
        <v>0</v>
      </c>
      <c r="N252" s="22">
        <f t="shared" si="249"/>
        <v>0</v>
      </c>
      <c r="O252" s="22">
        <f t="shared" si="249"/>
        <v>0</v>
      </c>
      <c r="P252" s="22">
        <f t="shared" si="249"/>
        <v>0</v>
      </c>
      <c r="Q252" s="22">
        <f t="shared" si="249"/>
        <v>0</v>
      </c>
      <c r="R252" s="22">
        <f t="shared" si="249"/>
        <v>0</v>
      </c>
      <c r="S252" s="22">
        <f t="shared" si="249"/>
        <v>6.8702290076335881E-2</v>
      </c>
      <c r="T252" s="22">
        <f t="shared" si="249"/>
        <v>0</v>
      </c>
      <c r="U252" s="22">
        <f t="shared" si="249"/>
        <v>0</v>
      </c>
      <c r="V252" s="22">
        <f t="shared" si="249"/>
        <v>0</v>
      </c>
      <c r="W252" s="22">
        <f t="shared" si="249"/>
        <v>1.984732824427481E-2</v>
      </c>
      <c r="X252" s="22">
        <f t="shared" si="249"/>
        <v>0</v>
      </c>
      <c r="Y252" s="384">
        <f t="shared" si="249"/>
        <v>1.984732824427481E-2</v>
      </c>
    </row>
    <row r="253" spans="1:38" x14ac:dyDescent="0.35">
      <c r="A253" s="11" t="s">
        <v>14</v>
      </c>
      <c r="B253" s="22">
        <f t="shared" ref="B253:Y253" si="250">B236/$Z$236</f>
        <v>0.81962187020950428</v>
      </c>
      <c r="C253" s="22">
        <f t="shared" si="250"/>
        <v>7.5114971895758817E-2</v>
      </c>
      <c r="D253" s="22">
        <f t="shared" si="250"/>
        <v>2.5549310168625446E-3</v>
      </c>
      <c r="E253" s="22">
        <f t="shared" si="250"/>
        <v>0</v>
      </c>
      <c r="F253" s="22">
        <f t="shared" si="250"/>
        <v>0</v>
      </c>
      <c r="G253" s="22">
        <f t="shared" si="250"/>
        <v>0</v>
      </c>
      <c r="H253" s="22">
        <f t="shared" si="250"/>
        <v>0</v>
      </c>
      <c r="I253" s="22">
        <f t="shared" si="250"/>
        <v>0</v>
      </c>
      <c r="J253" s="22">
        <f t="shared" si="250"/>
        <v>0</v>
      </c>
      <c r="K253" s="22">
        <f t="shared" si="250"/>
        <v>0</v>
      </c>
      <c r="L253" s="22">
        <f t="shared" si="250"/>
        <v>0</v>
      </c>
      <c r="M253" s="22">
        <f t="shared" si="250"/>
        <v>0</v>
      </c>
      <c r="N253" s="22">
        <f t="shared" si="250"/>
        <v>0</v>
      </c>
      <c r="O253" s="22">
        <f t="shared" si="250"/>
        <v>0</v>
      </c>
      <c r="P253" s="22">
        <f t="shared" si="250"/>
        <v>0</v>
      </c>
      <c r="Q253" s="22">
        <f t="shared" si="250"/>
        <v>0</v>
      </c>
      <c r="R253" s="22">
        <f t="shared" si="250"/>
        <v>0</v>
      </c>
      <c r="S253" s="22">
        <f t="shared" si="250"/>
        <v>0</v>
      </c>
      <c r="T253" s="22">
        <f t="shared" si="250"/>
        <v>0</v>
      </c>
      <c r="U253" s="22">
        <f t="shared" si="250"/>
        <v>0</v>
      </c>
      <c r="V253" s="22">
        <f t="shared" si="250"/>
        <v>0</v>
      </c>
      <c r="W253" s="22">
        <f t="shared" si="250"/>
        <v>3.4236075625958103E-2</v>
      </c>
      <c r="X253" s="22">
        <f t="shared" si="250"/>
        <v>6.8472151251916205E-2</v>
      </c>
      <c r="Y253" s="385">
        <f t="shared" si="250"/>
        <v>0</v>
      </c>
    </row>
    <row r="254" spans="1:38" x14ac:dyDescent="0.35">
      <c r="A254" s="11" t="s">
        <v>17</v>
      </c>
      <c r="B254" s="22">
        <f t="shared" ref="B254:Y254" si="251">B240/$Z$240</f>
        <v>0</v>
      </c>
      <c r="C254" s="22">
        <f t="shared" si="251"/>
        <v>0</v>
      </c>
      <c r="D254" s="22">
        <f t="shared" si="251"/>
        <v>0</v>
      </c>
      <c r="E254" s="22">
        <f t="shared" si="251"/>
        <v>0</v>
      </c>
      <c r="F254" s="22">
        <f t="shared" si="251"/>
        <v>0</v>
      </c>
      <c r="G254" s="22">
        <f t="shared" si="251"/>
        <v>0</v>
      </c>
      <c r="H254" s="22">
        <f t="shared" si="251"/>
        <v>0</v>
      </c>
      <c r="I254" s="22">
        <f t="shared" si="251"/>
        <v>0</v>
      </c>
      <c r="J254" s="22">
        <f t="shared" si="251"/>
        <v>0</v>
      </c>
      <c r="K254" s="22">
        <f t="shared" si="251"/>
        <v>0</v>
      </c>
      <c r="L254" s="22">
        <f t="shared" si="251"/>
        <v>0</v>
      </c>
      <c r="M254" s="22">
        <f t="shared" si="251"/>
        <v>0</v>
      </c>
      <c r="N254" s="22">
        <f t="shared" si="251"/>
        <v>0</v>
      </c>
      <c r="O254" s="22">
        <f t="shared" si="251"/>
        <v>0</v>
      </c>
      <c r="P254" s="22">
        <f t="shared" si="251"/>
        <v>0</v>
      </c>
      <c r="Q254" s="22">
        <f t="shared" si="251"/>
        <v>0</v>
      </c>
      <c r="R254" s="22">
        <f t="shared" si="251"/>
        <v>0</v>
      </c>
      <c r="S254" s="22">
        <f t="shared" si="251"/>
        <v>0</v>
      </c>
      <c r="T254" s="22">
        <f t="shared" si="251"/>
        <v>0</v>
      </c>
      <c r="U254" s="22">
        <f t="shared" si="251"/>
        <v>0</v>
      </c>
      <c r="V254" s="22">
        <f t="shared" si="251"/>
        <v>0</v>
      </c>
      <c r="W254" s="22">
        <f t="shared" si="251"/>
        <v>1</v>
      </c>
      <c r="X254" s="22">
        <f t="shared" si="251"/>
        <v>0</v>
      </c>
      <c r="Y254" s="385">
        <f t="shared" si="251"/>
        <v>0</v>
      </c>
    </row>
    <row r="255" spans="1:38" x14ac:dyDescent="0.35">
      <c r="A255" s="11" t="s">
        <v>18</v>
      </c>
      <c r="B255" s="22">
        <f t="shared" ref="B255:Y255" si="252">B242/$Z$242</f>
        <v>0</v>
      </c>
      <c r="C255" s="22">
        <f t="shared" si="252"/>
        <v>0</v>
      </c>
      <c r="D255" s="22">
        <f t="shared" si="252"/>
        <v>0</v>
      </c>
      <c r="E255" s="22">
        <f t="shared" si="252"/>
        <v>0</v>
      </c>
      <c r="F255" s="22">
        <f t="shared" si="252"/>
        <v>0</v>
      </c>
      <c r="G255" s="22">
        <f t="shared" si="252"/>
        <v>0</v>
      </c>
      <c r="H255" s="22">
        <f t="shared" si="252"/>
        <v>0</v>
      </c>
      <c r="I255" s="22">
        <f t="shared" si="252"/>
        <v>0</v>
      </c>
      <c r="J255" s="22">
        <f t="shared" si="252"/>
        <v>0</v>
      </c>
      <c r="K255" s="22">
        <f t="shared" si="252"/>
        <v>0</v>
      </c>
      <c r="L255" s="22">
        <f t="shared" si="252"/>
        <v>0</v>
      </c>
      <c r="M255" s="22">
        <f t="shared" si="252"/>
        <v>0</v>
      </c>
      <c r="N255" s="22">
        <f t="shared" si="252"/>
        <v>0</v>
      </c>
      <c r="O255" s="22">
        <f t="shared" si="252"/>
        <v>0</v>
      </c>
      <c r="P255" s="22">
        <f t="shared" si="252"/>
        <v>0</v>
      </c>
      <c r="Q255" s="22">
        <f t="shared" si="252"/>
        <v>0</v>
      </c>
      <c r="R255" s="22">
        <f t="shared" si="252"/>
        <v>0</v>
      </c>
      <c r="S255" s="22">
        <f t="shared" si="252"/>
        <v>0</v>
      </c>
      <c r="T255" s="22">
        <f t="shared" si="252"/>
        <v>0</v>
      </c>
      <c r="U255" s="22">
        <f t="shared" si="252"/>
        <v>0</v>
      </c>
      <c r="V255" s="22">
        <f t="shared" si="252"/>
        <v>1</v>
      </c>
      <c r="W255" s="22">
        <f t="shared" si="252"/>
        <v>0</v>
      </c>
      <c r="X255" s="22">
        <f t="shared" si="252"/>
        <v>0</v>
      </c>
      <c r="Y255" s="385">
        <f t="shared" si="252"/>
        <v>0</v>
      </c>
    </row>
    <row r="256" spans="1:38" x14ac:dyDescent="0.35">
      <c r="A256" s="11" t="s">
        <v>22</v>
      </c>
      <c r="B256" s="22">
        <f t="shared" ref="B256:Y256" si="253">B244/$Z$244</f>
        <v>0.91252955082742326</v>
      </c>
      <c r="C256" s="22">
        <f t="shared" si="253"/>
        <v>0</v>
      </c>
      <c r="D256" s="22">
        <f t="shared" si="253"/>
        <v>0</v>
      </c>
      <c r="E256" s="22">
        <f t="shared" si="253"/>
        <v>4.7281323877068564E-2</v>
      </c>
      <c r="F256" s="22">
        <f t="shared" si="253"/>
        <v>0</v>
      </c>
      <c r="G256" s="22">
        <f t="shared" si="253"/>
        <v>2.8368794326241138E-2</v>
      </c>
      <c r="H256" s="22">
        <f t="shared" si="253"/>
        <v>0</v>
      </c>
      <c r="I256" s="22">
        <f t="shared" si="253"/>
        <v>0</v>
      </c>
      <c r="J256" s="22">
        <f t="shared" si="253"/>
        <v>0</v>
      </c>
      <c r="K256" s="22">
        <f t="shared" si="253"/>
        <v>0</v>
      </c>
      <c r="L256" s="22">
        <f t="shared" si="253"/>
        <v>0</v>
      </c>
      <c r="M256" s="22">
        <f t="shared" si="253"/>
        <v>0</v>
      </c>
      <c r="N256" s="22">
        <f t="shared" si="253"/>
        <v>0</v>
      </c>
      <c r="O256" s="22">
        <f t="shared" si="253"/>
        <v>0</v>
      </c>
      <c r="P256" s="22">
        <f t="shared" si="253"/>
        <v>0</v>
      </c>
      <c r="Q256" s="22">
        <f t="shared" si="253"/>
        <v>0</v>
      </c>
      <c r="R256" s="22">
        <f t="shared" si="253"/>
        <v>0</v>
      </c>
      <c r="S256" s="22">
        <f t="shared" si="253"/>
        <v>0</v>
      </c>
      <c r="T256" s="22">
        <f t="shared" si="253"/>
        <v>0</v>
      </c>
      <c r="U256" s="22">
        <f t="shared" si="253"/>
        <v>0</v>
      </c>
      <c r="V256" s="22">
        <f t="shared" si="253"/>
        <v>0</v>
      </c>
      <c r="W256" s="22">
        <f t="shared" si="253"/>
        <v>0</v>
      </c>
      <c r="X256" s="22">
        <f t="shared" si="253"/>
        <v>0</v>
      </c>
      <c r="Y256" s="384">
        <f t="shared" si="253"/>
        <v>1.1820330969267141E-2</v>
      </c>
    </row>
    <row r="257" spans="1:25" x14ac:dyDescent="0.35">
      <c r="A257" s="11" t="s">
        <v>25</v>
      </c>
      <c r="B257" s="22">
        <f t="shared" ref="B257:Y257" si="254">B246/$Z$246</f>
        <v>0.25585321100917424</v>
      </c>
      <c r="C257" s="22">
        <f t="shared" si="254"/>
        <v>0.69717431192660528</v>
      </c>
      <c r="D257" s="22">
        <f t="shared" si="254"/>
        <v>3.6697247706422013E-4</v>
      </c>
      <c r="E257" s="22">
        <f t="shared" si="254"/>
        <v>1.1963302752293575E-2</v>
      </c>
      <c r="F257" s="22">
        <f t="shared" si="254"/>
        <v>0</v>
      </c>
      <c r="G257" s="22">
        <f t="shared" si="254"/>
        <v>8.8073394495412826E-4</v>
      </c>
      <c r="H257" s="22">
        <f t="shared" si="254"/>
        <v>0</v>
      </c>
      <c r="I257" s="22">
        <f t="shared" si="254"/>
        <v>0</v>
      </c>
      <c r="J257" s="22">
        <f t="shared" si="254"/>
        <v>0</v>
      </c>
      <c r="K257" s="22">
        <f t="shared" si="254"/>
        <v>0</v>
      </c>
      <c r="L257" s="22">
        <f t="shared" si="254"/>
        <v>0</v>
      </c>
      <c r="M257" s="22">
        <f t="shared" si="254"/>
        <v>1.0275229357798164E-3</v>
      </c>
      <c r="N257" s="22">
        <f t="shared" si="254"/>
        <v>0</v>
      </c>
      <c r="O257" s="22">
        <f t="shared" si="254"/>
        <v>0</v>
      </c>
      <c r="P257" s="22">
        <f t="shared" si="254"/>
        <v>0</v>
      </c>
      <c r="Q257" s="22">
        <f t="shared" si="254"/>
        <v>0</v>
      </c>
      <c r="R257" s="22">
        <f t="shared" si="254"/>
        <v>2.4954128440366971E-3</v>
      </c>
      <c r="S257" s="22">
        <f t="shared" si="254"/>
        <v>6.6055045871559618E-3</v>
      </c>
      <c r="T257" s="22">
        <f t="shared" si="254"/>
        <v>0</v>
      </c>
      <c r="U257" s="22">
        <f t="shared" si="254"/>
        <v>0</v>
      </c>
      <c r="V257" s="22">
        <f t="shared" si="254"/>
        <v>1.4678899082568803E-4</v>
      </c>
      <c r="W257" s="22">
        <f t="shared" si="254"/>
        <v>1.1009174311926603E-2</v>
      </c>
      <c r="X257" s="22">
        <f t="shared" si="254"/>
        <v>9.8348623853210995E-3</v>
      </c>
      <c r="Y257" s="384">
        <f t="shared" si="254"/>
        <v>2.6422018348623848E-3</v>
      </c>
    </row>
  </sheetData>
  <hyperlinks>
    <hyperlink ref="B1" r:id="rId1" xr:uid="{00000000-0004-0000-0F00-000000000000}"/>
    <hyperlink ref="P1" location="ÍNDICE!A1" display="ÍNDICE!A1" xr:uid="{00000000-0004-0000-0F00-000001000000}"/>
    <hyperlink ref="B5" location="'ALG-EDAD'!A9" display="SECANO" xr:uid="{00000000-0004-0000-0F00-000002000000}"/>
    <hyperlink ref="C5" location="'ALG-EDAD'!A54" display="REGADÍO" xr:uid="{00000000-0004-0000-0F00-000003000000}"/>
    <hyperlink ref="B6" location="'ALG-EDAD'!A93" display="SECANO" xr:uid="{00000000-0004-0000-0F00-000004000000}"/>
    <hyperlink ref="C6" location="'ALG-EDAD'!A140" display="REGADÍO" xr:uid="{00000000-0004-0000-0F00-000005000000}"/>
    <hyperlink ref="B7" location="'ALG-EDAD'!A176" display="SECANO" xr:uid="{00000000-0004-0000-0F00-000006000000}"/>
    <hyperlink ref="C7" location="'ALG-EDAD'!A221" display="REGADÍO" xr:uid="{00000000-0004-0000-0F00-000007000000}"/>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BC101"/>
  <sheetViews>
    <sheetView topLeftCell="AB61" workbookViewId="0">
      <selection activeCell="AG78" sqref="AG78"/>
    </sheetView>
  </sheetViews>
  <sheetFormatPr baseColWidth="10" defaultRowHeight="14.5" x14ac:dyDescent="0.35"/>
  <cols>
    <col min="1" max="1" width="21.54296875" bestFit="1" customWidth="1"/>
    <col min="25" max="25" width="23.54296875" bestFit="1" customWidth="1"/>
    <col min="26" max="26" width="15.81640625" bestFit="1" customWidth="1"/>
    <col min="27" max="27" width="14.1796875" bestFit="1" customWidth="1"/>
    <col min="35" max="35" width="22" bestFit="1" customWidth="1"/>
    <col min="36" max="36" width="15.81640625" bestFit="1" customWidth="1"/>
    <col min="41" max="41" width="13.81640625" customWidth="1"/>
  </cols>
  <sheetData>
    <row r="1" spans="1:55" x14ac:dyDescent="0.35">
      <c r="A1" s="1" t="s">
        <v>10</v>
      </c>
      <c r="B1" s="2" t="s">
        <v>84</v>
      </c>
      <c r="L1" t="s">
        <v>143</v>
      </c>
      <c r="M1" s="2" t="s">
        <v>144</v>
      </c>
    </row>
    <row r="3" spans="1:55" x14ac:dyDescent="0.35">
      <c r="BC3" t="s">
        <v>278</v>
      </c>
    </row>
    <row r="8" spans="1:55" ht="17.5" x14ac:dyDescent="0.35">
      <c r="A8" s="291" t="s">
        <v>85</v>
      </c>
    </row>
    <row r="9" spans="1:55" ht="18.5" x14ac:dyDescent="0.45">
      <c r="A9" s="192"/>
    </row>
    <row r="10" spans="1:55" ht="76.5" customHeight="1" x14ac:dyDescent="0.35">
      <c r="A10" s="417" t="s">
        <v>0</v>
      </c>
      <c r="B10" s="409" t="s">
        <v>89</v>
      </c>
      <c r="C10" s="409">
        <v>2000</v>
      </c>
      <c r="D10" s="409">
        <v>2001</v>
      </c>
      <c r="E10" s="409">
        <v>2002</v>
      </c>
      <c r="F10" s="409">
        <v>2003</v>
      </c>
      <c r="G10" s="409">
        <v>2004</v>
      </c>
      <c r="H10" s="409">
        <v>2005</v>
      </c>
      <c r="I10" s="409">
        <v>2006</v>
      </c>
      <c r="J10" s="409">
        <v>2007</v>
      </c>
      <c r="K10" s="409">
        <v>2008</v>
      </c>
      <c r="L10" s="409">
        <v>2009</v>
      </c>
      <c r="M10" s="409">
        <v>2010</v>
      </c>
      <c r="N10" s="409">
        <v>2011</v>
      </c>
      <c r="O10" s="409">
        <v>2012</v>
      </c>
      <c r="P10" s="409">
        <v>2013</v>
      </c>
      <c r="Q10" s="409">
        <v>2014</v>
      </c>
      <c r="R10" s="409">
        <v>2015</v>
      </c>
      <c r="S10" s="409">
        <v>2016</v>
      </c>
      <c r="T10" s="409">
        <v>2017</v>
      </c>
      <c r="U10" s="409">
        <v>2018</v>
      </c>
      <c r="V10" s="409">
        <v>2019</v>
      </c>
      <c r="W10" s="409">
        <v>2020</v>
      </c>
      <c r="X10" s="409">
        <v>2021</v>
      </c>
      <c r="Y10" s="410" t="s">
        <v>90</v>
      </c>
      <c r="Z10" s="410" t="s">
        <v>91</v>
      </c>
      <c r="AA10" s="410" t="s">
        <v>92</v>
      </c>
      <c r="AC10" s="410" t="s">
        <v>93</v>
      </c>
      <c r="AD10" s="410" t="s">
        <v>279</v>
      </c>
      <c r="AE10" s="410" t="s">
        <v>94</v>
      </c>
      <c r="AF10" s="410" t="s">
        <v>96</v>
      </c>
      <c r="AG10" s="410" t="s">
        <v>97</v>
      </c>
    </row>
    <row r="11" spans="1:55" x14ac:dyDescent="0.35">
      <c r="A11" s="310" t="s">
        <v>5</v>
      </c>
      <c r="B11" s="311">
        <f>SUM(B12:B19)</f>
        <v>320.19</v>
      </c>
      <c r="C11" s="311">
        <f t="shared" ref="C11:Z11" si="0">SUM(C12:C19)</f>
        <v>31.72</v>
      </c>
      <c r="D11" s="311">
        <f t="shared" si="0"/>
        <v>6.6499999999999995</v>
      </c>
      <c r="E11" s="311">
        <f t="shared" si="0"/>
        <v>12.6</v>
      </c>
      <c r="F11" s="311">
        <f t="shared" si="0"/>
        <v>1.1600000000000001</v>
      </c>
      <c r="G11" s="311">
        <f t="shared" si="0"/>
        <v>10.06</v>
      </c>
      <c r="H11" s="311">
        <f t="shared" si="0"/>
        <v>15.750000000000002</v>
      </c>
      <c r="I11" s="311">
        <f t="shared" si="0"/>
        <v>53.21</v>
      </c>
      <c r="J11" s="311">
        <f t="shared" si="0"/>
        <v>6.2600000000000007</v>
      </c>
      <c r="K11" s="311">
        <f t="shared" si="0"/>
        <v>6.4600000000000009</v>
      </c>
      <c r="L11" s="311">
        <f t="shared" si="0"/>
        <v>6.620000000000001</v>
      </c>
      <c r="M11" s="311">
        <f t="shared" si="0"/>
        <v>47.150000000000006</v>
      </c>
      <c r="N11" s="311">
        <f t="shared" si="0"/>
        <v>29.68</v>
      </c>
      <c r="O11" s="311">
        <f t="shared" si="0"/>
        <v>40.210000000000008</v>
      </c>
      <c r="P11" s="311">
        <f t="shared" si="0"/>
        <v>27.56</v>
      </c>
      <c r="Q11" s="311">
        <f t="shared" si="0"/>
        <v>27.43</v>
      </c>
      <c r="R11" s="311">
        <f t="shared" si="0"/>
        <v>25.490000000000002</v>
      </c>
      <c r="S11" s="311">
        <f t="shared" si="0"/>
        <v>39.46</v>
      </c>
      <c r="T11" s="311">
        <f t="shared" si="0"/>
        <v>63.569999999999993</v>
      </c>
      <c r="U11" s="311">
        <f t="shared" si="0"/>
        <v>62.53</v>
      </c>
      <c r="V11" s="311">
        <f t="shared" si="0"/>
        <v>48.790000000000006</v>
      </c>
      <c r="W11" s="311">
        <f t="shared" si="0"/>
        <v>116.60999999999999</v>
      </c>
      <c r="X11" s="311">
        <f t="shared" si="0"/>
        <v>55.07</v>
      </c>
      <c r="Y11" s="311">
        <f t="shared" si="0"/>
        <v>1.39</v>
      </c>
      <c r="Z11" s="311">
        <f t="shared" si="0"/>
        <v>1055.6200000000001</v>
      </c>
      <c r="AA11" s="312">
        <f>Z11/$Z$78</f>
        <v>0.10657531812472994</v>
      </c>
      <c r="AC11" s="311">
        <f>SUM(B11:S11)</f>
        <v>707.65999999999985</v>
      </c>
      <c r="AD11" s="311">
        <f>SUM(T11:X11)</f>
        <v>346.57</v>
      </c>
      <c r="AE11" s="311">
        <f>Y11</f>
        <v>1.39</v>
      </c>
      <c r="AF11" s="311">
        <f>SUM(AC11:AE11)</f>
        <v>1055.6199999999999</v>
      </c>
      <c r="AG11" s="312">
        <f>AD11/AF11</f>
        <v>0.3283094295295656</v>
      </c>
    </row>
    <row r="12" spans="1:55" x14ac:dyDescent="0.35">
      <c r="A12" s="6" t="s">
        <v>6</v>
      </c>
      <c r="B12" s="12">
        <v>3.73</v>
      </c>
      <c r="C12" s="12">
        <v>0.57999999999999996</v>
      </c>
      <c r="D12" s="12">
        <v>0</v>
      </c>
      <c r="E12" s="12">
        <v>0</v>
      </c>
      <c r="F12" s="12">
        <v>0</v>
      </c>
      <c r="G12" s="12">
        <v>0</v>
      </c>
      <c r="H12" s="12">
        <v>3.49</v>
      </c>
      <c r="I12" s="12">
        <v>0.13</v>
      </c>
      <c r="J12" s="12">
        <v>0</v>
      </c>
      <c r="K12" s="12">
        <v>0</v>
      </c>
      <c r="L12" s="12">
        <v>0</v>
      </c>
      <c r="M12" s="12">
        <v>0.78</v>
      </c>
      <c r="N12" s="12">
        <v>0</v>
      </c>
      <c r="O12" s="12">
        <v>0</v>
      </c>
      <c r="P12" s="12">
        <v>1.1599999999999999</v>
      </c>
      <c r="Q12" s="12">
        <v>0</v>
      </c>
      <c r="R12" s="12">
        <v>0</v>
      </c>
      <c r="S12" s="12">
        <v>0</v>
      </c>
      <c r="T12" s="12">
        <v>0</v>
      </c>
      <c r="U12" s="12">
        <v>0</v>
      </c>
      <c r="V12" s="12">
        <v>0</v>
      </c>
      <c r="W12" s="12">
        <v>0</v>
      </c>
      <c r="X12" s="12">
        <v>0</v>
      </c>
      <c r="Y12" s="12">
        <v>0.14000000000000001</v>
      </c>
      <c r="Z12" s="12">
        <f>SUM(B12:Y12)</f>
        <v>10.01</v>
      </c>
      <c r="AA12" s="208">
        <f t="shared" ref="AA12:AA75" si="1">Z12/$Z$78</f>
        <v>1.0106088691276657E-3</v>
      </c>
      <c r="AC12" s="209">
        <f>SUM(B12:S12)</f>
        <v>9.8699999999999992</v>
      </c>
      <c r="AD12" s="209">
        <f>SUM(T12:X12)</f>
        <v>0</v>
      </c>
      <c r="AE12" s="209">
        <f t="shared" ref="AE12:AE75" si="2">Y12</f>
        <v>0.14000000000000001</v>
      </c>
      <c r="AF12" s="209">
        <f t="shared" ref="AF12:AF75" si="3">SUM(AC12:AE12)</f>
        <v>10.01</v>
      </c>
      <c r="AG12" s="208">
        <f t="shared" ref="AG12:AG75" si="4">AD12/AF12</f>
        <v>0</v>
      </c>
    </row>
    <row r="13" spans="1:55" x14ac:dyDescent="0.35">
      <c r="A13" s="6" t="s">
        <v>7</v>
      </c>
      <c r="B13" s="12">
        <v>0</v>
      </c>
      <c r="C13" s="12">
        <v>0</v>
      </c>
      <c r="D13" s="12">
        <v>0</v>
      </c>
      <c r="E13" s="12">
        <v>0</v>
      </c>
      <c r="F13" s="12">
        <v>0</v>
      </c>
      <c r="G13" s="12">
        <v>1.57</v>
      </c>
      <c r="H13" s="12">
        <v>0</v>
      </c>
      <c r="I13" s="12">
        <v>0</v>
      </c>
      <c r="J13" s="12">
        <v>0</v>
      </c>
      <c r="K13" s="12">
        <v>0</v>
      </c>
      <c r="L13" s="12">
        <v>0</v>
      </c>
      <c r="M13" s="12">
        <v>0</v>
      </c>
      <c r="N13" s="12">
        <v>0</v>
      </c>
      <c r="O13" s="12">
        <v>0</v>
      </c>
      <c r="P13" s="12">
        <v>0</v>
      </c>
      <c r="Q13" s="12">
        <v>1.1000000000000001</v>
      </c>
      <c r="R13" s="12">
        <v>0.6</v>
      </c>
      <c r="S13" s="12">
        <v>3.06</v>
      </c>
      <c r="T13" s="12">
        <v>0.14000000000000001</v>
      </c>
      <c r="U13" s="12">
        <v>4.4399999999999995</v>
      </c>
      <c r="V13" s="12">
        <v>0</v>
      </c>
      <c r="W13" s="12">
        <v>0</v>
      </c>
      <c r="X13" s="12">
        <v>0</v>
      </c>
      <c r="Y13" s="12">
        <v>0</v>
      </c>
      <c r="Z13" s="12">
        <f t="shared" ref="Z13:Z62" si="5">SUM(B13:Y13)</f>
        <v>10.91</v>
      </c>
      <c r="AA13" s="208">
        <f t="shared" si="1"/>
        <v>1.1014728034148685E-3</v>
      </c>
      <c r="AC13" s="209">
        <f t="shared" ref="AC13:AC76" si="6">SUM(B13:S13)</f>
        <v>6.33</v>
      </c>
      <c r="AD13" s="209">
        <f t="shared" ref="AD13:AD23" si="7">SUM(T13:X13)</f>
        <v>4.5799999999999992</v>
      </c>
      <c r="AE13" s="209">
        <f t="shared" si="2"/>
        <v>0</v>
      </c>
      <c r="AF13" s="209">
        <f t="shared" si="3"/>
        <v>10.91</v>
      </c>
      <c r="AG13" s="208">
        <f t="shared" si="4"/>
        <v>0.41979835013748845</v>
      </c>
    </row>
    <row r="14" spans="1:55" x14ac:dyDescent="0.35">
      <c r="A14" s="5" t="s">
        <v>8</v>
      </c>
      <c r="B14" s="12">
        <v>1.68</v>
      </c>
      <c r="C14" s="12">
        <v>0</v>
      </c>
      <c r="D14" s="12">
        <v>0</v>
      </c>
      <c r="E14" s="12">
        <v>2.91</v>
      </c>
      <c r="F14" s="12">
        <v>0</v>
      </c>
      <c r="G14" s="12">
        <v>0</v>
      </c>
      <c r="H14" s="12">
        <v>4.54</v>
      </c>
      <c r="I14" s="12">
        <v>0</v>
      </c>
      <c r="J14" s="12">
        <v>0</v>
      </c>
      <c r="K14" s="12">
        <v>0</v>
      </c>
      <c r="L14" s="12">
        <v>0</v>
      </c>
      <c r="M14" s="12">
        <v>0</v>
      </c>
      <c r="N14" s="12">
        <v>0</v>
      </c>
      <c r="O14" s="12">
        <v>0</v>
      </c>
      <c r="P14" s="12">
        <v>0</v>
      </c>
      <c r="Q14" s="12">
        <v>0</v>
      </c>
      <c r="R14" s="12">
        <v>4.96</v>
      </c>
      <c r="S14" s="12">
        <v>6.3999999999999995</v>
      </c>
      <c r="T14" s="12">
        <v>9.02</v>
      </c>
      <c r="U14" s="12">
        <v>5.2</v>
      </c>
      <c r="V14" s="12">
        <v>0</v>
      </c>
      <c r="W14" s="12">
        <v>16.45</v>
      </c>
      <c r="X14" s="12">
        <v>0</v>
      </c>
      <c r="Y14" s="12">
        <v>0</v>
      </c>
      <c r="Z14" s="12">
        <f t="shared" si="5"/>
        <v>51.16</v>
      </c>
      <c r="AA14" s="208">
        <f t="shared" si="1"/>
        <v>5.1651098645925453E-3</v>
      </c>
      <c r="AC14" s="209">
        <f t="shared" si="6"/>
        <v>20.49</v>
      </c>
      <c r="AD14" s="209">
        <f t="shared" si="7"/>
        <v>30.669999999999998</v>
      </c>
      <c r="AE14" s="209">
        <f t="shared" si="2"/>
        <v>0</v>
      </c>
      <c r="AF14" s="209">
        <f t="shared" si="3"/>
        <v>51.16</v>
      </c>
      <c r="AG14" s="208">
        <f t="shared" si="4"/>
        <v>0.59949179046129786</v>
      </c>
    </row>
    <row r="15" spans="1:55" x14ac:dyDescent="0.35">
      <c r="A15" s="6" t="s">
        <v>26</v>
      </c>
      <c r="B15" s="12">
        <v>107.83999999999997</v>
      </c>
      <c r="C15" s="12">
        <v>17.16</v>
      </c>
      <c r="D15" s="12">
        <v>5.8999999999999995</v>
      </c>
      <c r="E15" s="12">
        <v>5.17</v>
      </c>
      <c r="F15" s="12">
        <v>1.03</v>
      </c>
      <c r="G15" s="12">
        <v>0.76</v>
      </c>
      <c r="H15" s="12">
        <v>6</v>
      </c>
      <c r="I15" s="12">
        <v>49.36</v>
      </c>
      <c r="J15" s="12">
        <v>0.13</v>
      </c>
      <c r="K15" s="12">
        <v>0.56000000000000005</v>
      </c>
      <c r="L15" s="12">
        <v>0.04</v>
      </c>
      <c r="M15" s="12">
        <v>23.67</v>
      </c>
      <c r="N15" s="12">
        <v>2.2999999999999998</v>
      </c>
      <c r="O15" s="12">
        <v>29.480000000000004</v>
      </c>
      <c r="P15" s="12">
        <v>25.82</v>
      </c>
      <c r="Q15" s="12">
        <v>17.509999999999998</v>
      </c>
      <c r="R15" s="12">
        <v>7.32</v>
      </c>
      <c r="S15" s="12">
        <v>2.35</v>
      </c>
      <c r="T15" s="12">
        <v>33.980000000000004</v>
      </c>
      <c r="U15" s="12">
        <v>30.040000000000003</v>
      </c>
      <c r="V15" s="12">
        <v>4.6100000000000003</v>
      </c>
      <c r="W15" s="12">
        <v>13.569999999999999</v>
      </c>
      <c r="X15" s="12">
        <v>10.89</v>
      </c>
      <c r="Y15" s="12">
        <v>0.60000000000000009</v>
      </c>
      <c r="Z15" s="12">
        <f t="shared" si="5"/>
        <v>396.09000000000003</v>
      </c>
      <c r="AA15" s="208">
        <f t="shared" si="1"/>
        <v>3.9989217479797924E-2</v>
      </c>
      <c r="AC15" s="209">
        <f t="shared" si="6"/>
        <v>302.39999999999998</v>
      </c>
      <c r="AD15" s="209">
        <f t="shared" si="7"/>
        <v>93.09</v>
      </c>
      <c r="AE15" s="209">
        <f t="shared" si="2"/>
        <v>0.60000000000000009</v>
      </c>
      <c r="AF15" s="209">
        <f t="shared" si="3"/>
        <v>396.09000000000003</v>
      </c>
      <c r="AG15" s="208">
        <f t="shared" si="4"/>
        <v>0.23502234340680148</v>
      </c>
    </row>
    <row r="16" spans="1:55" x14ac:dyDescent="0.35">
      <c r="A16" s="6" t="s">
        <v>27</v>
      </c>
      <c r="B16" s="12">
        <v>5.0600000000000005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3.12</v>
      </c>
      <c r="V16" s="12">
        <v>11.1</v>
      </c>
      <c r="W16" s="12">
        <v>0</v>
      </c>
      <c r="X16" s="12">
        <v>0</v>
      </c>
      <c r="Y16" s="12">
        <v>0</v>
      </c>
      <c r="Z16" s="12">
        <f t="shared" si="5"/>
        <v>19.28</v>
      </c>
      <c r="AA16" s="208">
        <f t="shared" si="1"/>
        <v>1.9465073922858541E-3</v>
      </c>
      <c r="AC16" s="209">
        <f t="shared" si="6"/>
        <v>5.0600000000000005</v>
      </c>
      <c r="AD16" s="209">
        <f t="shared" si="7"/>
        <v>14.219999999999999</v>
      </c>
      <c r="AE16" s="209">
        <f t="shared" si="2"/>
        <v>0</v>
      </c>
      <c r="AF16" s="209">
        <f t="shared" si="3"/>
        <v>19.28</v>
      </c>
      <c r="AG16" s="208">
        <f t="shared" si="4"/>
        <v>0.73755186721991695</v>
      </c>
    </row>
    <row r="17" spans="1:44" x14ac:dyDescent="0.35">
      <c r="A17" s="6" t="s">
        <v>28</v>
      </c>
      <c r="B17" s="12">
        <v>41.040000000000006</v>
      </c>
      <c r="C17" s="12">
        <v>11.47</v>
      </c>
      <c r="D17" s="12">
        <v>0</v>
      </c>
      <c r="E17" s="12">
        <v>0</v>
      </c>
      <c r="F17" s="12">
        <v>0.13</v>
      </c>
      <c r="G17" s="12">
        <v>1.23</v>
      </c>
      <c r="H17" s="12">
        <v>1.56</v>
      </c>
      <c r="I17" s="12">
        <v>0.33</v>
      </c>
      <c r="J17" s="12">
        <v>3.66</v>
      </c>
      <c r="K17" s="12">
        <v>5.4</v>
      </c>
      <c r="L17" s="12">
        <v>0</v>
      </c>
      <c r="M17" s="12">
        <v>0</v>
      </c>
      <c r="N17" s="12">
        <v>0</v>
      </c>
      <c r="O17" s="12">
        <v>0.32</v>
      </c>
      <c r="P17" s="12">
        <v>0</v>
      </c>
      <c r="Q17" s="12">
        <v>3</v>
      </c>
      <c r="R17" s="12">
        <v>9.69</v>
      </c>
      <c r="S17" s="12">
        <v>7.08</v>
      </c>
      <c r="T17" s="12">
        <v>0.22</v>
      </c>
      <c r="U17" s="12">
        <v>5.89</v>
      </c>
      <c r="V17" s="12">
        <v>0</v>
      </c>
      <c r="W17" s="12">
        <v>0.38</v>
      </c>
      <c r="X17" s="12">
        <v>1.04</v>
      </c>
      <c r="Y17" s="12">
        <v>0.49</v>
      </c>
      <c r="Z17" s="12">
        <f t="shared" si="5"/>
        <v>92.929999999999993</v>
      </c>
      <c r="AA17" s="208">
        <f t="shared" si="1"/>
        <v>9.3822060147886101E-3</v>
      </c>
      <c r="AC17" s="209">
        <f t="shared" si="6"/>
        <v>84.91</v>
      </c>
      <c r="AD17" s="209">
        <f t="shared" si="7"/>
        <v>7.5299999999999994</v>
      </c>
      <c r="AE17" s="209">
        <f t="shared" si="2"/>
        <v>0.49</v>
      </c>
      <c r="AF17" s="209">
        <f t="shared" si="3"/>
        <v>92.929999999999993</v>
      </c>
      <c r="AG17" s="208">
        <f t="shared" si="4"/>
        <v>8.1028731303131388E-2</v>
      </c>
    </row>
    <row r="18" spans="1:44" x14ac:dyDescent="0.35">
      <c r="A18" s="6" t="s">
        <v>29</v>
      </c>
      <c r="B18" s="12">
        <v>160.35000000000002</v>
      </c>
      <c r="C18" s="12">
        <v>2.5099999999999998</v>
      </c>
      <c r="D18" s="12">
        <v>0.75</v>
      </c>
      <c r="E18" s="12">
        <v>4.5199999999999996</v>
      </c>
      <c r="F18" s="12">
        <v>0</v>
      </c>
      <c r="G18" s="12">
        <v>6.5</v>
      </c>
      <c r="H18" s="12">
        <v>0.16</v>
      </c>
      <c r="I18" s="12">
        <v>3.39</v>
      </c>
      <c r="J18" s="12">
        <v>0.77</v>
      </c>
      <c r="K18" s="12">
        <v>0.5</v>
      </c>
      <c r="L18" s="12">
        <v>4.3900000000000006</v>
      </c>
      <c r="M18" s="12">
        <v>22.700000000000003</v>
      </c>
      <c r="N18" s="12">
        <v>27.38</v>
      </c>
      <c r="O18" s="12">
        <v>10.41</v>
      </c>
      <c r="P18" s="12">
        <v>0.57999999999999996</v>
      </c>
      <c r="Q18" s="12">
        <v>5.5399999999999991</v>
      </c>
      <c r="R18" s="12">
        <v>2.92</v>
      </c>
      <c r="S18" s="12">
        <v>6.7900000000000009</v>
      </c>
      <c r="T18" s="12">
        <v>2.61</v>
      </c>
      <c r="U18" s="12">
        <v>12.799999999999999</v>
      </c>
      <c r="V18" s="12">
        <v>31.950000000000003</v>
      </c>
      <c r="W18" s="12">
        <v>4.55</v>
      </c>
      <c r="X18" s="12">
        <v>0</v>
      </c>
      <c r="Y18" s="12">
        <v>0.16</v>
      </c>
      <c r="Z18" s="12">
        <f t="shared" si="5"/>
        <v>312.23000000000008</v>
      </c>
      <c r="AA18" s="208">
        <f t="shared" si="1"/>
        <v>3.1522718002770345E-2</v>
      </c>
      <c r="AC18" s="209">
        <f t="shared" si="6"/>
        <v>260.16000000000003</v>
      </c>
      <c r="AD18" s="209">
        <f t="shared" si="7"/>
        <v>51.91</v>
      </c>
      <c r="AE18" s="209">
        <f t="shared" si="2"/>
        <v>0.16</v>
      </c>
      <c r="AF18" s="209">
        <f t="shared" si="3"/>
        <v>312.23000000000008</v>
      </c>
      <c r="AG18" s="208">
        <f t="shared" si="4"/>
        <v>0.16625564487717381</v>
      </c>
    </row>
    <row r="19" spans="1:44" x14ac:dyDescent="0.35">
      <c r="A19" s="6" t="s">
        <v>30</v>
      </c>
      <c r="B19" s="12">
        <v>0.49</v>
      </c>
      <c r="C19" s="12">
        <v>0</v>
      </c>
      <c r="D19" s="12">
        <v>0</v>
      </c>
      <c r="E19" s="12">
        <v>0</v>
      </c>
      <c r="F19" s="12">
        <v>0</v>
      </c>
      <c r="G19" s="12">
        <v>0</v>
      </c>
      <c r="H19" s="12">
        <v>0</v>
      </c>
      <c r="I19" s="12">
        <v>0</v>
      </c>
      <c r="J19" s="12">
        <v>1.7</v>
      </c>
      <c r="K19" s="12">
        <v>0</v>
      </c>
      <c r="L19" s="12">
        <v>2.19</v>
      </c>
      <c r="M19" s="12">
        <v>0</v>
      </c>
      <c r="N19" s="12">
        <v>0</v>
      </c>
      <c r="O19" s="12">
        <v>0</v>
      </c>
      <c r="P19" s="12">
        <v>0</v>
      </c>
      <c r="Q19" s="12">
        <v>0.28000000000000003</v>
      </c>
      <c r="R19" s="12">
        <v>0</v>
      </c>
      <c r="S19" s="12">
        <v>13.78</v>
      </c>
      <c r="T19" s="12">
        <v>17.599999999999998</v>
      </c>
      <c r="U19" s="12">
        <v>1.04</v>
      </c>
      <c r="V19" s="12">
        <v>1.1299999999999999</v>
      </c>
      <c r="W19" s="12">
        <v>81.66</v>
      </c>
      <c r="X19" s="12">
        <v>43.14</v>
      </c>
      <c r="Y19" s="12">
        <v>0</v>
      </c>
      <c r="Z19" s="12">
        <f t="shared" si="5"/>
        <v>163.01</v>
      </c>
      <c r="AA19" s="208">
        <f t="shared" si="1"/>
        <v>1.6457477697952128E-2</v>
      </c>
      <c r="AC19" s="209">
        <f t="shared" si="6"/>
        <v>18.439999999999998</v>
      </c>
      <c r="AD19" s="209">
        <f t="shared" si="7"/>
        <v>144.57</v>
      </c>
      <c r="AE19" s="209">
        <f t="shared" si="2"/>
        <v>0</v>
      </c>
      <c r="AF19" s="209">
        <f t="shared" si="3"/>
        <v>163.01</v>
      </c>
      <c r="AG19" s="208">
        <f t="shared" si="4"/>
        <v>0.88687810563769098</v>
      </c>
    </row>
    <row r="20" spans="1:44" x14ac:dyDescent="0.35">
      <c r="A20" s="310" t="s">
        <v>12</v>
      </c>
      <c r="B20" s="311">
        <f>SUM(B21:B23)</f>
        <v>83.719999999999985</v>
      </c>
      <c r="C20" s="311">
        <f t="shared" ref="C20:Z20" si="8">SUM(C21:C23)</f>
        <v>18.799999999999997</v>
      </c>
      <c r="D20" s="311">
        <f t="shared" si="8"/>
        <v>3.6999999999999997</v>
      </c>
      <c r="E20" s="311">
        <f t="shared" si="8"/>
        <v>14.959999999999999</v>
      </c>
      <c r="F20" s="311">
        <f t="shared" si="8"/>
        <v>1.53</v>
      </c>
      <c r="G20" s="311">
        <f t="shared" si="8"/>
        <v>6.2700000000000005</v>
      </c>
      <c r="H20" s="311">
        <f t="shared" si="8"/>
        <v>26.259999999999998</v>
      </c>
      <c r="I20" s="311">
        <f t="shared" si="8"/>
        <v>28.949999999999996</v>
      </c>
      <c r="J20" s="311">
        <f t="shared" si="8"/>
        <v>11.53</v>
      </c>
      <c r="K20" s="311">
        <f t="shared" si="8"/>
        <v>10.559999999999999</v>
      </c>
      <c r="L20" s="311">
        <f t="shared" si="8"/>
        <v>12.82</v>
      </c>
      <c r="M20" s="311">
        <f t="shared" si="8"/>
        <v>14.7</v>
      </c>
      <c r="N20" s="311">
        <f t="shared" si="8"/>
        <v>13.79</v>
      </c>
      <c r="O20" s="311">
        <f t="shared" si="8"/>
        <v>15.420000000000002</v>
      </c>
      <c r="P20" s="311">
        <f t="shared" si="8"/>
        <v>4.2700000000000005</v>
      </c>
      <c r="Q20" s="311">
        <f t="shared" si="8"/>
        <v>64.3</v>
      </c>
      <c r="R20" s="311">
        <f t="shared" si="8"/>
        <v>43.96</v>
      </c>
      <c r="S20" s="311">
        <f t="shared" si="8"/>
        <v>137.32000000000002</v>
      </c>
      <c r="T20" s="311">
        <f t="shared" si="8"/>
        <v>110.82000000000001</v>
      </c>
      <c r="U20" s="311">
        <f t="shared" si="8"/>
        <v>150.13</v>
      </c>
      <c r="V20" s="311">
        <f t="shared" si="8"/>
        <v>272.14999999999998</v>
      </c>
      <c r="W20" s="311">
        <f t="shared" si="8"/>
        <v>58.110000000000007</v>
      </c>
      <c r="X20" s="311">
        <f t="shared" si="8"/>
        <v>173.19</v>
      </c>
      <c r="Y20" s="311">
        <f t="shared" si="8"/>
        <v>2.9700000000000006</v>
      </c>
      <c r="Z20" s="311">
        <f t="shared" si="8"/>
        <v>1280.23</v>
      </c>
      <c r="AA20" s="312">
        <f t="shared" si="1"/>
        <v>0.12925192732500615</v>
      </c>
      <c r="AC20" s="311">
        <f t="shared" si="6"/>
        <v>512.8599999999999</v>
      </c>
      <c r="AD20" s="311">
        <f>SUM(T20:X20)</f>
        <v>764.39999999999986</v>
      </c>
      <c r="AE20" s="311">
        <f t="shared" si="2"/>
        <v>2.9700000000000006</v>
      </c>
      <c r="AF20" s="311">
        <f t="shared" si="3"/>
        <v>1280.2299999999998</v>
      </c>
      <c r="AG20" s="312">
        <f t="shared" si="4"/>
        <v>0.59708021214937945</v>
      </c>
    </row>
    <row r="21" spans="1:44" x14ac:dyDescent="0.35">
      <c r="A21" s="6" t="s">
        <v>31</v>
      </c>
      <c r="B21" s="12">
        <v>11.36</v>
      </c>
      <c r="C21" s="12">
        <v>1.49</v>
      </c>
      <c r="D21" s="12">
        <v>0</v>
      </c>
      <c r="E21" s="12">
        <v>0.24</v>
      </c>
      <c r="F21" s="12">
        <v>0</v>
      </c>
      <c r="G21" s="12">
        <v>0.56000000000000005</v>
      </c>
      <c r="H21" s="12">
        <v>19.97</v>
      </c>
      <c r="I21" s="12">
        <v>25.549999999999997</v>
      </c>
      <c r="J21" s="12">
        <v>5.6899999999999995</v>
      </c>
      <c r="K21" s="12">
        <v>3.2399999999999998</v>
      </c>
      <c r="L21" s="12">
        <v>4.58</v>
      </c>
      <c r="M21" s="12">
        <v>1.79</v>
      </c>
      <c r="N21" s="12">
        <v>2.96</v>
      </c>
      <c r="O21" s="12">
        <v>10.91</v>
      </c>
      <c r="P21" s="12">
        <v>0.12000000000000001</v>
      </c>
      <c r="Q21" s="12">
        <v>45.31</v>
      </c>
      <c r="R21" s="12">
        <v>31.9</v>
      </c>
      <c r="S21" s="12">
        <v>134.4</v>
      </c>
      <c r="T21" s="12">
        <v>82.51</v>
      </c>
      <c r="U21" s="12">
        <v>121.15</v>
      </c>
      <c r="V21" s="12">
        <v>131.19</v>
      </c>
      <c r="W21" s="12">
        <v>10.639999999999999</v>
      </c>
      <c r="X21" s="12">
        <v>152.95999999999998</v>
      </c>
      <c r="Y21" s="12">
        <v>0.37</v>
      </c>
      <c r="Z21" s="12">
        <f t="shared" si="5"/>
        <v>798.89</v>
      </c>
      <c r="AA21" s="208">
        <f t="shared" si="1"/>
        <v>8.0655876069670424E-2</v>
      </c>
      <c r="AC21" s="209">
        <f t="shared" si="6"/>
        <v>300.07</v>
      </c>
      <c r="AD21" s="209">
        <f t="shared" si="7"/>
        <v>498.45</v>
      </c>
      <c r="AE21" s="209">
        <f t="shared" si="2"/>
        <v>0.37</v>
      </c>
      <c r="AF21" s="209">
        <f t="shared" si="3"/>
        <v>798.89</v>
      </c>
      <c r="AG21" s="208">
        <f t="shared" si="4"/>
        <v>0.62392820037802454</v>
      </c>
    </row>
    <row r="22" spans="1:44" x14ac:dyDescent="0.35">
      <c r="A22" s="6" t="s">
        <v>32</v>
      </c>
      <c r="B22" s="12">
        <v>44.109999999999992</v>
      </c>
      <c r="C22" s="12">
        <v>13.429999999999998</v>
      </c>
      <c r="D22" s="12">
        <v>3.01</v>
      </c>
      <c r="E22" s="12">
        <v>4.7300000000000004</v>
      </c>
      <c r="F22" s="12">
        <v>1.02</v>
      </c>
      <c r="G22" s="12">
        <v>3.43</v>
      </c>
      <c r="H22" s="12">
        <v>4.58</v>
      </c>
      <c r="I22" s="12">
        <v>1.34</v>
      </c>
      <c r="J22" s="12">
        <v>0.44</v>
      </c>
      <c r="K22" s="12">
        <v>2.02</v>
      </c>
      <c r="L22" s="12">
        <v>4.01</v>
      </c>
      <c r="M22" s="12">
        <v>3.9299999999999997</v>
      </c>
      <c r="N22" s="12">
        <v>4.16</v>
      </c>
      <c r="O22" s="12">
        <v>1.1500000000000001</v>
      </c>
      <c r="P22" s="12">
        <v>2.9000000000000004</v>
      </c>
      <c r="Q22" s="12">
        <v>16.27</v>
      </c>
      <c r="R22" s="12">
        <v>7</v>
      </c>
      <c r="S22" s="12">
        <v>1.83</v>
      </c>
      <c r="T22" s="12">
        <v>2.75</v>
      </c>
      <c r="U22" s="12">
        <v>5.8900000000000006</v>
      </c>
      <c r="V22" s="12">
        <v>7.6</v>
      </c>
      <c r="W22" s="12">
        <v>11.780000000000001</v>
      </c>
      <c r="X22" s="12">
        <v>3.77</v>
      </c>
      <c r="Y22" s="12">
        <v>1.21</v>
      </c>
      <c r="Z22" s="12">
        <f t="shared" si="5"/>
        <v>152.36000000000001</v>
      </c>
      <c r="AA22" s="208">
        <f t="shared" si="1"/>
        <v>1.5382254475553565E-2</v>
      </c>
      <c r="AC22" s="209">
        <f t="shared" si="6"/>
        <v>119.35999999999999</v>
      </c>
      <c r="AD22" s="209">
        <f t="shared" si="7"/>
        <v>31.790000000000003</v>
      </c>
      <c r="AE22" s="209">
        <f t="shared" si="2"/>
        <v>1.21</v>
      </c>
      <c r="AF22" s="209">
        <f t="shared" si="3"/>
        <v>152.35999999999999</v>
      </c>
      <c r="AG22" s="208">
        <f t="shared" si="4"/>
        <v>0.20865056445261226</v>
      </c>
    </row>
    <row r="23" spans="1:44" x14ac:dyDescent="0.35">
      <c r="A23" s="6" t="s">
        <v>33</v>
      </c>
      <c r="B23" s="12">
        <v>28.249999999999996</v>
      </c>
      <c r="C23" s="12">
        <v>3.88</v>
      </c>
      <c r="D23" s="12">
        <v>0.69</v>
      </c>
      <c r="E23" s="12">
        <v>9.9899999999999984</v>
      </c>
      <c r="F23" s="12">
        <v>0.51</v>
      </c>
      <c r="G23" s="12">
        <v>2.2800000000000002</v>
      </c>
      <c r="H23" s="12">
        <v>1.71</v>
      </c>
      <c r="I23" s="12">
        <v>2.06</v>
      </c>
      <c r="J23" s="12">
        <v>5.3999999999999995</v>
      </c>
      <c r="K23" s="12">
        <v>5.3</v>
      </c>
      <c r="L23" s="12">
        <v>4.2300000000000004</v>
      </c>
      <c r="M23" s="12">
        <v>8.9799999999999986</v>
      </c>
      <c r="N23" s="12">
        <v>6.67</v>
      </c>
      <c r="O23" s="12">
        <v>3.3600000000000003</v>
      </c>
      <c r="P23" s="12">
        <v>1.25</v>
      </c>
      <c r="Q23" s="12">
        <v>2.7199999999999998</v>
      </c>
      <c r="R23" s="12">
        <v>5.0600000000000005</v>
      </c>
      <c r="S23" s="12">
        <v>1.0900000000000001</v>
      </c>
      <c r="T23" s="12">
        <v>25.56</v>
      </c>
      <c r="U23" s="12">
        <v>23.090000000000003</v>
      </c>
      <c r="V23" s="12">
        <v>133.35999999999999</v>
      </c>
      <c r="W23" s="12">
        <v>35.690000000000005</v>
      </c>
      <c r="X23" s="12">
        <v>16.46</v>
      </c>
      <c r="Y23" s="12">
        <v>1.3900000000000003</v>
      </c>
      <c r="Z23" s="12">
        <f t="shared" si="5"/>
        <v>328.9799999999999</v>
      </c>
      <c r="AA23" s="208">
        <f t="shared" si="1"/>
        <v>3.3213796779782159E-2</v>
      </c>
      <c r="AC23" s="209">
        <f t="shared" si="6"/>
        <v>93.429999999999993</v>
      </c>
      <c r="AD23" s="209">
        <f t="shared" si="7"/>
        <v>234.16</v>
      </c>
      <c r="AE23" s="209">
        <f t="shared" si="2"/>
        <v>1.3900000000000003</v>
      </c>
      <c r="AF23" s="209">
        <f t="shared" si="3"/>
        <v>328.97999999999996</v>
      </c>
      <c r="AG23" s="208">
        <f t="shared" si="4"/>
        <v>0.71177579184144946</v>
      </c>
    </row>
    <row r="24" spans="1:44" x14ac:dyDescent="0.35">
      <c r="A24" s="310" t="s">
        <v>69</v>
      </c>
      <c r="B24" s="311">
        <v>0.14000000000000001</v>
      </c>
      <c r="C24" s="311">
        <v>1.98</v>
      </c>
      <c r="D24" s="311">
        <v>0</v>
      </c>
      <c r="E24" s="311">
        <v>0</v>
      </c>
      <c r="F24" s="311">
        <v>0</v>
      </c>
      <c r="G24" s="311">
        <v>0</v>
      </c>
      <c r="H24" s="311">
        <v>0</v>
      </c>
      <c r="I24" s="311">
        <v>0</v>
      </c>
      <c r="J24" s="311">
        <v>0</v>
      </c>
      <c r="K24" s="311">
        <v>0</v>
      </c>
      <c r="L24" s="311">
        <v>0</v>
      </c>
      <c r="M24" s="311">
        <v>0</v>
      </c>
      <c r="N24" s="311">
        <v>0</v>
      </c>
      <c r="O24" s="311">
        <v>0</v>
      </c>
      <c r="P24" s="311">
        <v>0</v>
      </c>
      <c r="Q24" s="311">
        <v>0.16</v>
      </c>
      <c r="R24" s="311">
        <v>0</v>
      </c>
      <c r="S24" s="311">
        <v>0</v>
      </c>
      <c r="T24" s="311">
        <v>0</v>
      </c>
      <c r="U24" s="311">
        <v>0</v>
      </c>
      <c r="V24" s="311">
        <v>0</v>
      </c>
      <c r="W24" s="311">
        <v>0</v>
      </c>
      <c r="X24" s="311">
        <v>0</v>
      </c>
      <c r="Y24" s="311">
        <v>0</v>
      </c>
      <c r="Z24" s="311">
        <v>2.2800000000000002</v>
      </c>
      <c r="AA24" s="312">
        <f t="shared" si="1"/>
        <v>2.3018863352758026E-4</v>
      </c>
      <c r="AC24" s="311">
        <f t="shared" si="6"/>
        <v>2.2800000000000002</v>
      </c>
      <c r="AD24" s="311">
        <f>SUM(T24:X24)</f>
        <v>0</v>
      </c>
      <c r="AE24" s="311">
        <f t="shared" si="2"/>
        <v>0</v>
      </c>
      <c r="AF24" s="311">
        <f t="shared" si="3"/>
        <v>2.2800000000000002</v>
      </c>
      <c r="AG24" s="312">
        <f t="shared" si="4"/>
        <v>0</v>
      </c>
    </row>
    <row r="25" spans="1:44" x14ac:dyDescent="0.35">
      <c r="A25" s="6" t="s">
        <v>69</v>
      </c>
      <c r="B25" s="12">
        <v>0.14000000000000001</v>
      </c>
      <c r="C25" s="12">
        <v>1.98</v>
      </c>
      <c r="D25" s="12">
        <v>0</v>
      </c>
      <c r="E25" s="12">
        <v>0</v>
      </c>
      <c r="F25" s="12">
        <v>0</v>
      </c>
      <c r="G25" s="12">
        <v>0</v>
      </c>
      <c r="H25" s="12">
        <v>0</v>
      </c>
      <c r="I25" s="12">
        <v>0</v>
      </c>
      <c r="J25" s="12">
        <v>0</v>
      </c>
      <c r="K25" s="12">
        <v>0</v>
      </c>
      <c r="L25" s="12">
        <v>0</v>
      </c>
      <c r="M25" s="12">
        <v>0</v>
      </c>
      <c r="N25" s="12">
        <v>0</v>
      </c>
      <c r="O25" s="12">
        <v>0</v>
      </c>
      <c r="P25" s="12">
        <v>0</v>
      </c>
      <c r="Q25" s="12">
        <v>0.16</v>
      </c>
      <c r="R25" s="12">
        <v>0</v>
      </c>
      <c r="S25" s="12">
        <v>0</v>
      </c>
      <c r="T25" s="12">
        <v>0</v>
      </c>
      <c r="U25" s="12">
        <v>0</v>
      </c>
      <c r="V25" s="12">
        <v>0</v>
      </c>
      <c r="W25" s="12">
        <v>0</v>
      </c>
      <c r="X25" s="12">
        <v>0</v>
      </c>
      <c r="Y25" s="12">
        <v>0</v>
      </c>
      <c r="Z25" s="12">
        <f t="shared" si="5"/>
        <v>2.2800000000000002</v>
      </c>
      <c r="AA25" s="208">
        <f t="shared" si="1"/>
        <v>2.3018863352758026E-4</v>
      </c>
      <c r="AC25" s="209">
        <f t="shared" si="6"/>
        <v>2.2800000000000002</v>
      </c>
      <c r="AD25" s="209">
        <f t="shared" ref="AD25:AD52" si="9">SUM(T25:X25)</f>
        <v>0</v>
      </c>
      <c r="AE25" s="209">
        <f t="shared" si="2"/>
        <v>0</v>
      </c>
      <c r="AF25" s="209">
        <f t="shared" si="3"/>
        <v>2.2800000000000002</v>
      </c>
      <c r="AG25" s="208">
        <f t="shared" si="4"/>
        <v>0</v>
      </c>
      <c r="AO25" s="342"/>
      <c r="AP25" s="342" t="s">
        <v>256</v>
      </c>
      <c r="AQ25" s="342" t="s">
        <v>96</v>
      </c>
      <c r="AR25" s="342" t="s">
        <v>257</v>
      </c>
    </row>
    <row r="26" spans="1:44" x14ac:dyDescent="0.35">
      <c r="A26" s="310" t="s">
        <v>13</v>
      </c>
      <c r="B26" s="311">
        <f>SUM(B27:B29)</f>
        <v>485.82999999999981</v>
      </c>
      <c r="C26" s="311">
        <f t="shared" ref="C26:Z26" si="10">SUM(C27:C29)</f>
        <v>18.96</v>
      </c>
      <c r="D26" s="311">
        <f t="shared" si="10"/>
        <v>0.44</v>
      </c>
      <c r="E26" s="311">
        <f t="shared" si="10"/>
        <v>5.41</v>
      </c>
      <c r="F26" s="311">
        <f t="shared" si="10"/>
        <v>8.31</v>
      </c>
      <c r="G26" s="311">
        <f t="shared" si="10"/>
        <v>8.5399999999999991</v>
      </c>
      <c r="H26" s="311">
        <f t="shared" si="10"/>
        <v>8.4699999999999989</v>
      </c>
      <c r="I26" s="311">
        <f t="shared" si="10"/>
        <v>1.5999999999999999</v>
      </c>
      <c r="J26" s="311">
        <f t="shared" si="10"/>
        <v>4.37</v>
      </c>
      <c r="K26" s="311">
        <f t="shared" si="10"/>
        <v>0.88</v>
      </c>
      <c r="L26" s="311">
        <f t="shared" si="10"/>
        <v>11.83</v>
      </c>
      <c r="M26" s="311">
        <f t="shared" si="10"/>
        <v>8.89</v>
      </c>
      <c r="N26" s="311">
        <f t="shared" si="10"/>
        <v>5.31</v>
      </c>
      <c r="O26" s="311">
        <f t="shared" si="10"/>
        <v>12.209999999999999</v>
      </c>
      <c r="P26" s="311">
        <f t="shared" si="10"/>
        <v>30.86</v>
      </c>
      <c r="Q26" s="311">
        <f t="shared" si="10"/>
        <v>15.77</v>
      </c>
      <c r="R26" s="311">
        <f t="shared" si="10"/>
        <v>15.78</v>
      </c>
      <c r="S26" s="311">
        <f t="shared" si="10"/>
        <v>19.480000000000004</v>
      </c>
      <c r="T26" s="311">
        <f t="shared" si="10"/>
        <v>41.969999999999992</v>
      </c>
      <c r="U26" s="311">
        <f t="shared" si="10"/>
        <v>5.34</v>
      </c>
      <c r="V26" s="311">
        <f t="shared" si="10"/>
        <v>15.42</v>
      </c>
      <c r="W26" s="311">
        <f t="shared" si="10"/>
        <v>1.6300000000000001</v>
      </c>
      <c r="X26" s="311">
        <f t="shared" si="10"/>
        <v>13.41</v>
      </c>
      <c r="Y26" s="311">
        <f t="shared" si="10"/>
        <v>2.4300000000000002</v>
      </c>
      <c r="Z26" s="311">
        <f t="shared" si="10"/>
        <v>743.13999999999965</v>
      </c>
      <c r="AA26" s="312">
        <f t="shared" si="1"/>
        <v>7.5027360140213106E-2</v>
      </c>
      <c r="AC26" s="311">
        <f t="shared" si="6"/>
        <v>662.93999999999983</v>
      </c>
      <c r="AD26" s="311">
        <f>SUM(T26:X26)</f>
        <v>77.769999999999982</v>
      </c>
      <c r="AE26" s="311">
        <f t="shared" si="2"/>
        <v>2.4300000000000002</v>
      </c>
      <c r="AF26" s="311">
        <f t="shared" si="3"/>
        <v>743.13999999999976</v>
      </c>
      <c r="AG26" s="312">
        <f t="shared" si="4"/>
        <v>0.10465053691094546</v>
      </c>
      <c r="AI26" s="210" t="s">
        <v>255</v>
      </c>
      <c r="AO26" s="310" t="s">
        <v>17</v>
      </c>
      <c r="AP26" s="343">
        <v>1001.1400000000001</v>
      </c>
      <c r="AQ26" s="343">
        <v>2479.6400000000003</v>
      </c>
      <c r="AR26" s="190">
        <f>AP26/AQ26</f>
        <v>0.40374409188430577</v>
      </c>
    </row>
    <row r="27" spans="1:44" x14ac:dyDescent="0.35">
      <c r="A27" s="6" t="s">
        <v>34</v>
      </c>
      <c r="B27" s="12">
        <v>22.169999999999998</v>
      </c>
      <c r="C27" s="12">
        <v>0.83</v>
      </c>
      <c r="D27" s="12">
        <v>0</v>
      </c>
      <c r="E27" s="12">
        <v>0</v>
      </c>
      <c r="F27" s="12">
        <v>0.36</v>
      </c>
      <c r="G27" s="12">
        <v>0</v>
      </c>
      <c r="H27" s="12">
        <v>3.5700000000000003</v>
      </c>
      <c r="I27" s="12">
        <v>0</v>
      </c>
      <c r="J27" s="12">
        <v>0</v>
      </c>
      <c r="K27" s="12">
        <v>0</v>
      </c>
      <c r="L27" s="12">
        <v>0.45</v>
      </c>
      <c r="M27" s="12">
        <v>1.1399999999999999</v>
      </c>
      <c r="N27" s="12">
        <v>0</v>
      </c>
      <c r="O27" s="12">
        <v>0.05</v>
      </c>
      <c r="P27" s="12">
        <v>0</v>
      </c>
      <c r="Q27" s="12">
        <v>0.61</v>
      </c>
      <c r="R27" s="12">
        <v>2.68</v>
      </c>
      <c r="S27" s="12">
        <v>0.97</v>
      </c>
      <c r="T27" s="12">
        <v>2.3200000000000003</v>
      </c>
      <c r="U27" s="12">
        <v>1.28</v>
      </c>
      <c r="V27" s="12">
        <v>0</v>
      </c>
      <c r="W27" s="12">
        <v>0</v>
      </c>
      <c r="X27" s="12">
        <v>0</v>
      </c>
      <c r="Y27" s="12">
        <v>0.59</v>
      </c>
      <c r="Z27" s="12">
        <f t="shared" si="5"/>
        <v>37.020000000000003</v>
      </c>
      <c r="AA27" s="208">
        <f t="shared" si="1"/>
        <v>3.7375364970136057E-3</v>
      </c>
      <c r="AC27" s="209">
        <f t="shared" si="6"/>
        <v>32.83</v>
      </c>
      <c r="AD27" s="209">
        <f t="shared" si="9"/>
        <v>3.6000000000000005</v>
      </c>
      <c r="AE27" s="209">
        <f t="shared" si="2"/>
        <v>0.59</v>
      </c>
      <c r="AF27" s="209">
        <f t="shared" si="3"/>
        <v>37.020000000000003</v>
      </c>
      <c r="AG27" s="208">
        <f t="shared" si="4"/>
        <v>9.7244732576985418E-2</v>
      </c>
      <c r="AJ27" t="s">
        <v>256</v>
      </c>
      <c r="AK27" t="s">
        <v>96</v>
      </c>
      <c r="AL27" t="s">
        <v>257</v>
      </c>
      <c r="AO27" s="310" t="s">
        <v>12</v>
      </c>
      <c r="AP27" s="343">
        <v>764.39999999999986</v>
      </c>
      <c r="AQ27" s="343">
        <v>1280.2299999999998</v>
      </c>
      <c r="AR27" s="190">
        <f>AP27/AQ27</f>
        <v>0.59708021214937945</v>
      </c>
    </row>
    <row r="28" spans="1:44" x14ac:dyDescent="0.35">
      <c r="A28" s="6" t="s">
        <v>61</v>
      </c>
      <c r="B28" s="12">
        <v>55.940000000000005</v>
      </c>
      <c r="C28" s="12">
        <v>3.93</v>
      </c>
      <c r="D28" s="12">
        <v>0.44</v>
      </c>
      <c r="E28" s="12">
        <v>0.38</v>
      </c>
      <c r="F28" s="12">
        <v>0.65</v>
      </c>
      <c r="G28" s="12">
        <v>2.0500000000000003</v>
      </c>
      <c r="H28" s="12">
        <v>2.77</v>
      </c>
      <c r="I28" s="12">
        <v>0.15</v>
      </c>
      <c r="J28" s="12">
        <v>0.19</v>
      </c>
      <c r="K28" s="12">
        <v>0.65</v>
      </c>
      <c r="L28" s="12">
        <v>7.29</v>
      </c>
      <c r="M28" s="12">
        <v>1.6</v>
      </c>
      <c r="N28" s="12">
        <v>1.25</v>
      </c>
      <c r="O28" s="12">
        <v>7.6099999999999994</v>
      </c>
      <c r="P28" s="12">
        <v>29.14</v>
      </c>
      <c r="Q28" s="12">
        <v>5.67</v>
      </c>
      <c r="R28" s="12">
        <v>4.53</v>
      </c>
      <c r="S28" s="12">
        <v>12.620000000000001</v>
      </c>
      <c r="T28" s="12">
        <v>6.83</v>
      </c>
      <c r="U28" s="12">
        <v>2.1800000000000002</v>
      </c>
      <c r="V28" s="12">
        <v>0.48</v>
      </c>
      <c r="W28" s="12">
        <v>7.0000000000000007E-2</v>
      </c>
      <c r="X28" s="12">
        <v>1.02</v>
      </c>
      <c r="Y28" s="12">
        <v>1.18</v>
      </c>
      <c r="Z28" s="12">
        <f t="shared" si="5"/>
        <v>148.62000000000003</v>
      </c>
      <c r="AA28" s="208">
        <f t="shared" si="1"/>
        <v>1.5004664348626746E-2</v>
      </c>
      <c r="AC28" s="209">
        <f t="shared" si="6"/>
        <v>136.86000000000001</v>
      </c>
      <c r="AD28" s="209">
        <f t="shared" si="9"/>
        <v>10.58</v>
      </c>
      <c r="AE28" s="209">
        <f t="shared" si="2"/>
        <v>1.18</v>
      </c>
      <c r="AF28" s="209">
        <f t="shared" si="3"/>
        <v>148.62000000000003</v>
      </c>
      <c r="AG28" s="208">
        <f t="shared" si="4"/>
        <v>7.1188265374781304E-2</v>
      </c>
      <c r="AI28" s="6" t="s">
        <v>56</v>
      </c>
      <c r="AJ28" s="209">
        <v>569.88</v>
      </c>
      <c r="AK28" s="209">
        <v>1465.69</v>
      </c>
      <c r="AL28" s="382">
        <f>AJ28/AK28</f>
        <v>0.38881345987214211</v>
      </c>
      <c r="AO28" s="310" t="s">
        <v>15</v>
      </c>
      <c r="AP28" s="343">
        <v>528.56999999999994</v>
      </c>
      <c r="AQ28" s="343">
        <v>1914.6299999999999</v>
      </c>
      <c r="AR28" s="190">
        <f t="shared" ref="AR28:AR31" si="11">AP28/AQ28</f>
        <v>0.2760690054997571</v>
      </c>
    </row>
    <row r="29" spans="1:44" x14ac:dyDescent="0.35">
      <c r="A29" s="6" t="s">
        <v>36</v>
      </c>
      <c r="B29" s="12">
        <v>407.7199999999998</v>
      </c>
      <c r="C29" s="12">
        <v>14.200000000000001</v>
      </c>
      <c r="D29" s="12">
        <v>0</v>
      </c>
      <c r="E29" s="12">
        <v>5.03</v>
      </c>
      <c r="F29" s="12">
        <v>7.3</v>
      </c>
      <c r="G29" s="12">
        <v>6.4899999999999993</v>
      </c>
      <c r="H29" s="12">
        <v>2.13</v>
      </c>
      <c r="I29" s="12">
        <v>1.45</v>
      </c>
      <c r="J29" s="12">
        <v>4.18</v>
      </c>
      <c r="K29" s="12">
        <v>0.23</v>
      </c>
      <c r="L29" s="12">
        <v>4.09</v>
      </c>
      <c r="M29" s="12">
        <v>6.15</v>
      </c>
      <c r="N29" s="12">
        <v>4.0599999999999996</v>
      </c>
      <c r="O29" s="12">
        <v>4.55</v>
      </c>
      <c r="P29" s="12">
        <v>1.72</v>
      </c>
      <c r="Q29" s="12">
        <v>9.49</v>
      </c>
      <c r="R29" s="12">
        <v>8.5699999999999985</v>
      </c>
      <c r="S29" s="12">
        <v>5.8900000000000006</v>
      </c>
      <c r="T29" s="12">
        <v>32.819999999999993</v>
      </c>
      <c r="U29" s="12">
        <v>1.8800000000000003</v>
      </c>
      <c r="V29" s="12">
        <v>14.94</v>
      </c>
      <c r="W29" s="12">
        <v>1.56</v>
      </c>
      <c r="X29" s="12">
        <v>12.39</v>
      </c>
      <c r="Y29" s="12">
        <v>0.66</v>
      </c>
      <c r="Z29" s="12">
        <f t="shared" si="5"/>
        <v>557.49999999999966</v>
      </c>
      <c r="AA29" s="208">
        <f t="shared" si="1"/>
        <v>5.6285159294572763E-2</v>
      </c>
      <c r="AC29" s="209">
        <f t="shared" si="6"/>
        <v>493.24999999999977</v>
      </c>
      <c r="AD29" s="209">
        <f t="shared" si="9"/>
        <v>63.589999999999996</v>
      </c>
      <c r="AE29" s="209">
        <f t="shared" si="2"/>
        <v>0.66</v>
      </c>
      <c r="AF29" s="209">
        <f t="shared" si="3"/>
        <v>557.49999999999977</v>
      </c>
      <c r="AG29" s="208">
        <f t="shared" si="4"/>
        <v>0.11406278026905833</v>
      </c>
      <c r="AI29" s="6" t="s">
        <v>31</v>
      </c>
      <c r="AJ29" s="209">
        <v>498.45</v>
      </c>
      <c r="AK29" s="209">
        <v>798.89</v>
      </c>
      <c r="AL29" s="382">
        <f t="shared" ref="AL29:AL66" si="12">AJ29/AK29</f>
        <v>0.62392820037802454</v>
      </c>
      <c r="AO29" s="310" t="s">
        <v>5</v>
      </c>
      <c r="AP29" s="343">
        <v>346.57</v>
      </c>
      <c r="AQ29" s="343">
        <v>1055.6199999999999</v>
      </c>
      <c r="AR29" s="190">
        <f t="shared" si="11"/>
        <v>0.3283094295295656</v>
      </c>
    </row>
    <row r="30" spans="1:44" x14ac:dyDescent="0.35">
      <c r="A30" s="310" t="s">
        <v>16</v>
      </c>
      <c r="B30" s="311">
        <f>SUM(B31:B39)</f>
        <v>70.77</v>
      </c>
      <c r="C30" s="311">
        <f t="shared" ref="C30:Z30" si="13">SUM(C31:C39)</f>
        <v>22.979999999999997</v>
      </c>
      <c r="D30" s="311">
        <f t="shared" si="13"/>
        <v>1.2799999999999998</v>
      </c>
      <c r="E30" s="311">
        <f t="shared" si="13"/>
        <v>3.54</v>
      </c>
      <c r="F30" s="311">
        <f t="shared" si="13"/>
        <v>1.35</v>
      </c>
      <c r="G30" s="311">
        <f t="shared" si="13"/>
        <v>23.950000000000003</v>
      </c>
      <c r="H30" s="311">
        <f t="shared" si="13"/>
        <v>10.469999999999999</v>
      </c>
      <c r="I30" s="311">
        <f t="shared" si="13"/>
        <v>2.46</v>
      </c>
      <c r="J30" s="311">
        <f t="shared" si="13"/>
        <v>23.5</v>
      </c>
      <c r="K30" s="311">
        <f t="shared" si="13"/>
        <v>35.120000000000005</v>
      </c>
      <c r="L30" s="311">
        <f t="shared" si="13"/>
        <v>27.020000000000003</v>
      </c>
      <c r="M30" s="311">
        <f t="shared" si="13"/>
        <v>32.75</v>
      </c>
      <c r="N30" s="311">
        <f t="shared" si="13"/>
        <v>10.25</v>
      </c>
      <c r="O30" s="311">
        <f t="shared" si="13"/>
        <v>12.03</v>
      </c>
      <c r="P30" s="311">
        <f t="shared" si="13"/>
        <v>4.05</v>
      </c>
      <c r="Q30" s="311">
        <f t="shared" si="13"/>
        <v>18.98</v>
      </c>
      <c r="R30" s="311">
        <f t="shared" si="13"/>
        <v>26.720000000000002</v>
      </c>
      <c r="S30" s="311">
        <f t="shared" si="13"/>
        <v>34.06</v>
      </c>
      <c r="T30" s="311">
        <f t="shared" si="13"/>
        <v>22.1</v>
      </c>
      <c r="U30" s="311">
        <f t="shared" si="13"/>
        <v>60.26</v>
      </c>
      <c r="V30" s="311">
        <f t="shared" si="13"/>
        <v>27.479999999999997</v>
      </c>
      <c r="W30" s="311">
        <f t="shared" si="13"/>
        <v>49.35</v>
      </c>
      <c r="X30" s="311">
        <f t="shared" si="13"/>
        <v>50.91</v>
      </c>
      <c r="Y30" s="311">
        <f t="shared" si="13"/>
        <v>3.33</v>
      </c>
      <c r="Z30" s="311">
        <f t="shared" si="13"/>
        <v>574.71</v>
      </c>
      <c r="AA30" s="312">
        <f t="shared" si="1"/>
        <v>5.8022679637998092E-2</v>
      </c>
      <c r="AC30" s="311">
        <f t="shared" si="6"/>
        <v>361.28000000000009</v>
      </c>
      <c r="AD30" s="311">
        <f>SUM(T30:X30)</f>
        <v>210.1</v>
      </c>
      <c r="AE30" s="311">
        <f t="shared" si="2"/>
        <v>3.33</v>
      </c>
      <c r="AF30" s="311">
        <f t="shared" si="3"/>
        <v>574.71000000000015</v>
      </c>
      <c r="AG30" s="312">
        <f t="shared" si="4"/>
        <v>0.36557568164813548</v>
      </c>
      <c r="AI30" s="6" t="s">
        <v>55</v>
      </c>
      <c r="AJ30" s="209">
        <v>431.26</v>
      </c>
      <c r="AK30" s="209">
        <v>1013.9499999999999</v>
      </c>
      <c r="AL30" s="382">
        <f t="shared" si="12"/>
        <v>0.42532669263770406</v>
      </c>
      <c r="AO30" s="310" t="s">
        <v>16</v>
      </c>
      <c r="AP30" s="343">
        <v>210.1</v>
      </c>
      <c r="AQ30" s="343">
        <v>574.71000000000015</v>
      </c>
      <c r="AR30" s="190">
        <f t="shared" si="11"/>
        <v>0.36557568164813548</v>
      </c>
    </row>
    <row r="31" spans="1:44" x14ac:dyDescent="0.35">
      <c r="A31" s="6" t="s">
        <v>46</v>
      </c>
      <c r="B31" s="12">
        <v>1.79</v>
      </c>
      <c r="C31" s="12">
        <v>0</v>
      </c>
      <c r="D31" s="12">
        <v>0</v>
      </c>
      <c r="E31" s="12">
        <v>0</v>
      </c>
      <c r="F31" s="12">
        <v>0</v>
      </c>
      <c r="G31" s="12">
        <v>0</v>
      </c>
      <c r="H31" s="12">
        <v>0</v>
      </c>
      <c r="I31" s="12">
        <v>0</v>
      </c>
      <c r="J31" s="12">
        <v>0.66</v>
      </c>
      <c r="K31" s="12">
        <v>0</v>
      </c>
      <c r="L31" s="12">
        <v>0</v>
      </c>
      <c r="M31" s="12">
        <v>0.22</v>
      </c>
      <c r="N31" s="12">
        <v>0</v>
      </c>
      <c r="O31" s="12">
        <v>0</v>
      </c>
      <c r="P31" s="12">
        <v>0</v>
      </c>
      <c r="Q31" s="12">
        <v>0</v>
      </c>
      <c r="R31" s="12">
        <v>0.14000000000000001</v>
      </c>
      <c r="S31" s="12">
        <v>0</v>
      </c>
      <c r="T31" s="12">
        <v>0</v>
      </c>
      <c r="U31" s="12">
        <v>0.41</v>
      </c>
      <c r="V31" s="12">
        <v>0</v>
      </c>
      <c r="W31" s="12">
        <v>0</v>
      </c>
      <c r="X31" s="12">
        <v>0</v>
      </c>
      <c r="Y31" s="12">
        <v>0.36</v>
      </c>
      <c r="Z31" s="12">
        <f t="shared" si="5"/>
        <v>3.5800000000000005</v>
      </c>
      <c r="AA31" s="208">
        <f t="shared" si="1"/>
        <v>3.6143653860909534E-4</v>
      </c>
      <c r="AC31" s="209">
        <f t="shared" si="6"/>
        <v>2.8100000000000005</v>
      </c>
      <c r="AD31" s="209">
        <f t="shared" si="9"/>
        <v>0.41</v>
      </c>
      <c r="AE31" s="209">
        <f t="shared" si="2"/>
        <v>0.36</v>
      </c>
      <c r="AF31" s="209">
        <f t="shared" si="3"/>
        <v>3.5800000000000005</v>
      </c>
      <c r="AG31" s="208">
        <f t="shared" si="4"/>
        <v>0.11452513966480445</v>
      </c>
      <c r="AI31" s="6" t="s">
        <v>41</v>
      </c>
      <c r="AJ31" s="209">
        <v>254.94</v>
      </c>
      <c r="AK31" s="209">
        <v>983.81999999999994</v>
      </c>
      <c r="AL31" s="382">
        <f t="shared" si="12"/>
        <v>0.25913276818930292</v>
      </c>
      <c r="AO31" s="310" t="s">
        <v>14</v>
      </c>
      <c r="AP31" s="343">
        <v>192.95999999999998</v>
      </c>
      <c r="AQ31" s="343">
        <v>1137.2299999999998</v>
      </c>
      <c r="AR31" s="190">
        <f t="shared" si="11"/>
        <v>0.16967543944496716</v>
      </c>
    </row>
    <row r="32" spans="1:44" x14ac:dyDescent="0.35">
      <c r="A32" s="6" t="s">
        <v>47</v>
      </c>
      <c r="B32" s="12">
        <v>63.959999999999994</v>
      </c>
      <c r="C32" s="12">
        <v>14.399999999999999</v>
      </c>
      <c r="D32" s="12">
        <v>1.0699999999999998</v>
      </c>
      <c r="E32" s="12">
        <v>2.73</v>
      </c>
      <c r="F32" s="12">
        <v>1.21</v>
      </c>
      <c r="G32" s="12">
        <v>2.0300000000000002</v>
      </c>
      <c r="H32" s="12">
        <v>8.4600000000000009</v>
      </c>
      <c r="I32" s="12">
        <v>2.35</v>
      </c>
      <c r="J32" s="12">
        <v>2.0999999999999996</v>
      </c>
      <c r="K32" s="12">
        <v>6.11</v>
      </c>
      <c r="L32" s="12">
        <v>10.24</v>
      </c>
      <c r="M32" s="12">
        <v>4.24</v>
      </c>
      <c r="N32" s="12">
        <v>4.7699999999999996</v>
      </c>
      <c r="O32" s="12">
        <v>4.66</v>
      </c>
      <c r="P32" s="12">
        <v>1.9000000000000001</v>
      </c>
      <c r="Q32" s="12">
        <v>18.420000000000002</v>
      </c>
      <c r="R32" s="12">
        <v>11.19</v>
      </c>
      <c r="S32" s="12">
        <v>3.79</v>
      </c>
      <c r="T32" s="12">
        <v>2.76</v>
      </c>
      <c r="U32" s="12">
        <v>6.0600000000000005</v>
      </c>
      <c r="V32" s="12">
        <v>9.7199999999999989</v>
      </c>
      <c r="W32" s="12">
        <v>3.1400000000000006</v>
      </c>
      <c r="X32" s="12">
        <v>0.56000000000000005</v>
      </c>
      <c r="Y32" s="12">
        <v>0.46</v>
      </c>
      <c r="Z32" s="12">
        <f t="shared" si="5"/>
        <v>186.32999999999996</v>
      </c>
      <c r="AA32" s="208">
        <f t="shared" si="1"/>
        <v>1.8811863195260532E-2</v>
      </c>
      <c r="AC32" s="209">
        <f t="shared" si="6"/>
        <v>163.62999999999997</v>
      </c>
      <c r="AD32" s="209">
        <f t="shared" si="9"/>
        <v>22.24</v>
      </c>
      <c r="AE32" s="209">
        <f t="shared" si="2"/>
        <v>0.46</v>
      </c>
      <c r="AF32" s="209">
        <f t="shared" si="3"/>
        <v>186.32999999999998</v>
      </c>
      <c r="AG32" s="208">
        <f t="shared" si="4"/>
        <v>0.11935812805238019</v>
      </c>
      <c r="AI32" s="6" t="s">
        <v>33</v>
      </c>
      <c r="AJ32" s="209">
        <v>234.16</v>
      </c>
      <c r="AK32" s="209">
        <v>328.97999999999996</v>
      </c>
      <c r="AL32" s="382">
        <f t="shared" si="12"/>
        <v>0.71177579184144946</v>
      </c>
    </row>
    <row r="33" spans="1:38" x14ac:dyDescent="0.35">
      <c r="A33" s="6" t="s">
        <v>48</v>
      </c>
      <c r="B33" s="12">
        <v>0.25</v>
      </c>
      <c r="C33" s="12">
        <v>1.52</v>
      </c>
      <c r="D33" s="12">
        <v>0</v>
      </c>
      <c r="E33" s="12">
        <v>0</v>
      </c>
      <c r="F33" s="12">
        <v>0</v>
      </c>
      <c r="G33" s="12">
        <v>0</v>
      </c>
      <c r="H33" s="12">
        <v>1.1099999999999999</v>
      </c>
      <c r="I33" s="12">
        <v>0</v>
      </c>
      <c r="J33" s="12">
        <v>0</v>
      </c>
      <c r="K33" s="12">
        <v>1.1200000000000001</v>
      </c>
      <c r="L33" s="12">
        <v>0.61</v>
      </c>
      <c r="M33" s="12">
        <v>1.74</v>
      </c>
      <c r="N33" s="12">
        <v>0</v>
      </c>
      <c r="O33" s="12">
        <v>0.06</v>
      </c>
      <c r="P33" s="12">
        <v>0</v>
      </c>
      <c r="Q33" s="12">
        <v>0.28999999999999998</v>
      </c>
      <c r="R33" s="12">
        <v>8.16</v>
      </c>
      <c r="S33" s="12">
        <v>0.05</v>
      </c>
      <c r="T33" s="12">
        <v>0</v>
      </c>
      <c r="U33" s="12">
        <v>15.84</v>
      </c>
      <c r="V33" s="12">
        <v>2.6</v>
      </c>
      <c r="W33" s="12">
        <v>4.72</v>
      </c>
      <c r="X33" s="12">
        <v>0</v>
      </c>
      <c r="Y33" s="12">
        <v>0.01</v>
      </c>
      <c r="Z33" s="12">
        <f t="shared" si="5"/>
        <v>38.08</v>
      </c>
      <c r="AA33" s="208">
        <f t="shared" si="1"/>
        <v>3.844554019618533E-3</v>
      </c>
      <c r="AC33" s="209">
        <f t="shared" si="6"/>
        <v>14.91</v>
      </c>
      <c r="AD33" s="209">
        <f t="shared" si="9"/>
        <v>23.16</v>
      </c>
      <c r="AE33" s="209">
        <f t="shared" si="2"/>
        <v>0.01</v>
      </c>
      <c r="AF33" s="209">
        <f t="shared" si="3"/>
        <v>38.08</v>
      </c>
      <c r="AG33" s="208">
        <f t="shared" si="4"/>
        <v>0.60819327731092443</v>
      </c>
      <c r="AI33" s="6" t="s">
        <v>39</v>
      </c>
      <c r="AJ33" s="209">
        <v>146.01999999999998</v>
      </c>
      <c r="AK33" s="209">
        <v>566.77999999999986</v>
      </c>
      <c r="AL33" s="382">
        <f t="shared" si="12"/>
        <v>0.25763082677582133</v>
      </c>
    </row>
    <row r="34" spans="1:38" x14ac:dyDescent="0.35">
      <c r="A34" s="6" t="s">
        <v>49</v>
      </c>
      <c r="B34" s="12">
        <v>0.74</v>
      </c>
      <c r="C34" s="12">
        <v>0.65</v>
      </c>
      <c r="D34" s="12">
        <v>0.21</v>
      </c>
      <c r="E34" s="12">
        <v>0</v>
      </c>
      <c r="F34" s="12">
        <v>0</v>
      </c>
      <c r="G34" s="12">
        <v>0</v>
      </c>
      <c r="H34" s="12">
        <v>0.19</v>
      </c>
      <c r="I34" s="12">
        <v>0</v>
      </c>
      <c r="J34" s="12">
        <v>0</v>
      </c>
      <c r="K34" s="12">
        <v>0.98</v>
      </c>
      <c r="L34" s="12">
        <v>0.72</v>
      </c>
      <c r="M34" s="12">
        <v>0.74</v>
      </c>
      <c r="N34" s="12">
        <v>0</v>
      </c>
      <c r="O34" s="12">
        <v>0</v>
      </c>
      <c r="P34" s="12">
        <v>2.15</v>
      </c>
      <c r="Q34" s="12">
        <v>0.21</v>
      </c>
      <c r="R34" s="12">
        <v>2.11</v>
      </c>
      <c r="S34" s="12">
        <v>0.51</v>
      </c>
      <c r="T34" s="12">
        <v>3.49</v>
      </c>
      <c r="U34" s="12">
        <v>3.33</v>
      </c>
      <c r="V34" s="12">
        <v>3.37</v>
      </c>
      <c r="W34" s="12">
        <v>0</v>
      </c>
      <c r="X34" s="12">
        <v>2.4</v>
      </c>
      <c r="Y34" s="12">
        <v>1.27</v>
      </c>
      <c r="Z34" s="12">
        <f t="shared" si="5"/>
        <v>23.07</v>
      </c>
      <c r="AA34" s="208">
        <f t="shared" si="1"/>
        <v>2.3291455155619633E-3</v>
      </c>
      <c r="AC34" s="209">
        <f t="shared" si="6"/>
        <v>9.2100000000000009</v>
      </c>
      <c r="AD34" s="209">
        <f t="shared" si="9"/>
        <v>12.590000000000002</v>
      </c>
      <c r="AE34" s="209">
        <f t="shared" si="2"/>
        <v>1.27</v>
      </c>
      <c r="AF34" s="209">
        <f t="shared" si="3"/>
        <v>23.070000000000004</v>
      </c>
      <c r="AG34" s="208">
        <f t="shared" si="4"/>
        <v>0.54573038578240141</v>
      </c>
      <c r="AI34" s="6" t="s">
        <v>30</v>
      </c>
      <c r="AJ34" s="209">
        <v>144.57</v>
      </c>
      <c r="AK34" s="209">
        <v>163.01</v>
      </c>
      <c r="AL34" s="382">
        <f t="shared" si="12"/>
        <v>0.88687810563769098</v>
      </c>
    </row>
    <row r="35" spans="1:38" x14ac:dyDescent="0.35">
      <c r="A35" s="6" t="s">
        <v>50</v>
      </c>
      <c r="B35" s="12">
        <v>0.17</v>
      </c>
      <c r="C35" s="12">
        <v>0</v>
      </c>
      <c r="D35" s="12">
        <v>0</v>
      </c>
      <c r="E35" s="12">
        <v>0</v>
      </c>
      <c r="F35" s="12">
        <v>0</v>
      </c>
      <c r="G35" s="12">
        <v>0</v>
      </c>
      <c r="H35" s="12">
        <v>0</v>
      </c>
      <c r="I35" s="12">
        <v>0</v>
      </c>
      <c r="J35" s="12">
        <v>0.11</v>
      </c>
      <c r="K35" s="12">
        <v>0.79</v>
      </c>
      <c r="L35" s="12">
        <v>0</v>
      </c>
      <c r="M35" s="12">
        <v>0</v>
      </c>
      <c r="N35" s="12">
        <v>0</v>
      </c>
      <c r="O35" s="12">
        <v>0</v>
      </c>
      <c r="P35" s="12">
        <v>0</v>
      </c>
      <c r="Q35" s="12">
        <v>0</v>
      </c>
      <c r="R35" s="12">
        <v>1.1599999999999999</v>
      </c>
      <c r="S35" s="12">
        <v>0</v>
      </c>
      <c r="T35" s="12">
        <v>0</v>
      </c>
      <c r="U35" s="12">
        <v>0</v>
      </c>
      <c r="V35" s="12">
        <v>0.36</v>
      </c>
      <c r="W35" s="12">
        <v>0</v>
      </c>
      <c r="X35" s="12">
        <v>3.3</v>
      </c>
      <c r="Y35" s="12">
        <v>0</v>
      </c>
      <c r="Z35" s="12">
        <f t="shared" si="5"/>
        <v>5.89</v>
      </c>
      <c r="AA35" s="208">
        <f t="shared" si="1"/>
        <v>5.9465396994624886E-4</v>
      </c>
      <c r="AC35" s="209">
        <f t="shared" si="6"/>
        <v>2.23</v>
      </c>
      <c r="AD35" s="209">
        <f t="shared" si="9"/>
        <v>3.6599999999999997</v>
      </c>
      <c r="AE35" s="209">
        <f t="shared" si="2"/>
        <v>0</v>
      </c>
      <c r="AF35" s="209">
        <f t="shared" si="3"/>
        <v>5.89</v>
      </c>
      <c r="AG35" s="208">
        <f t="shared" si="4"/>
        <v>0.62139219015280134</v>
      </c>
      <c r="AI35" s="6" t="s">
        <v>42</v>
      </c>
      <c r="AJ35" s="209">
        <v>104.58</v>
      </c>
      <c r="AK35" s="209">
        <v>262.94</v>
      </c>
      <c r="AL35" s="382">
        <f t="shared" si="12"/>
        <v>0.39773332319160265</v>
      </c>
    </row>
    <row r="36" spans="1:38" x14ac:dyDescent="0.35">
      <c r="A36" s="6" t="s">
        <v>51</v>
      </c>
      <c r="B36" s="12">
        <v>0</v>
      </c>
      <c r="C36" s="12">
        <v>0</v>
      </c>
      <c r="D36" s="12">
        <v>0</v>
      </c>
      <c r="E36" s="12">
        <v>0</v>
      </c>
      <c r="F36" s="12">
        <v>0</v>
      </c>
      <c r="G36" s="12">
        <v>0</v>
      </c>
      <c r="H36" s="12">
        <v>0.09</v>
      </c>
      <c r="I36" s="12">
        <v>0</v>
      </c>
      <c r="J36" s="12">
        <v>0</v>
      </c>
      <c r="K36" s="12">
        <v>0.5</v>
      </c>
      <c r="L36" s="12">
        <v>0</v>
      </c>
      <c r="M36" s="12">
        <v>0</v>
      </c>
      <c r="N36" s="12">
        <v>0</v>
      </c>
      <c r="O36" s="12">
        <v>0</v>
      </c>
      <c r="P36" s="12">
        <v>0</v>
      </c>
      <c r="Q36" s="12">
        <v>0</v>
      </c>
      <c r="R36" s="12">
        <v>0</v>
      </c>
      <c r="S36" s="12">
        <v>0.95</v>
      </c>
      <c r="T36" s="12">
        <v>0</v>
      </c>
      <c r="U36" s="12">
        <v>0</v>
      </c>
      <c r="V36" s="12">
        <v>0</v>
      </c>
      <c r="W36" s="12">
        <v>0</v>
      </c>
      <c r="X36" s="12">
        <v>0</v>
      </c>
      <c r="Y36" s="12">
        <v>0</v>
      </c>
      <c r="Z36" s="12">
        <f t="shared" si="5"/>
        <v>1.54</v>
      </c>
      <c r="AA36" s="208">
        <f t="shared" si="1"/>
        <v>1.5547828755810243E-4</v>
      </c>
      <c r="AC36" s="209">
        <f t="shared" si="6"/>
        <v>1.54</v>
      </c>
      <c r="AD36" s="209">
        <f t="shared" si="9"/>
        <v>0</v>
      </c>
      <c r="AE36" s="209">
        <f t="shared" si="2"/>
        <v>0</v>
      </c>
      <c r="AF36" s="209">
        <f t="shared" si="3"/>
        <v>1.54</v>
      </c>
      <c r="AG36" s="208">
        <f t="shared" si="4"/>
        <v>0</v>
      </c>
      <c r="AI36" s="6" t="s">
        <v>26</v>
      </c>
      <c r="AJ36" s="209">
        <v>93.09</v>
      </c>
      <c r="AK36" s="209">
        <v>396.09000000000003</v>
      </c>
      <c r="AL36" s="382">
        <f t="shared" si="12"/>
        <v>0.23502234340680148</v>
      </c>
    </row>
    <row r="37" spans="1:38" x14ac:dyDescent="0.35">
      <c r="A37" s="6" t="s">
        <v>52</v>
      </c>
      <c r="B37" s="12">
        <v>2.52</v>
      </c>
      <c r="C37" s="12">
        <v>0.48</v>
      </c>
      <c r="D37" s="12">
        <v>0</v>
      </c>
      <c r="E37" s="12">
        <v>0</v>
      </c>
      <c r="F37" s="12">
        <v>0</v>
      </c>
      <c r="G37" s="12">
        <v>0.21</v>
      </c>
      <c r="H37" s="12">
        <v>0.18</v>
      </c>
      <c r="I37" s="12">
        <v>0.11</v>
      </c>
      <c r="J37" s="12">
        <v>0</v>
      </c>
      <c r="K37" s="12">
        <v>0.38</v>
      </c>
      <c r="L37" s="12">
        <v>0.19</v>
      </c>
      <c r="M37" s="12">
        <v>0</v>
      </c>
      <c r="N37" s="12">
        <v>0.08</v>
      </c>
      <c r="O37" s="12">
        <v>0</v>
      </c>
      <c r="P37" s="12">
        <v>0</v>
      </c>
      <c r="Q37" s="12">
        <v>0</v>
      </c>
      <c r="R37" s="12">
        <v>0.87</v>
      </c>
      <c r="S37" s="12">
        <v>0.13</v>
      </c>
      <c r="T37" s="12">
        <v>0</v>
      </c>
      <c r="U37" s="12">
        <v>0</v>
      </c>
      <c r="V37" s="12">
        <v>0</v>
      </c>
      <c r="W37" s="12">
        <v>0.22</v>
      </c>
      <c r="X37" s="12">
        <v>0.04</v>
      </c>
      <c r="Y37" s="12">
        <v>0</v>
      </c>
      <c r="Z37" s="12">
        <f t="shared" si="5"/>
        <v>5.41</v>
      </c>
      <c r="AA37" s="208">
        <f t="shared" si="1"/>
        <v>5.4619320499307421E-4</v>
      </c>
      <c r="AC37" s="209">
        <f t="shared" si="6"/>
        <v>5.15</v>
      </c>
      <c r="AD37" s="209">
        <f t="shared" si="9"/>
        <v>0.26</v>
      </c>
      <c r="AE37" s="209">
        <f t="shared" si="2"/>
        <v>0</v>
      </c>
      <c r="AF37" s="209">
        <f t="shared" si="3"/>
        <v>5.41</v>
      </c>
      <c r="AG37" s="208">
        <f t="shared" si="4"/>
        <v>4.8059149722735672E-2</v>
      </c>
      <c r="AI37" s="6" t="s">
        <v>45</v>
      </c>
      <c r="AJ37" s="209">
        <v>89.710000000000008</v>
      </c>
      <c r="AK37" s="209">
        <v>347.12</v>
      </c>
      <c r="AL37" s="382">
        <f t="shared" si="12"/>
        <v>0.258440884996543</v>
      </c>
    </row>
    <row r="38" spans="1:38" x14ac:dyDescent="0.35">
      <c r="A38" s="6" t="s">
        <v>53</v>
      </c>
      <c r="B38" s="12">
        <v>0.98</v>
      </c>
      <c r="C38" s="12">
        <v>1.47</v>
      </c>
      <c r="D38" s="12">
        <v>0</v>
      </c>
      <c r="E38" s="12">
        <v>0.80999999999999994</v>
      </c>
      <c r="F38" s="12">
        <v>0.14000000000000001</v>
      </c>
      <c r="G38" s="12">
        <v>21.71</v>
      </c>
      <c r="H38" s="12">
        <v>0.28999999999999998</v>
      </c>
      <c r="I38" s="12">
        <v>0</v>
      </c>
      <c r="J38" s="12">
        <v>20.63</v>
      </c>
      <c r="K38" s="12">
        <v>25.240000000000002</v>
      </c>
      <c r="L38" s="12">
        <v>15.260000000000002</v>
      </c>
      <c r="M38" s="12">
        <v>25.67</v>
      </c>
      <c r="N38" s="12">
        <v>4.2</v>
      </c>
      <c r="O38" s="12">
        <v>6.6499999999999995</v>
      </c>
      <c r="P38" s="12">
        <v>0</v>
      </c>
      <c r="Q38" s="12">
        <v>0</v>
      </c>
      <c r="R38" s="12">
        <v>3.0900000000000003</v>
      </c>
      <c r="S38" s="12">
        <v>28.630000000000003</v>
      </c>
      <c r="T38" s="12">
        <v>15.430000000000001</v>
      </c>
      <c r="U38" s="12">
        <v>34.33</v>
      </c>
      <c r="V38" s="12">
        <v>7.54</v>
      </c>
      <c r="W38" s="12">
        <v>4.25</v>
      </c>
      <c r="X38" s="12">
        <v>0.17</v>
      </c>
      <c r="Y38" s="12">
        <v>1.23</v>
      </c>
      <c r="Z38" s="12">
        <f t="shared" si="5"/>
        <v>217.72</v>
      </c>
      <c r="AA38" s="208">
        <f t="shared" si="1"/>
        <v>2.1980995303344197E-2</v>
      </c>
      <c r="AC38" s="209">
        <f t="shared" si="6"/>
        <v>154.77000000000004</v>
      </c>
      <c r="AD38" s="209">
        <f t="shared" si="9"/>
        <v>61.72</v>
      </c>
      <c r="AE38" s="209">
        <f t="shared" si="2"/>
        <v>1.23</v>
      </c>
      <c r="AF38" s="209">
        <f t="shared" si="3"/>
        <v>217.72000000000003</v>
      </c>
      <c r="AG38" s="208">
        <f t="shared" si="4"/>
        <v>0.28348337313981259</v>
      </c>
      <c r="AI38" s="6" t="s">
        <v>54</v>
      </c>
      <c r="AJ38" s="209">
        <v>86.06</v>
      </c>
      <c r="AK38" s="209">
        <v>93.09</v>
      </c>
      <c r="AL38" s="382">
        <f t="shared" si="12"/>
        <v>0.92448168439144918</v>
      </c>
    </row>
    <row r="39" spans="1:38" x14ac:dyDescent="0.35">
      <c r="A39" s="6" t="s">
        <v>54</v>
      </c>
      <c r="B39" s="12">
        <v>0.36</v>
      </c>
      <c r="C39" s="12">
        <v>4.46</v>
      </c>
      <c r="D39" s="12">
        <v>0</v>
      </c>
      <c r="E39" s="12">
        <v>0</v>
      </c>
      <c r="F39" s="12">
        <v>0</v>
      </c>
      <c r="G39" s="12">
        <v>0</v>
      </c>
      <c r="H39" s="12">
        <v>0.15</v>
      </c>
      <c r="I39" s="12">
        <v>0</v>
      </c>
      <c r="J39" s="12">
        <v>0</v>
      </c>
      <c r="K39" s="12">
        <v>0</v>
      </c>
      <c r="L39" s="12">
        <v>0</v>
      </c>
      <c r="M39" s="12">
        <v>0.14000000000000001</v>
      </c>
      <c r="N39" s="12">
        <v>1.2</v>
      </c>
      <c r="O39" s="12">
        <v>0.66</v>
      </c>
      <c r="P39" s="12">
        <v>0</v>
      </c>
      <c r="Q39" s="12">
        <v>0.06</v>
      </c>
      <c r="R39" s="12">
        <v>0</v>
      </c>
      <c r="S39" s="12">
        <v>0</v>
      </c>
      <c r="T39" s="12">
        <v>0.42</v>
      </c>
      <c r="U39" s="12">
        <v>0.28999999999999998</v>
      </c>
      <c r="V39" s="12">
        <v>3.8899999999999997</v>
      </c>
      <c r="W39" s="12">
        <v>37.020000000000003</v>
      </c>
      <c r="X39" s="12">
        <v>44.44</v>
      </c>
      <c r="Y39" s="12">
        <v>0</v>
      </c>
      <c r="Z39" s="12">
        <f t="shared" si="5"/>
        <v>93.09</v>
      </c>
      <c r="AA39" s="208">
        <f t="shared" si="1"/>
        <v>9.3983596031063359E-3</v>
      </c>
      <c r="AC39" s="209">
        <f t="shared" si="6"/>
        <v>7.03</v>
      </c>
      <c r="AD39" s="209">
        <f t="shared" si="9"/>
        <v>86.06</v>
      </c>
      <c r="AE39" s="209">
        <f t="shared" si="2"/>
        <v>0</v>
      </c>
      <c r="AF39" s="209">
        <f t="shared" si="3"/>
        <v>93.09</v>
      </c>
      <c r="AG39" s="208">
        <f t="shared" si="4"/>
        <v>0.92448168439144918</v>
      </c>
      <c r="AI39" s="6" t="s">
        <v>36</v>
      </c>
      <c r="AJ39" s="209">
        <v>63.589999999999996</v>
      </c>
      <c r="AK39" s="209">
        <v>557.49999999999977</v>
      </c>
      <c r="AL39" s="382">
        <f t="shared" si="12"/>
        <v>0.11406278026905833</v>
      </c>
    </row>
    <row r="40" spans="1:38" x14ac:dyDescent="0.35">
      <c r="A40" s="310" t="s">
        <v>15</v>
      </c>
      <c r="B40" s="311">
        <f>SUM(B41:B45)</f>
        <v>330.99</v>
      </c>
      <c r="C40" s="311">
        <f t="shared" ref="C40:Z40" si="14">SUM(C41:C45)</f>
        <v>74.03</v>
      </c>
      <c r="D40" s="311">
        <f t="shared" si="14"/>
        <v>42.25</v>
      </c>
      <c r="E40" s="311">
        <f t="shared" si="14"/>
        <v>15.559999999999999</v>
      </c>
      <c r="F40" s="311">
        <f t="shared" si="14"/>
        <v>9.68</v>
      </c>
      <c r="G40" s="311">
        <f t="shared" si="14"/>
        <v>80.349999999999994</v>
      </c>
      <c r="H40" s="311">
        <f t="shared" si="14"/>
        <v>102.82</v>
      </c>
      <c r="I40" s="311">
        <f t="shared" si="14"/>
        <v>40.309999999999995</v>
      </c>
      <c r="J40" s="311">
        <f t="shared" si="14"/>
        <v>52.26</v>
      </c>
      <c r="K40" s="311">
        <f t="shared" si="14"/>
        <v>17.47</v>
      </c>
      <c r="L40" s="311">
        <f t="shared" si="14"/>
        <v>36.650000000000006</v>
      </c>
      <c r="M40" s="311">
        <f t="shared" si="14"/>
        <v>84.03</v>
      </c>
      <c r="N40" s="311">
        <f t="shared" si="14"/>
        <v>42.47</v>
      </c>
      <c r="O40" s="311">
        <f t="shared" si="14"/>
        <v>16.79</v>
      </c>
      <c r="P40" s="311">
        <f t="shared" si="14"/>
        <v>43.23</v>
      </c>
      <c r="Q40" s="311">
        <f t="shared" si="14"/>
        <v>60.97</v>
      </c>
      <c r="R40" s="311">
        <f t="shared" si="14"/>
        <v>188.65999999999997</v>
      </c>
      <c r="S40" s="311">
        <f t="shared" si="14"/>
        <v>143.20000000000002</v>
      </c>
      <c r="T40" s="311">
        <f t="shared" si="14"/>
        <v>136.10999999999999</v>
      </c>
      <c r="U40" s="311">
        <f t="shared" si="14"/>
        <v>115.30999999999999</v>
      </c>
      <c r="V40" s="311">
        <f t="shared" si="14"/>
        <v>77.490000000000009</v>
      </c>
      <c r="W40" s="311">
        <f t="shared" si="14"/>
        <v>79.190000000000012</v>
      </c>
      <c r="X40" s="311">
        <f t="shared" si="14"/>
        <v>120.47</v>
      </c>
      <c r="Y40" s="311">
        <f t="shared" si="14"/>
        <v>4.34</v>
      </c>
      <c r="Z40" s="311">
        <f t="shared" si="14"/>
        <v>1914.63</v>
      </c>
      <c r="AA40" s="312">
        <f t="shared" si="1"/>
        <v>0.1933009050047855</v>
      </c>
      <c r="AC40" s="311">
        <f t="shared" si="6"/>
        <v>1381.72</v>
      </c>
      <c r="AD40" s="311">
        <f>SUM(T40:X40)</f>
        <v>528.56999999999994</v>
      </c>
      <c r="AE40" s="311">
        <f t="shared" si="2"/>
        <v>4.34</v>
      </c>
      <c r="AF40" s="311">
        <f t="shared" si="3"/>
        <v>1914.6299999999999</v>
      </c>
      <c r="AG40" s="312">
        <f t="shared" si="4"/>
        <v>0.2760690054997571</v>
      </c>
      <c r="AI40" s="6" t="s">
        <v>53</v>
      </c>
      <c r="AJ40" s="209">
        <v>61.72</v>
      </c>
      <c r="AK40" s="209">
        <v>217.72000000000003</v>
      </c>
      <c r="AL40" s="382">
        <f t="shared" si="12"/>
        <v>0.28348337313981259</v>
      </c>
    </row>
    <row r="41" spans="1:38" x14ac:dyDescent="0.35">
      <c r="A41" s="6" t="s">
        <v>41</v>
      </c>
      <c r="B41" s="12">
        <v>185.47999999999996</v>
      </c>
      <c r="C41" s="12">
        <v>49.4</v>
      </c>
      <c r="D41" s="12">
        <v>25.650000000000002</v>
      </c>
      <c r="E41" s="12">
        <v>9.1699999999999982</v>
      </c>
      <c r="F41" s="12">
        <v>3.63</v>
      </c>
      <c r="G41" s="12">
        <v>20.96</v>
      </c>
      <c r="H41" s="12">
        <v>43.940000000000005</v>
      </c>
      <c r="I41" s="12">
        <v>24.199999999999996</v>
      </c>
      <c r="J41" s="12">
        <v>34.39</v>
      </c>
      <c r="K41" s="12">
        <v>9.5</v>
      </c>
      <c r="L41" s="12">
        <v>16.450000000000003</v>
      </c>
      <c r="M41" s="12">
        <v>40.18</v>
      </c>
      <c r="N41" s="12">
        <v>21.21</v>
      </c>
      <c r="O41" s="12">
        <v>3.7999999999999994</v>
      </c>
      <c r="P41" s="12">
        <v>14.16</v>
      </c>
      <c r="Q41" s="12">
        <v>26.459999999999997</v>
      </c>
      <c r="R41" s="12">
        <v>111.83999999999999</v>
      </c>
      <c r="S41" s="12">
        <v>86.730000000000018</v>
      </c>
      <c r="T41" s="12">
        <v>86.149999999999977</v>
      </c>
      <c r="U41" s="12">
        <v>56.27</v>
      </c>
      <c r="V41" s="12">
        <v>26.349999999999998</v>
      </c>
      <c r="W41" s="12">
        <v>33.690000000000005</v>
      </c>
      <c r="X41" s="12">
        <v>52.480000000000004</v>
      </c>
      <c r="Y41" s="12">
        <v>1.73</v>
      </c>
      <c r="Z41" s="12">
        <f t="shared" si="5"/>
        <v>983.82</v>
      </c>
      <c r="AA41" s="208">
        <f t="shared" si="1"/>
        <v>9.9326395367150877E-2</v>
      </c>
      <c r="AC41" s="209">
        <f t="shared" si="6"/>
        <v>727.15</v>
      </c>
      <c r="AD41" s="209">
        <f t="shared" si="9"/>
        <v>254.94</v>
      </c>
      <c r="AE41" s="209">
        <f t="shared" si="2"/>
        <v>1.73</v>
      </c>
      <c r="AF41" s="209">
        <f t="shared" si="3"/>
        <v>983.81999999999994</v>
      </c>
      <c r="AG41" s="208">
        <f t="shared" si="4"/>
        <v>0.25913276818930292</v>
      </c>
      <c r="AI41" s="6" t="s">
        <v>43</v>
      </c>
      <c r="AJ41" s="209">
        <v>54.04</v>
      </c>
      <c r="AK41" s="209">
        <v>255.96</v>
      </c>
      <c r="AL41" s="382">
        <f t="shared" si="12"/>
        <v>0.21112673855289887</v>
      </c>
    </row>
    <row r="42" spans="1:38" x14ac:dyDescent="0.35">
      <c r="A42" s="6" t="s">
        <v>42</v>
      </c>
      <c r="B42" s="12">
        <v>15.31</v>
      </c>
      <c r="C42" s="12">
        <v>0.31</v>
      </c>
      <c r="D42" s="12">
        <v>5.25</v>
      </c>
      <c r="E42" s="12">
        <v>0</v>
      </c>
      <c r="F42" s="12">
        <v>4.18</v>
      </c>
      <c r="G42" s="12">
        <v>5.25</v>
      </c>
      <c r="H42" s="12">
        <v>12.92</v>
      </c>
      <c r="I42" s="12">
        <v>14.82</v>
      </c>
      <c r="J42" s="12">
        <v>5.5</v>
      </c>
      <c r="K42" s="12">
        <v>0</v>
      </c>
      <c r="L42" s="12">
        <v>5.85</v>
      </c>
      <c r="M42" s="12">
        <v>5.74</v>
      </c>
      <c r="N42" s="12">
        <v>2.57</v>
      </c>
      <c r="O42" s="12">
        <v>1.18</v>
      </c>
      <c r="P42" s="12">
        <v>10.09</v>
      </c>
      <c r="Q42" s="12">
        <v>7.75</v>
      </c>
      <c r="R42" s="12">
        <v>31.36</v>
      </c>
      <c r="S42" s="12">
        <v>30.119999999999997</v>
      </c>
      <c r="T42" s="12">
        <v>12.670000000000002</v>
      </c>
      <c r="U42" s="12">
        <v>21.42</v>
      </c>
      <c r="V42" s="12">
        <v>13.4</v>
      </c>
      <c r="W42" s="12">
        <v>27.44</v>
      </c>
      <c r="X42" s="12">
        <v>29.649999999999995</v>
      </c>
      <c r="Y42" s="12">
        <v>0.15999999999999998</v>
      </c>
      <c r="Z42" s="12">
        <f t="shared" si="5"/>
        <v>262.94000000000005</v>
      </c>
      <c r="AA42" s="208">
        <f t="shared" si="1"/>
        <v>2.654640320164121E-2</v>
      </c>
      <c r="AC42" s="209">
        <f t="shared" si="6"/>
        <v>158.19999999999999</v>
      </c>
      <c r="AD42" s="209">
        <f t="shared" si="9"/>
        <v>104.58</v>
      </c>
      <c r="AE42" s="209">
        <f t="shared" si="2"/>
        <v>0.15999999999999998</v>
      </c>
      <c r="AF42" s="209">
        <f t="shared" si="3"/>
        <v>262.94</v>
      </c>
      <c r="AG42" s="208">
        <f t="shared" si="4"/>
        <v>0.39773332319160265</v>
      </c>
      <c r="AI42" s="6" t="s">
        <v>29</v>
      </c>
      <c r="AJ42" s="209">
        <v>51.91</v>
      </c>
      <c r="AK42" s="209">
        <v>312.23000000000008</v>
      </c>
      <c r="AL42" s="382">
        <f t="shared" si="12"/>
        <v>0.16625564487717381</v>
      </c>
    </row>
    <row r="43" spans="1:38" x14ac:dyDescent="0.35">
      <c r="A43" s="6" t="s">
        <v>43</v>
      </c>
      <c r="B43" s="12">
        <v>87.350000000000023</v>
      </c>
      <c r="C43" s="12">
        <v>11.5</v>
      </c>
      <c r="D43" s="12">
        <v>0</v>
      </c>
      <c r="E43" s="12">
        <v>6.3900000000000006</v>
      </c>
      <c r="F43" s="12">
        <v>1.8</v>
      </c>
      <c r="G43" s="12">
        <v>1.22</v>
      </c>
      <c r="H43" s="12">
        <v>0.62</v>
      </c>
      <c r="I43" s="12">
        <v>0.98</v>
      </c>
      <c r="J43" s="12">
        <v>3.07</v>
      </c>
      <c r="K43" s="12">
        <v>6.5</v>
      </c>
      <c r="L43" s="12">
        <v>5.7099999999999991</v>
      </c>
      <c r="M43" s="12">
        <v>35.06</v>
      </c>
      <c r="N43" s="12">
        <v>1.03</v>
      </c>
      <c r="O43" s="12">
        <v>6.07</v>
      </c>
      <c r="P43" s="12">
        <v>7.2</v>
      </c>
      <c r="Q43" s="12">
        <v>5.9</v>
      </c>
      <c r="R43" s="12">
        <v>9.89</v>
      </c>
      <c r="S43" s="12">
        <v>10.42</v>
      </c>
      <c r="T43" s="12">
        <v>23.87</v>
      </c>
      <c r="U43" s="12">
        <v>4.28</v>
      </c>
      <c r="V43" s="12">
        <v>9.99</v>
      </c>
      <c r="W43" s="12">
        <v>8.3000000000000007</v>
      </c>
      <c r="X43" s="12">
        <v>7.6</v>
      </c>
      <c r="Y43" s="12">
        <v>1.21</v>
      </c>
      <c r="Z43" s="12">
        <f t="shared" si="5"/>
        <v>255.96000000000004</v>
      </c>
      <c r="AA43" s="208">
        <f t="shared" si="1"/>
        <v>2.5841702911280458E-2</v>
      </c>
      <c r="AC43" s="209">
        <f t="shared" si="6"/>
        <v>200.71</v>
      </c>
      <c r="AD43" s="209">
        <f t="shared" si="9"/>
        <v>54.04</v>
      </c>
      <c r="AE43" s="209">
        <f t="shared" si="2"/>
        <v>1.21</v>
      </c>
      <c r="AF43" s="209">
        <f t="shared" si="3"/>
        <v>255.96</v>
      </c>
      <c r="AG43" s="208">
        <f t="shared" si="4"/>
        <v>0.21112673855289887</v>
      </c>
      <c r="AI43" s="6" t="s">
        <v>23</v>
      </c>
      <c r="AJ43" s="209">
        <v>33.17</v>
      </c>
      <c r="AK43" s="209">
        <v>172.48000000000002</v>
      </c>
      <c r="AL43" s="382">
        <f t="shared" si="12"/>
        <v>0.19231215213358069</v>
      </c>
    </row>
    <row r="44" spans="1:38" x14ac:dyDescent="0.35">
      <c r="A44" s="6" t="s">
        <v>44</v>
      </c>
      <c r="B44" s="12">
        <v>15.63</v>
      </c>
      <c r="C44" s="12">
        <v>1.77</v>
      </c>
      <c r="D44" s="12">
        <v>0</v>
      </c>
      <c r="E44" s="12">
        <v>0</v>
      </c>
      <c r="F44" s="12">
        <v>7.0000000000000007E-2</v>
      </c>
      <c r="G44" s="12">
        <v>0.95</v>
      </c>
      <c r="H44" s="12">
        <v>0</v>
      </c>
      <c r="I44" s="12">
        <v>0.31</v>
      </c>
      <c r="J44" s="12">
        <v>4.29</v>
      </c>
      <c r="K44" s="12">
        <v>0.55000000000000004</v>
      </c>
      <c r="L44" s="12">
        <v>0.54</v>
      </c>
      <c r="M44" s="12">
        <v>0.84</v>
      </c>
      <c r="N44" s="12">
        <v>0</v>
      </c>
      <c r="O44" s="12">
        <v>0.69</v>
      </c>
      <c r="P44" s="12">
        <v>0.36</v>
      </c>
      <c r="Q44" s="12">
        <v>0</v>
      </c>
      <c r="R44" s="12">
        <v>0.32</v>
      </c>
      <c r="S44" s="12">
        <v>12.299999999999999</v>
      </c>
      <c r="T44" s="12">
        <v>0.21</v>
      </c>
      <c r="U44" s="12">
        <v>6.49</v>
      </c>
      <c r="V44" s="12">
        <v>8.8500000000000014</v>
      </c>
      <c r="W44" s="12">
        <v>0.11</v>
      </c>
      <c r="X44" s="12">
        <v>9.64</v>
      </c>
      <c r="Y44" s="12">
        <v>0.86999999999999988</v>
      </c>
      <c r="Z44" s="12">
        <f t="shared" si="5"/>
        <v>64.790000000000006</v>
      </c>
      <c r="AA44" s="208">
        <f t="shared" si="1"/>
        <v>6.5411936694087392E-3</v>
      </c>
      <c r="AC44" s="209">
        <f t="shared" si="6"/>
        <v>38.619999999999997</v>
      </c>
      <c r="AD44" s="209">
        <f t="shared" si="9"/>
        <v>25.3</v>
      </c>
      <c r="AE44" s="209">
        <f t="shared" si="2"/>
        <v>0.86999999999999988</v>
      </c>
      <c r="AF44" s="209">
        <f t="shared" si="3"/>
        <v>64.790000000000006</v>
      </c>
      <c r="AG44" s="208">
        <f t="shared" si="4"/>
        <v>0.39049235993208825</v>
      </c>
      <c r="AI44" s="6" t="s">
        <v>32</v>
      </c>
      <c r="AJ44" s="209">
        <v>31.790000000000003</v>
      </c>
      <c r="AK44" s="209">
        <v>152.35999999999999</v>
      </c>
      <c r="AL44" s="382">
        <f t="shared" si="12"/>
        <v>0.20865056445261226</v>
      </c>
    </row>
    <row r="45" spans="1:38" x14ac:dyDescent="0.35">
      <c r="A45" s="6" t="s">
        <v>45</v>
      </c>
      <c r="B45" s="12">
        <v>27.22</v>
      </c>
      <c r="C45" s="12">
        <v>11.05</v>
      </c>
      <c r="D45" s="12">
        <v>11.35</v>
      </c>
      <c r="E45" s="12">
        <v>0</v>
      </c>
      <c r="F45" s="12">
        <v>0</v>
      </c>
      <c r="G45" s="12">
        <v>51.97</v>
      </c>
      <c r="H45" s="12">
        <v>45.339999999999996</v>
      </c>
      <c r="I45" s="12">
        <v>0</v>
      </c>
      <c r="J45" s="12">
        <v>5.0100000000000007</v>
      </c>
      <c r="K45" s="12">
        <v>0.91999999999999993</v>
      </c>
      <c r="L45" s="12">
        <v>8.1</v>
      </c>
      <c r="M45" s="12">
        <v>2.21</v>
      </c>
      <c r="N45" s="12">
        <v>17.66</v>
      </c>
      <c r="O45" s="12">
        <v>5.05</v>
      </c>
      <c r="P45" s="12">
        <v>11.42</v>
      </c>
      <c r="Q45" s="12">
        <v>20.860000000000003</v>
      </c>
      <c r="R45" s="12">
        <v>35.25</v>
      </c>
      <c r="S45" s="12">
        <v>3.63</v>
      </c>
      <c r="T45" s="12">
        <v>13.21</v>
      </c>
      <c r="U45" s="12">
        <v>26.849999999999998</v>
      </c>
      <c r="V45" s="12">
        <v>18.899999999999999</v>
      </c>
      <c r="W45" s="12">
        <v>9.6500000000000021</v>
      </c>
      <c r="X45" s="12">
        <v>21.1</v>
      </c>
      <c r="Y45" s="12">
        <v>0.37</v>
      </c>
      <c r="Z45" s="12">
        <f t="shared" si="5"/>
        <v>347.12</v>
      </c>
      <c r="AA45" s="208">
        <f t="shared" si="1"/>
        <v>3.5045209855304231E-2</v>
      </c>
      <c r="AC45" s="209">
        <f t="shared" si="6"/>
        <v>257.04000000000002</v>
      </c>
      <c r="AD45" s="209">
        <f t="shared" si="9"/>
        <v>89.710000000000008</v>
      </c>
      <c r="AE45" s="209">
        <f t="shared" si="2"/>
        <v>0.37</v>
      </c>
      <c r="AF45" s="209">
        <f t="shared" si="3"/>
        <v>347.12</v>
      </c>
      <c r="AG45" s="208">
        <f t="shared" si="4"/>
        <v>0.258440884996543</v>
      </c>
      <c r="AI45" s="5" t="s">
        <v>8</v>
      </c>
      <c r="AJ45" s="209">
        <v>30.669999999999998</v>
      </c>
      <c r="AK45" s="209">
        <v>51.16</v>
      </c>
      <c r="AL45" s="382">
        <f t="shared" si="12"/>
        <v>0.59949179046129786</v>
      </c>
    </row>
    <row r="46" spans="1:38" x14ac:dyDescent="0.35">
      <c r="A46" s="310" t="s">
        <v>70</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7.7500000000000009</v>
      </c>
      <c r="Z46" s="311">
        <v>7.7500000000000009</v>
      </c>
      <c r="AA46" s="312">
        <f t="shared" si="1"/>
        <v>7.8243943413980126E-4</v>
      </c>
      <c r="AC46" s="311">
        <f t="shared" si="6"/>
        <v>0</v>
      </c>
      <c r="AD46" s="311">
        <f>SUM(T46:X46)</f>
        <v>0</v>
      </c>
      <c r="AE46" s="311">
        <f t="shared" si="2"/>
        <v>7.7500000000000009</v>
      </c>
      <c r="AF46" s="311">
        <f t="shared" si="3"/>
        <v>7.7500000000000009</v>
      </c>
      <c r="AG46" s="312">
        <f t="shared" si="4"/>
        <v>0</v>
      </c>
      <c r="AI46" s="6" t="s">
        <v>71</v>
      </c>
      <c r="AJ46" s="209">
        <v>29.15</v>
      </c>
      <c r="AK46" s="209">
        <v>32.64</v>
      </c>
      <c r="AL46" s="382">
        <f t="shared" si="12"/>
        <v>0.89307598039215685</v>
      </c>
    </row>
    <row r="47" spans="1:38" x14ac:dyDescent="0.35">
      <c r="A47" s="6" t="s">
        <v>70</v>
      </c>
      <c r="B47" s="12">
        <v>0</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7.7500000000000009</v>
      </c>
      <c r="Z47" s="12">
        <f t="shared" si="5"/>
        <v>7.7500000000000009</v>
      </c>
      <c r="AA47" s="208">
        <f t="shared" si="1"/>
        <v>7.8243943413980126E-4</v>
      </c>
      <c r="AC47" s="209">
        <f t="shared" si="6"/>
        <v>0</v>
      </c>
      <c r="AD47" s="209">
        <f t="shared" si="9"/>
        <v>0</v>
      </c>
      <c r="AE47" s="209">
        <f t="shared" si="2"/>
        <v>7.7500000000000009</v>
      </c>
      <c r="AF47" s="209">
        <f t="shared" si="3"/>
        <v>7.7500000000000009</v>
      </c>
      <c r="AG47" s="208">
        <f t="shared" si="4"/>
        <v>0</v>
      </c>
      <c r="AI47" s="6" t="s">
        <v>38</v>
      </c>
      <c r="AJ47" s="209">
        <v>26.05</v>
      </c>
      <c r="AK47" s="209">
        <v>214.94000000000003</v>
      </c>
      <c r="AL47" s="382">
        <f t="shared" si="12"/>
        <v>0.12119661300828137</v>
      </c>
    </row>
    <row r="48" spans="1:38" x14ac:dyDescent="0.35">
      <c r="A48" s="310" t="s">
        <v>14</v>
      </c>
      <c r="B48" s="311">
        <f>SUM(B49:B52)</f>
        <v>338.69</v>
      </c>
      <c r="C48" s="311">
        <f t="shared" ref="C48:Z48" si="15">SUM(C49:C52)</f>
        <v>134.43</v>
      </c>
      <c r="D48" s="311">
        <f t="shared" si="15"/>
        <v>21.679999999999996</v>
      </c>
      <c r="E48" s="311">
        <f t="shared" si="15"/>
        <v>18.93</v>
      </c>
      <c r="F48" s="311">
        <f t="shared" si="15"/>
        <v>16.549999999999997</v>
      </c>
      <c r="G48" s="311">
        <f t="shared" si="15"/>
        <v>17.68</v>
      </c>
      <c r="H48" s="311">
        <f t="shared" si="15"/>
        <v>28.81</v>
      </c>
      <c r="I48" s="311">
        <f t="shared" si="15"/>
        <v>10.220000000000001</v>
      </c>
      <c r="J48" s="311">
        <f t="shared" si="15"/>
        <v>29.12</v>
      </c>
      <c r="K48" s="311">
        <f t="shared" si="15"/>
        <v>11.96</v>
      </c>
      <c r="L48" s="311">
        <f t="shared" si="15"/>
        <v>14.01</v>
      </c>
      <c r="M48" s="311">
        <f t="shared" si="15"/>
        <v>25.160000000000004</v>
      </c>
      <c r="N48" s="311">
        <f t="shared" si="15"/>
        <v>6.58</v>
      </c>
      <c r="O48" s="311">
        <f t="shared" si="15"/>
        <v>26.209999999999997</v>
      </c>
      <c r="P48" s="311">
        <f t="shared" si="15"/>
        <v>22.31</v>
      </c>
      <c r="Q48" s="311">
        <f t="shared" si="15"/>
        <v>31.26</v>
      </c>
      <c r="R48" s="311">
        <f t="shared" si="15"/>
        <v>108.02</v>
      </c>
      <c r="S48" s="311">
        <f t="shared" si="15"/>
        <v>82.649999999999991</v>
      </c>
      <c r="T48" s="311">
        <f t="shared" si="15"/>
        <v>56.15</v>
      </c>
      <c r="U48" s="311">
        <f t="shared" si="15"/>
        <v>51.04999999999999</v>
      </c>
      <c r="V48" s="311">
        <f t="shared" si="15"/>
        <v>34.4</v>
      </c>
      <c r="W48" s="311">
        <f t="shared" si="15"/>
        <v>36.97</v>
      </c>
      <c r="X48" s="311">
        <f t="shared" si="15"/>
        <v>14.39</v>
      </c>
      <c r="Y48" s="311">
        <f t="shared" si="15"/>
        <v>0</v>
      </c>
      <c r="Z48" s="311">
        <f t="shared" si="15"/>
        <v>1137.23</v>
      </c>
      <c r="AA48" s="312">
        <f t="shared" si="1"/>
        <v>0.11481465776603951</v>
      </c>
      <c r="AC48" s="311">
        <f t="shared" si="6"/>
        <v>944.26999999999987</v>
      </c>
      <c r="AD48" s="311">
        <f>SUM(T48:X48)</f>
        <v>192.95999999999998</v>
      </c>
      <c r="AE48" s="311">
        <f t="shared" si="2"/>
        <v>0</v>
      </c>
      <c r="AF48" s="311">
        <f t="shared" si="3"/>
        <v>1137.2299999999998</v>
      </c>
      <c r="AG48" s="312">
        <f t="shared" si="4"/>
        <v>0.16967543944496716</v>
      </c>
      <c r="AI48" s="6" t="s">
        <v>44</v>
      </c>
      <c r="AJ48" s="209">
        <v>25.3</v>
      </c>
      <c r="AK48" s="209">
        <v>64.790000000000006</v>
      </c>
      <c r="AL48" s="382">
        <f t="shared" si="12"/>
        <v>0.39049235993208825</v>
      </c>
    </row>
    <row r="49" spans="1:38" x14ac:dyDescent="0.35">
      <c r="A49" s="6" t="s">
        <v>37</v>
      </c>
      <c r="B49" s="12">
        <v>12.830000000000002</v>
      </c>
      <c r="C49" s="12">
        <v>6.75</v>
      </c>
      <c r="D49" s="12">
        <v>9.3699999999999992</v>
      </c>
      <c r="E49" s="12">
        <v>0.64</v>
      </c>
      <c r="F49" s="12">
        <v>3.1199999999999997</v>
      </c>
      <c r="G49" s="12">
        <v>0.63</v>
      </c>
      <c r="H49" s="12">
        <v>8.8800000000000008</v>
      </c>
      <c r="I49" s="12">
        <v>1.98</v>
      </c>
      <c r="J49" s="12">
        <v>0.15</v>
      </c>
      <c r="K49" s="12">
        <v>0</v>
      </c>
      <c r="L49" s="12">
        <v>0.13</v>
      </c>
      <c r="M49" s="12">
        <v>0.96</v>
      </c>
      <c r="N49" s="12">
        <v>0.78</v>
      </c>
      <c r="O49" s="12">
        <v>0.65</v>
      </c>
      <c r="P49" s="12">
        <v>6.68</v>
      </c>
      <c r="Q49" s="12">
        <v>15.299999999999999</v>
      </c>
      <c r="R49" s="12">
        <v>11.4</v>
      </c>
      <c r="S49" s="12">
        <v>18.36</v>
      </c>
      <c r="T49" s="12">
        <v>1.5</v>
      </c>
      <c r="U49" s="12">
        <v>4.09</v>
      </c>
      <c r="V49" s="12">
        <v>0.24000000000000002</v>
      </c>
      <c r="W49" s="12">
        <v>0</v>
      </c>
      <c r="X49" s="12">
        <v>0.3</v>
      </c>
      <c r="Y49" s="12">
        <v>0</v>
      </c>
      <c r="Z49" s="12">
        <f t="shared" si="5"/>
        <v>104.74000000000001</v>
      </c>
      <c r="AA49" s="208">
        <f t="shared" si="1"/>
        <v>1.0574542752490682E-2</v>
      </c>
      <c r="AC49" s="209">
        <f t="shared" si="6"/>
        <v>98.610000000000014</v>
      </c>
      <c r="AD49" s="209">
        <f t="shared" si="9"/>
        <v>6.13</v>
      </c>
      <c r="AE49" s="209">
        <f t="shared" si="2"/>
        <v>0</v>
      </c>
      <c r="AF49" s="209">
        <f t="shared" si="3"/>
        <v>104.74000000000001</v>
      </c>
      <c r="AG49" s="208">
        <f t="shared" si="4"/>
        <v>5.8525873591750995E-2</v>
      </c>
      <c r="AI49" s="6" t="s">
        <v>20</v>
      </c>
      <c r="AJ49" s="209">
        <v>23.17</v>
      </c>
      <c r="AK49" s="209">
        <v>183.32000000000002</v>
      </c>
      <c r="AL49" s="382">
        <f t="shared" si="12"/>
        <v>0.12639101025529129</v>
      </c>
    </row>
    <row r="50" spans="1:38" x14ac:dyDescent="0.35">
      <c r="A50" s="6" t="s">
        <v>38</v>
      </c>
      <c r="B50" s="12">
        <v>100.36</v>
      </c>
      <c r="C50" s="12">
        <v>43.279999999999994</v>
      </c>
      <c r="D50" s="12">
        <v>6.7100000000000009</v>
      </c>
      <c r="E50" s="12">
        <v>2.2800000000000002</v>
      </c>
      <c r="F50" s="12">
        <v>2.96</v>
      </c>
      <c r="G50" s="12">
        <v>2.83</v>
      </c>
      <c r="H50" s="12">
        <v>9.16</v>
      </c>
      <c r="I50" s="12">
        <v>0.96</v>
      </c>
      <c r="J50" s="12">
        <v>5.15</v>
      </c>
      <c r="K50" s="12">
        <v>2.37</v>
      </c>
      <c r="L50" s="12">
        <v>0.36</v>
      </c>
      <c r="M50" s="12">
        <v>0.57000000000000006</v>
      </c>
      <c r="N50" s="12">
        <v>0</v>
      </c>
      <c r="O50" s="12">
        <v>2.23</v>
      </c>
      <c r="P50" s="12">
        <v>0</v>
      </c>
      <c r="Q50" s="12">
        <v>0</v>
      </c>
      <c r="R50" s="12">
        <v>2.17</v>
      </c>
      <c r="S50" s="12">
        <v>7.5</v>
      </c>
      <c r="T50" s="12">
        <v>8.01</v>
      </c>
      <c r="U50" s="12">
        <v>4.5600000000000005</v>
      </c>
      <c r="V50" s="12">
        <v>5.75</v>
      </c>
      <c r="W50" s="12">
        <v>7.3</v>
      </c>
      <c r="X50" s="12">
        <v>0.43</v>
      </c>
      <c r="Y50" s="12">
        <v>0</v>
      </c>
      <c r="Z50" s="12">
        <f t="shared" si="5"/>
        <v>214.94000000000003</v>
      </c>
      <c r="AA50" s="208">
        <f t="shared" si="1"/>
        <v>2.1700326706323728E-2</v>
      </c>
      <c r="AC50" s="209">
        <f t="shared" si="6"/>
        <v>188.89000000000001</v>
      </c>
      <c r="AD50" s="209">
        <f t="shared" si="9"/>
        <v>26.05</v>
      </c>
      <c r="AE50" s="209">
        <f t="shared" si="2"/>
        <v>0</v>
      </c>
      <c r="AF50" s="209">
        <f t="shared" si="3"/>
        <v>214.94000000000003</v>
      </c>
      <c r="AG50" s="208">
        <f t="shared" si="4"/>
        <v>0.12119661300828137</v>
      </c>
      <c r="AI50" s="6" t="s">
        <v>48</v>
      </c>
      <c r="AJ50" s="209">
        <v>23.16</v>
      </c>
      <c r="AK50" s="209">
        <v>38.08</v>
      </c>
      <c r="AL50" s="382">
        <f t="shared" si="12"/>
        <v>0.60819327731092443</v>
      </c>
    </row>
    <row r="51" spans="1:38" x14ac:dyDescent="0.35">
      <c r="A51" s="6" t="s">
        <v>39</v>
      </c>
      <c r="B51" s="12">
        <v>141.51</v>
      </c>
      <c r="C51" s="12">
        <v>59.69</v>
      </c>
      <c r="D51" s="12">
        <v>4.38</v>
      </c>
      <c r="E51" s="12">
        <v>6.79</v>
      </c>
      <c r="F51" s="12">
        <v>10.469999999999999</v>
      </c>
      <c r="G51" s="12">
        <v>13.25</v>
      </c>
      <c r="H51" s="12">
        <v>9.3199999999999985</v>
      </c>
      <c r="I51" s="12">
        <v>5.62</v>
      </c>
      <c r="J51" s="12">
        <v>22.09</v>
      </c>
      <c r="K51" s="12">
        <v>3.2800000000000002</v>
      </c>
      <c r="L51" s="12">
        <v>12.969999999999999</v>
      </c>
      <c r="M51" s="12">
        <v>19.190000000000001</v>
      </c>
      <c r="N51" s="12">
        <v>4.5199999999999996</v>
      </c>
      <c r="O51" s="12">
        <v>19.799999999999997</v>
      </c>
      <c r="P51" s="12">
        <v>13.34</v>
      </c>
      <c r="Q51" s="12">
        <v>13.48</v>
      </c>
      <c r="R51" s="12">
        <v>20.190000000000001</v>
      </c>
      <c r="S51" s="12">
        <v>40.869999999999997</v>
      </c>
      <c r="T51" s="12">
        <v>45.82</v>
      </c>
      <c r="U51" s="12">
        <v>39.149999999999991</v>
      </c>
      <c r="V51" s="12">
        <v>25.209999999999997</v>
      </c>
      <c r="W51" s="12">
        <v>26.23</v>
      </c>
      <c r="X51" s="12">
        <v>9.61</v>
      </c>
      <c r="Y51" s="12">
        <v>0</v>
      </c>
      <c r="Z51" s="12">
        <f t="shared" si="5"/>
        <v>566.77999999999986</v>
      </c>
      <c r="AA51" s="208">
        <f t="shared" si="1"/>
        <v>5.7222067417000831E-2</v>
      </c>
      <c r="AC51" s="209">
        <f t="shared" si="6"/>
        <v>420.75999999999988</v>
      </c>
      <c r="AD51" s="209">
        <f t="shared" si="9"/>
        <v>146.01999999999998</v>
      </c>
      <c r="AE51" s="209">
        <f t="shared" si="2"/>
        <v>0</v>
      </c>
      <c r="AF51" s="209">
        <f t="shared" si="3"/>
        <v>566.77999999999986</v>
      </c>
      <c r="AG51" s="208">
        <f t="shared" si="4"/>
        <v>0.25763082677582133</v>
      </c>
      <c r="AI51" s="6" t="s">
        <v>47</v>
      </c>
      <c r="AJ51" s="209">
        <v>22.24</v>
      </c>
      <c r="AK51" s="209">
        <v>186.32999999999998</v>
      </c>
      <c r="AL51" s="382">
        <f t="shared" si="12"/>
        <v>0.11935812805238019</v>
      </c>
    </row>
    <row r="52" spans="1:38" x14ac:dyDescent="0.35">
      <c r="A52" s="6" t="s">
        <v>40</v>
      </c>
      <c r="B52" s="12">
        <v>83.990000000000023</v>
      </c>
      <c r="C52" s="12">
        <v>24.709999999999997</v>
      </c>
      <c r="D52" s="12">
        <v>1.22</v>
      </c>
      <c r="E52" s="12">
        <v>9.2199999999999989</v>
      </c>
      <c r="F52" s="12">
        <v>0</v>
      </c>
      <c r="G52" s="12">
        <v>0.97</v>
      </c>
      <c r="H52" s="12">
        <v>1.4500000000000002</v>
      </c>
      <c r="I52" s="12">
        <v>1.6600000000000001</v>
      </c>
      <c r="J52" s="12">
        <v>1.73</v>
      </c>
      <c r="K52" s="12">
        <v>6.31</v>
      </c>
      <c r="L52" s="12">
        <v>0.55000000000000004</v>
      </c>
      <c r="M52" s="12">
        <v>4.4399999999999995</v>
      </c>
      <c r="N52" s="12">
        <v>1.28</v>
      </c>
      <c r="O52" s="12">
        <v>3.5300000000000002</v>
      </c>
      <c r="P52" s="12">
        <v>2.29</v>
      </c>
      <c r="Q52" s="12">
        <v>2.4800000000000004</v>
      </c>
      <c r="R52" s="12">
        <v>74.259999999999991</v>
      </c>
      <c r="S52" s="12">
        <v>15.92</v>
      </c>
      <c r="T52" s="12">
        <v>0.82000000000000006</v>
      </c>
      <c r="U52" s="12">
        <v>3.25</v>
      </c>
      <c r="V52" s="12">
        <v>3.1999999999999997</v>
      </c>
      <c r="W52" s="12">
        <v>3.44</v>
      </c>
      <c r="X52" s="12">
        <v>4.0500000000000007</v>
      </c>
      <c r="Y52" s="12">
        <v>0</v>
      </c>
      <c r="Z52" s="12">
        <f t="shared" si="5"/>
        <v>250.76999999999998</v>
      </c>
      <c r="AA52" s="208">
        <f t="shared" si="1"/>
        <v>2.531772089022425E-2</v>
      </c>
      <c r="AC52" s="209">
        <f t="shared" si="6"/>
        <v>236.01</v>
      </c>
      <c r="AD52" s="209">
        <f t="shared" si="9"/>
        <v>14.76</v>
      </c>
      <c r="AE52" s="209">
        <f t="shared" si="2"/>
        <v>0</v>
      </c>
      <c r="AF52" s="209">
        <f t="shared" si="3"/>
        <v>250.76999999999998</v>
      </c>
      <c r="AG52" s="208">
        <f t="shared" si="4"/>
        <v>5.8858715157315472E-2</v>
      </c>
      <c r="AI52" s="6" t="s">
        <v>22</v>
      </c>
      <c r="AJ52" s="209">
        <v>18.509999999999998</v>
      </c>
      <c r="AK52" s="209">
        <v>157.94000000000005</v>
      </c>
      <c r="AL52" s="382">
        <f t="shared" si="12"/>
        <v>0.11719640369760663</v>
      </c>
    </row>
    <row r="53" spans="1:38" x14ac:dyDescent="0.35">
      <c r="A53" s="310" t="s">
        <v>17</v>
      </c>
      <c r="B53" s="311">
        <f>SUM(B54:B55)</f>
        <v>189.14000000000001</v>
      </c>
      <c r="C53" s="311">
        <f t="shared" ref="C53:Z53" si="16">SUM(C54:C55)</f>
        <v>41.04</v>
      </c>
      <c r="D53" s="311">
        <f t="shared" si="16"/>
        <v>15.739999999999998</v>
      </c>
      <c r="E53" s="311">
        <f t="shared" si="16"/>
        <v>0</v>
      </c>
      <c r="F53" s="311">
        <f t="shared" si="16"/>
        <v>0.43</v>
      </c>
      <c r="G53" s="311">
        <f t="shared" si="16"/>
        <v>2.15</v>
      </c>
      <c r="H53" s="311">
        <f t="shared" si="16"/>
        <v>190.41</v>
      </c>
      <c r="I53" s="311">
        <f t="shared" si="16"/>
        <v>94.439999999999984</v>
      </c>
      <c r="J53" s="311">
        <f t="shared" si="16"/>
        <v>23.9</v>
      </c>
      <c r="K53" s="311">
        <f t="shared" si="16"/>
        <v>56.26</v>
      </c>
      <c r="L53" s="311">
        <f t="shared" si="16"/>
        <v>277.77999999999997</v>
      </c>
      <c r="M53" s="311">
        <f t="shared" si="16"/>
        <v>5.27</v>
      </c>
      <c r="N53" s="311">
        <f t="shared" si="16"/>
        <v>3.3200000000000003</v>
      </c>
      <c r="O53" s="311">
        <f t="shared" si="16"/>
        <v>32.909999999999997</v>
      </c>
      <c r="P53" s="311">
        <f t="shared" si="16"/>
        <v>10.100000000000001</v>
      </c>
      <c r="Q53" s="311">
        <f t="shared" si="16"/>
        <v>52.9</v>
      </c>
      <c r="R53" s="311">
        <f t="shared" si="16"/>
        <v>200.82</v>
      </c>
      <c r="S53" s="311">
        <f t="shared" si="16"/>
        <v>281.38</v>
      </c>
      <c r="T53" s="311">
        <f t="shared" si="16"/>
        <v>216.19</v>
      </c>
      <c r="U53" s="311">
        <f t="shared" si="16"/>
        <v>184.32</v>
      </c>
      <c r="V53" s="311">
        <f t="shared" si="16"/>
        <v>379.84000000000003</v>
      </c>
      <c r="W53" s="311">
        <f t="shared" si="16"/>
        <v>99.22</v>
      </c>
      <c r="X53" s="311">
        <f t="shared" si="16"/>
        <v>121.57</v>
      </c>
      <c r="Y53" s="311">
        <f t="shared" si="16"/>
        <v>0.51</v>
      </c>
      <c r="Z53" s="311">
        <f t="shared" si="16"/>
        <v>2479.64</v>
      </c>
      <c r="AA53" s="312">
        <f t="shared" si="1"/>
        <v>0.2503442733510215</v>
      </c>
      <c r="AC53" s="311">
        <f t="shared" si="6"/>
        <v>1477.9899999999998</v>
      </c>
      <c r="AD53" s="311">
        <f>SUM(T53:X53)</f>
        <v>1001.1400000000001</v>
      </c>
      <c r="AE53" s="311">
        <f t="shared" si="2"/>
        <v>0.51</v>
      </c>
      <c r="AF53" s="311">
        <f t="shared" si="3"/>
        <v>2479.6400000000003</v>
      </c>
      <c r="AG53" s="312">
        <f t="shared" si="4"/>
        <v>0.40374409188430577</v>
      </c>
      <c r="AI53" s="6" t="s">
        <v>40</v>
      </c>
      <c r="AJ53" s="209">
        <v>14.76</v>
      </c>
      <c r="AK53" s="209">
        <v>250.76999999999998</v>
      </c>
      <c r="AL53" s="382">
        <f t="shared" si="12"/>
        <v>5.8858715157315472E-2</v>
      </c>
    </row>
    <row r="54" spans="1:38" x14ac:dyDescent="0.35">
      <c r="A54" s="6" t="s">
        <v>55</v>
      </c>
      <c r="B54" s="12">
        <v>186.55</v>
      </c>
      <c r="C54" s="12">
        <v>0.09</v>
      </c>
      <c r="D54" s="12">
        <v>15.739999999999998</v>
      </c>
      <c r="E54" s="12">
        <v>0</v>
      </c>
      <c r="F54" s="12">
        <v>0</v>
      </c>
      <c r="G54" s="12">
        <v>2.15</v>
      </c>
      <c r="H54" s="12">
        <v>48.900000000000006</v>
      </c>
      <c r="I54" s="12">
        <v>21.24</v>
      </c>
      <c r="J54" s="12">
        <v>1.99</v>
      </c>
      <c r="K54" s="12">
        <v>24.709999999999997</v>
      </c>
      <c r="L54" s="12">
        <v>13.2</v>
      </c>
      <c r="M54" s="12">
        <v>0.3</v>
      </c>
      <c r="N54" s="12">
        <v>3.1100000000000003</v>
      </c>
      <c r="O54" s="12">
        <v>32.5</v>
      </c>
      <c r="P54" s="12">
        <v>5.7</v>
      </c>
      <c r="Q54" s="12">
        <v>35.31</v>
      </c>
      <c r="R54" s="12">
        <v>67.17</v>
      </c>
      <c r="S54" s="12">
        <v>123.87</v>
      </c>
      <c r="T54" s="12">
        <v>123.41000000000001</v>
      </c>
      <c r="U54" s="12">
        <v>155.88999999999999</v>
      </c>
      <c r="V54" s="12">
        <v>56.72</v>
      </c>
      <c r="W54" s="12">
        <v>35.06</v>
      </c>
      <c r="X54" s="12">
        <v>60.18</v>
      </c>
      <c r="Y54" s="12">
        <v>0.16</v>
      </c>
      <c r="Z54" s="12">
        <f t="shared" si="5"/>
        <v>1013.9499999999998</v>
      </c>
      <c r="AA54" s="208">
        <f t="shared" si="1"/>
        <v>0.10236831796723243</v>
      </c>
      <c r="AC54" s="209">
        <f t="shared" si="6"/>
        <v>582.53</v>
      </c>
      <c r="AD54" s="209">
        <f t="shared" ref="AD54" si="17">SUM(T54:X54)</f>
        <v>431.26</v>
      </c>
      <c r="AE54" s="209">
        <f t="shared" si="2"/>
        <v>0.16</v>
      </c>
      <c r="AF54" s="209">
        <f t="shared" si="3"/>
        <v>1013.9499999999999</v>
      </c>
      <c r="AG54" s="208">
        <f t="shared" si="4"/>
        <v>0.42532669263770406</v>
      </c>
      <c r="AI54" s="6" t="s">
        <v>27</v>
      </c>
      <c r="AJ54" s="209">
        <v>14.219999999999999</v>
      </c>
      <c r="AK54" s="209">
        <v>19.28</v>
      </c>
      <c r="AL54" s="382">
        <f t="shared" si="12"/>
        <v>0.73755186721991695</v>
      </c>
    </row>
    <row r="55" spans="1:38" x14ac:dyDescent="0.35">
      <c r="A55" s="6" t="s">
        <v>56</v>
      </c>
      <c r="B55" s="12">
        <v>2.5900000000000003</v>
      </c>
      <c r="C55" s="12">
        <v>40.949999999999996</v>
      </c>
      <c r="D55" s="12">
        <v>0</v>
      </c>
      <c r="E55" s="12">
        <v>0</v>
      </c>
      <c r="F55" s="12">
        <v>0.43</v>
      </c>
      <c r="G55" s="12">
        <v>0</v>
      </c>
      <c r="H55" s="12">
        <v>141.51</v>
      </c>
      <c r="I55" s="12">
        <v>73.199999999999989</v>
      </c>
      <c r="J55" s="12">
        <v>21.91</v>
      </c>
      <c r="K55" s="12">
        <v>31.55</v>
      </c>
      <c r="L55" s="12">
        <v>264.58</v>
      </c>
      <c r="M55" s="12">
        <v>4.97</v>
      </c>
      <c r="N55" s="12">
        <v>0.21</v>
      </c>
      <c r="O55" s="12">
        <v>0.41</v>
      </c>
      <c r="P55" s="12">
        <v>4.4000000000000004</v>
      </c>
      <c r="Q55" s="12">
        <v>17.589999999999996</v>
      </c>
      <c r="R55" s="12">
        <v>133.65</v>
      </c>
      <c r="S55" s="12">
        <v>157.51000000000002</v>
      </c>
      <c r="T55" s="12">
        <v>92.78</v>
      </c>
      <c r="U55" s="12">
        <v>28.43</v>
      </c>
      <c r="V55" s="12">
        <v>323.12</v>
      </c>
      <c r="W55" s="12">
        <v>64.16</v>
      </c>
      <c r="X55" s="12">
        <v>61.39</v>
      </c>
      <c r="Y55" s="12">
        <v>0.35</v>
      </c>
      <c r="Z55" s="12">
        <f t="shared" si="5"/>
        <v>1465.69</v>
      </c>
      <c r="AA55" s="208">
        <f t="shared" si="1"/>
        <v>0.14797595538378908</v>
      </c>
      <c r="AC55" s="209">
        <f t="shared" si="6"/>
        <v>895.46</v>
      </c>
      <c r="AD55" s="209">
        <f t="shared" ref="AD55:AD78" si="18">SUM(T55:X55)</f>
        <v>569.88</v>
      </c>
      <c r="AE55" s="209">
        <f t="shared" si="2"/>
        <v>0.35</v>
      </c>
      <c r="AF55" s="209">
        <f t="shared" si="3"/>
        <v>1465.69</v>
      </c>
      <c r="AG55" s="208">
        <f t="shared" si="4"/>
        <v>0.38881345987214211</v>
      </c>
      <c r="AI55" s="6" t="s">
        <v>73</v>
      </c>
      <c r="AJ55" s="209">
        <v>13.899999999999999</v>
      </c>
      <c r="AK55" s="209">
        <v>84.390000000000015</v>
      </c>
      <c r="AL55" s="382">
        <f t="shared" si="12"/>
        <v>0.16471145870363782</v>
      </c>
    </row>
    <row r="56" spans="1:38" x14ac:dyDescent="0.35">
      <c r="A56" s="310" t="s">
        <v>64</v>
      </c>
      <c r="B56" s="311">
        <f>SUM(B57:B60)</f>
        <v>5.1000000000000005</v>
      </c>
      <c r="C56" s="311">
        <f t="shared" ref="C56:Z56" si="19">SUM(C57:C60)</f>
        <v>1.42</v>
      </c>
      <c r="D56" s="311">
        <f t="shared" si="19"/>
        <v>0.12</v>
      </c>
      <c r="E56" s="311">
        <f t="shared" si="19"/>
        <v>1.28</v>
      </c>
      <c r="F56" s="311">
        <f t="shared" si="19"/>
        <v>0.32</v>
      </c>
      <c r="G56" s="311">
        <f t="shared" si="19"/>
        <v>0.3</v>
      </c>
      <c r="H56" s="311">
        <f t="shared" si="19"/>
        <v>1.04</v>
      </c>
      <c r="I56" s="311">
        <f t="shared" si="19"/>
        <v>0</v>
      </c>
      <c r="J56" s="311">
        <f t="shared" si="19"/>
        <v>0</v>
      </c>
      <c r="K56" s="311">
        <f t="shared" si="19"/>
        <v>0.57000000000000006</v>
      </c>
      <c r="L56" s="311">
        <f t="shared" si="19"/>
        <v>0</v>
      </c>
      <c r="M56" s="311">
        <f t="shared" si="19"/>
        <v>2.42</v>
      </c>
      <c r="N56" s="311">
        <f t="shared" si="19"/>
        <v>0</v>
      </c>
      <c r="O56" s="311">
        <f t="shared" si="19"/>
        <v>0</v>
      </c>
      <c r="P56" s="311">
        <f t="shared" si="19"/>
        <v>0.18</v>
      </c>
      <c r="Q56" s="311">
        <f t="shared" si="19"/>
        <v>3.0100000000000002</v>
      </c>
      <c r="R56" s="311">
        <f t="shared" si="19"/>
        <v>2.68</v>
      </c>
      <c r="S56" s="311">
        <f t="shared" si="19"/>
        <v>0.27</v>
      </c>
      <c r="T56" s="311">
        <f t="shared" si="19"/>
        <v>7.0000000000000007E-2</v>
      </c>
      <c r="U56" s="311">
        <f t="shared" si="19"/>
        <v>0.49</v>
      </c>
      <c r="V56" s="311">
        <f t="shared" si="19"/>
        <v>1.79</v>
      </c>
      <c r="W56" s="311">
        <f t="shared" si="19"/>
        <v>9.5299999999999994</v>
      </c>
      <c r="X56" s="311">
        <f t="shared" si="19"/>
        <v>20.189999999999998</v>
      </c>
      <c r="Y56" s="311">
        <f t="shared" si="19"/>
        <v>1.6800000000000002</v>
      </c>
      <c r="Z56" s="311">
        <f t="shared" si="19"/>
        <v>52.46</v>
      </c>
      <c r="AA56" s="312">
        <f t="shared" si="1"/>
        <v>5.2963577696740613E-3</v>
      </c>
      <c r="AC56" s="311">
        <f t="shared" si="6"/>
        <v>18.71</v>
      </c>
      <c r="AD56" s="311">
        <f>SUM(T56:X56)</f>
        <v>32.069999999999993</v>
      </c>
      <c r="AE56" s="311">
        <f t="shared" si="2"/>
        <v>1.6800000000000002</v>
      </c>
      <c r="AF56" s="311">
        <f t="shared" si="3"/>
        <v>52.459999999999994</v>
      </c>
      <c r="AG56" s="312">
        <f t="shared" si="4"/>
        <v>0.61132291269538686</v>
      </c>
      <c r="AI56" s="6" t="s">
        <v>59</v>
      </c>
      <c r="AJ56" s="209">
        <v>13.82</v>
      </c>
      <c r="AK56" s="209">
        <v>28.53</v>
      </c>
      <c r="AL56" s="382">
        <f t="shared" si="12"/>
        <v>0.48440238345601122</v>
      </c>
    </row>
    <row r="57" spans="1:38" x14ac:dyDescent="0.35">
      <c r="A57" s="6" t="s">
        <v>71</v>
      </c>
      <c r="B57" s="12">
        <v>1.68</v>
      </c>
      <c r="C57" s="12">
        <v>0.32</v>
      </c>
      <c r="D57" s="12">
        <v>0</v>
      </c>
      <c r="E57" s="12">
        <v>0</v>
      </c>
      <c r="F57" s="12">
        <v>0</v>
      </c>
      <c r="G57" s="12">
        <v>0</v>
      </c>
      <c r="H57" s="12">
        <v>0.56999999999999995</v>
      </c>
      <c r="I57" s="12">
        <v>0</v>
      </c>
      <c r="J57" s="12">
        <v>0</v>
      </c>
      <c r="K57" s="12">
        <v>0</v>
      </c>
      <c r="L57" s="12">
        <v>0</v>
      </c>
      <c r="M57" s="12">
        <v>0</v>
      </c>
      <c r="N57" s="12">
        <v>0</v>
      </c>
      <c r="O57" s="12">
        <v>0</v>
      </c>
      <c r="P57" s="12">
        <v>0</v>
      </c>
      <c r="Q57" s="12">
        <v>0.1</v>
      </c>
      <c r="R57" s="12">
        <v>0</v>
      </c>
      <c r="S57" s="12">
        <v>0</v>
      </c>
      <c r="T57" s="12">
        <v>0</v>
      </c>
      <c r="U57" s="12">
        <v>0.06</v>
      </c>
      <c r="V57" s="12">
        <v>0</v>
      </c>
      <c r="W57" s="12">
        <v>9.0499999999999989</v>
      </c>
      <c r="X57" s="12">
        <v>20.04</v>
      </c>
      <c r="Y57" s="12">
        <v>0.82</v>
      </c>
      <c r="Z57" s="12">
        <f t="shared" si="5"/>
        <v>32.64</v>
      </c>
      <c r="AA57" s="208">
        <f t="shared" si="1"/>
        <v>3.2953320168158853E-3</v>
      </c>
      <c r="AC57" s="209">
        <f t="shared" si="6"/>
        <v>2.67</v>
      </c>
      <c r="AD57" s="209">
        <f t="shared" si="18"/>
        <v>29.15</v>
      </c>
      <c r="AE57" s="209">
        <f t="shared" si="2"/>
        <v>0.82</v>
      </c>
      <c r="AF57" s="209">
        <f t="shared" si="3"/>
        <v>32.64</v>
      </c>
      <c r="AG57" s="208">
        <f t="shared" si="4"/>
        <v>0.89307598039215685</v>
      </c>
      <c r="AI57" s="6" t="s">
        <v>49</v>
      </c>
      <c r="AJ57" s="209">
        <v>12.590000000000002</v>
      </c>
      <c r="AK57" s="209">
        <v>23.070000000000004</v>
      </c>
      <c r="AL57" s="382">
        <f t="shared" si="12"/>
        <v>0.54573038578240141</v>
      </c>
    </row>
    <row r="58" spans="1:38" x14ac:dyDescent="0.35">
      <c r="A58" s="6" t="s">
        <v>65</v>
      </c>
      <c r="B58" s="12">
        <v>1.18</v>
      </c>
      <c r="C58" s="12">
        <v>1.0699999999999998</v>
      </c>
      <c r="D58" s="12">
        <v>0</v>
      </c>
      <c r="E58" s="12">
        <v>0</v>
      </c>
      <c r="F58" s="12">
        <v>0.32</v>
      </c>
      <c r="G58" s="12">
        <v>0.3</v>
      </c>
      <c r="H58" s="12">
        <v>0.25</v>
      </c>
      <c r="I58" s="12">
        <v>0</v>
      </c>
      <c r="J58" s="12">
        <v>0</v>
      </c>
      <c r="K58" s="12">
        <v>0.37</v>
      </c>
      <c r="L58" s="12">
        <v>0</v>
      </c>
      <c r="M58" s="12">
        <v>1.7999999999999998</v>
      </c>
      <c r="N58" s="12">
        <v>0</v>
      </c>
      <c r="O58" s="12">
        <v>0</v>
      </c>
      <c r="P58" s="12">
        <v>0.18</v>
      </c>
      <c r="Q58" s="12">
        <v>2.91</v>
      </c>
      <c r="R58" s="12">
        <v>2.68</v>
      </c>
      <c r="S58" s="12">
        <v>0</v>
      </c>
      <c r="T58" s="12">
        <v>0</v>
      </c>
      <c r="U58" s="12">
        <v>0.43</v>
      </c>
      <c r="V58" s="12">
        <v>1.65</v>
      </c>
      <c r="W58" s="12">
        <v>0.48</v>
      </c>
      <c r="X58" s="12">
        <v>0</v>
      </c>
      <c r="Y58" s="12">
        <v>0.41000000000000003</v>
      </c>
      <c r="Z58" s="12">
        <f t="shared" si="5"/>
        <v>14.03</v>
      </c>
      <c r="AA58" s="208">
        <f t="shared" si="1"/>
        <v>1.4164677756105047E-3</v>
      </c>
      <c r="AC58" s="209">
        <f t="shared" si="6"/>
        <v>11.059999999999999</v>
      </c>
      <c r="AD58" s="209">
        <f t="shared" si="18"/>
        <v>2.56</v>
      </c>
      <c r="AE58" s="209">
        <f t="shared" si="2"/>
        <v>0.41000000000000003</v>
      </c>
      <c r="AF58" s="209">
        <f t="shared" si="3"/>
        <v>14.03</v>
      </c>
      <c r="AG58" s="208">
        <f t="shared" si="4"/>
        <v>0.18246614397719174</v>
      </c>
      <c r="AI58" s="6" t="s">
        <v>61</v>
      </c>
      <c r="AJ58" s="209">
        <v>10.58</v>
      </c>
      <c r="AK58" s="209">
        <v>148.62000000000003</v>
      </c>
      <c r="AL58" s="382">
        <f t="shared" si="12"/>
        <v>7.1188265374781304E-2</v>
      </c>
    </row>
    <row r="59" spans="1:38" x14ac:dyDescent="0.35">
      <c r="A59" s="6" t="s">
        <v>66</v>
      </c>
      <c r="B59" s="12">
        <v>1.26</v>
      </c>
      <c r="C59" s="12">
        <v>0.03</v>
      </c>
      <c r="D59" s="12">
        <v>0</v>
      </c>
      <c r="E59" s="12">
        <v>0</v>
      </c>
      <c r="F59" s="12">
        <v>0</v>
      </c>
      <c r="G59" s="12">
        <v>0</v>
      </c>
      <c r="H59" s="12">
        <v>0.05</v>
      </c>
      <c r="I59" s="12">
        <v>0</v>
      </c>
      <c r="J59" s="12">
        <v>0</v>
      </c>
      <c r="K59" s="12">
        <v>0</v>
      </c>
      <c r="L59" s="12">
        <v>0</v>
      </c>
      <c r="M59" s="12">
        <v>0.2</v>
      </c>
      <c r="N59" s="12">
        <v>0</v>
      </c>
      <c r="O59" s="12">
        <v>0</v>
      </c>
      <c r="P59" s="12">
        <v>0</v>
      </c>
      <c r="Q59" s="12">
        <v>0</v>
      </c>
      <c r="R59" s="12">
        <v>0</v>
      </c>
      <c r="S59" s="12">
        <v>0.27</v>
      </c>
      <c r="T59" s="12">
        <v>7.0000000000000007E-2</v>
      </c>
      <c r="U59" s="12">
        <v>0</v>
      </c>
      <c r="V59" s="12">
        <v>0</v>
      </c>
      <c r="W59" s="12">
        <v>0</v>
      </c>
      <c r="X59" s="12">
        <v>0</v>
      </c>
      <c r="Y59" s="12">
        <v>0.30000000000000004</v>
      </c>
      <c r="Z59" s="12">
        <f t="shared" si="5"/>
        <v>2.1800000000000002</v>
      </c>
      <c r="AA59" s="208">
        <f t="shared" si="1"/>
        <v>2.2009264082900216E-4</v>
      </c>
      <c r="AC59" s="209">
        <f t="shared" si="6"/>
        <v>1.81</v>
      </c>
      <c r="AD59" s="209">
        <f t="shared" si="18"/>
        <v>7.0000000000000007E-2</v>
      </c>
      <c r="AE59" s="209">
        <f t="shared" si="2"/>
        <v>0.30000000000000004</v>
      </c>
      <c r="AF59" s="209">
        <f t="shared" si="3"/>
        <v>2.1800000000000002</v>
      </c>
      <c r="AG59" s="208">
        <f t="shared" si="4"/>
        <v>3.2110091743119268E-2</v>
      </c>
      <c r="AI59" s="6" t="s">
        <v>28</v>
      </c>
      <c r="AJ59" s="209">
        <v>7.5299999999999994</v>
      </c>
      <c r="AK59" s="209">
        <v>92.929999999999993</v>
      </c>
      <c r="AL59" s="382">
        <f t="shared" si="12"/>
        <v>8.1028731303131388E-2</v>
      </c>
    </row>
    <row r="60" spans="1:38" x14ac:dyDescent="0.35">
      <c r="A60" s="6" t="s">
        <v>72</v>
      </c>
      <c r="B60" s="12">
        <v>0.98000000000000009</v>
      </c>
      <c r="C60" s="12">
        <v>0</v>
      </c>
      <c r="D60" s="12">
        <v>0.12</v>
      </c>
      <c r="E60" s="12">
        <v>1.28</v>
      </c>
      <c r="F60" s="12">
        <v>0</v>
      </c>
      <c r="G60" s="12">
        <v>0</v>
      </c>
      <c r="H60" s="12">
        <v>0.16999999999999998</v>
      </c>
      <c r="I60" s="12">
        <v>0</v>
      </c>
      <c r="J60" s="12">
        <v>0</v>
      </c>
      <c r="K60" s="12">
        <v>0.2</v>
      </c>
      <c r="L60" s="12">
        <v>0</v>
      </c>
      <c r="M60" s="12">
        <v>0.42</v>
      </c>
      <c r="N60" s="12">
        <v>0</v>
      </c>
      <c r="O60" s="12">
        <v>0</v>
      </c>
      <c r="P60" s="12">
        <v>0</v>
      </c>
      <c r="Q60" s="12">
        <v>0</v>
      </c>
      <c r="R60" s="12">
        <v>0</v>
      </c>
      <c r="S60" s="12">
        <v>0</v>
      </c>
      <c r="T60" s="12">
        <v>0</v>
      </c>
      <c r="U60" s="12">
        <v>0</v>
      </c>
      <c r="V60" s="12">
        <v>0.14000000000000001</v>
      </c>
      <c r="W60" s="12">
        <v>0</v>
      </c>
      <c r="X60" s="12">
        <v>0.15</v>
      </c>
      <c r="Y60" s="12">
        <v>0.15000000000000002</v>
      </c>
      <c r="Z60" s="12">
        <f t="shared" si="5"/>
        <v>3.61</v>
      </c>
      <c r="AA60" s="208">
        <f t="shared" si="1"/>
        <v>3.6446533641866871E-4</v>
      </c>
      <c r="AC60" s="209">
        <f t="shared" si="6"/>
        <v>3.17</v>
      </c>
      <c r="AD60" s="209">
        <f t="shared" si="18"/>
        <v>0.29000000000000004</v>
      </c>
      <c r="AE60" s="209">
        <f t="shared" si="2"/>
        <v>0.15000000000000002</v>
      </c>
      <c r="AF60" s="209">
        <f t="shared" si="3"/>
        <v>3.61</v>
      </c>
      <c r="AG60" s="208">
        <f t="shared" si="4"/>
        <v>8.0332409972299179E-2</v>
      </c>
      <c r="AI60" s="6" t="s">
        <v>37</v>
      </c>
      <c r="AJ60" s="209">
        <v>6.13</v>
      </c>
      <c r="AK60" s="209">
        <v>104.74000000000001</v>
      </c>
      <c r="AL60" s="382">
        <f t="shared" si="12"/>
        <v>5.8525873591750995E-2</v>
      </c>
    </row>
    <row r="61" spans="1:38" x14ac:dyDescent="0.35">
      <c r="A61" s="310" t="s">
        <v>86</v>
      </c>
      <c r="B61" s="311">
        <v>0.74</v>
      </c>
      <c r="C61" s="311">
        <v>0</v>
      </c>
      <c r="D61" s="311">
        <v>0</v>
      </c>
      <c r="E61" s="311">
        <v>0</v>
      </c>
      <c r="F61" s="311">
        <v>0</v>
      </c>
      <c r="G61" s="311">
        <v>0</v>
      </c>
      <c r="H61" s="311">
        <v>0</v>
      </c>
      <c r="I61" s="311">
        <v>0</v>
      </c>
      <c r="J61" s="311">
        <v>0</v>
      </c>
      <c r="K61" s="311">
        <v>0</v>
      </c>
      <c r="L61" s="311">
        <v>0</v>
      </c>
      <c r="M61" s="311">
        <v>0.51</v>
      </c>
      <c r="N61" s="311">
        <v>0</v>
      </c>
      <c r="O61" s="311">
        <v>0</v>
      </c>
      <c r="P61" s="311">
        <v>0</v>
      </c>
      <c r="Q61" s="311">
        <v>0</v>
      </c>
      <c r="R61" s="311">
        <v>0</v>
      </c>
      <c r="S61" s="311">
        <v>0.5</v>
      </c>
      <c r="T61" s="311">
        <v>0</v>
      </c>
      <c r="U61" s="311">
        <v>0</v>
      </c>
      <c r="V61" s="311">
        <v>0</v>
      </c>
      <c r="W61" s="311">
        <v>0.42</v>
      </c>
      <c r="X61" s="311">
        <v>0</v>
      </c>
      <c r="Y61" s="311">
        <v>0.03</v>
      </c>
      <c r="Z61" s="311">
        <f>SUM(B61:Y61)</f>
        <v>2.1999999999999997</v>
      </c>
      <c r="AA61" s="312">
        <f t="shared" si="1"/>
        <v>2.2211183936871775E-4</v>
      </c>
      <c r="AC61" s="311">
        <f t="shared" si="6"/>
        <v>1.75</v>
      </c>
      <c r="AD61" s="311">
        <f>SUM(T61:X61)</f>
        <v>0.42</v>
      </c>
      <c r="AE61" s="311">
        <f t="shared" si="2"/>
        <v>0.03</v>
      </c>
      <c r="AF61" s="311">
        <f t="shared" si="3"/>
        <v>2.1999999999999997</v>
      </c>
      <c r="AG61" s="312">
        <f t="shared" si="4"/>
        <v>0.19090909090909092</v>
      </c>
      <c r="AI61" s="6" t="s">
        <v>7</v>
      </c>
      <c r="AJ61" s="209">
        <v>4.5799999999999992</v>
      </c>
      <c r="AK61" s="209">
        <v>10.91</v>
      </c>
      <c r="AL61" s="382">
        <f t="shared" si="12"/>
        <v>0.41979835013748845</v>
      </c>
    </row>
    <row r="62" spans="1:38" x14ac:dyDescent="0.35">
      <c r="A62" s="6" t="s">
        <v>18</v>
      </c>
      <c r="B62" s="12">
        <v>0.74</v>
      </c>
      <c r="C62" s="12">
        <v>0</v>
      </c>
      <c r="D62" s="12">
        <v>0</v>
      </c>
      <c r="E62" s="12">
        <v>0</v>
      </c>
      <c r="F62" s="12">
        <v>0</v>
      </c>
      <c r="G62" s="12">
        <v>0</v>
      </c>
      <c r="H62" s="12">
        <v>0</v>
      </c>
      <c r="I62" s="12">
        <v>0</v>
      </c>
      <c r="J62" s="12">
        <v>0</v>
      </c>
      <c r="K62" s="12">
        <v>0</v>
      </c>
      <c r="L62" s="12">
        <v>0</v>
      </c>
      <c r="M62" s="12">
        <v>0.51</v>
      </c>
      <c r="N62" s="12">
        <v>0</v>
      </c>
      <c r="O62" s="12">
        <v>0</v>
      </c>
      <c r="P62" s="12">
        <v>0</v>
      </c>
      <c r="Q62" s="12">
        <v>0</v>
      </c>
      <c r="R62" s="12">
        <v>0</v>
      </c>
      <c r="S62" s="12">
        <v>0.5</v>
      </c>
      <c r="T62" s="12">
        <v>0</v>
      </c>
      <c r="U62" s="12">
        <v>0</v>
      </c>
      <c r="V62" s="12">
        <v>0</v>
      </c>
      <c r="W62" s="12">
        <v>0.42</v>
      </c>
      <c r="X62" s="12">
        <v>0</v>
      </c>
      <c r="Y62" s="12">
        <v>0.03</v>
      </c>
      <c r="Z62" s="12">
        <f t="shared" si="5"/>
        <v>2.1999999999999997</v>
      </c>
      <c r="AA62" s="208">
        <f t="shared" si="1"/>
        <v>2.2211183936871775E-4</v>
      </c>
      <c r="AC62" s="209">
        <f t="shared" si="6"/>
        <v>1.75</v>
      </c>
      <c r="AD62" s="209">
        <f t="shared" si="18"/>
        <v>0.42</v>
      </c>
      <c r="AE62" s="209">
        <f t="shared" si="2"/>
        <v>0.03</v>
      </c>
      <c r="AF62" s="209">
        <f t="shared" si="3"/>
        <v>2.1999999999999997</v>
      </c>
      <c r="AG62" s="208">
        <f t="shared" si="4"/>
        <v>0.19090909090909092</v>
      </c>
      <c r="AI62" s="6" t="s">
        <v>50</v>
      </c>
      <c r="AJ62" s="209">
        <v>3.6599999999999997</v>
      </c>
      <c r="AK62" s="209">
        <v>5.89</v>
      </c>
      <c r="AL62" s="382">
        <f t="shared" si="12"/>
        <v>0.62139219015280134</v>
      </c>
    </row>
    <row r="63" spans="1:38" x14ac:dyDescent="0.35">
      <c r="A63" s="310" t="s">
        <v>19</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2">
        <f t="shared" si="1"/>
        <v>0</v>
      </c>
      <c r="AC63" s="311">
        <f t="shared" si="6"/>
        <v>0</v>
      </c>
      <c r="AD63" s="311">
        <f>SUM(T63:X63)</f>
        <v>0</v>
      </c>
      <c r="AE63" s="311">
        <f t="shared" si="2"/>
        <v>0</v>
      </c>
      <c r="AF63" s="311">
        <f t="shared" si="3"/>
        <v>0</v>
      </c>
      <c r="AG63" s="312"/>
      <c r="AI63" s="6" t="s">
        <v>34</v>
      </c>
      <c r="AJ63" s="209">
        <v>3.6000000000000005</v>
      </c>
      <c r="AK63" s="209">
        <v>37.020000000000003</v>
      </c>
      <c r="AL63" s="382">
        <f t="shared" si="12"/>
        <v>9.7244732576985418E-2</v>
      </c>
    </row>
    <row r="64" spans="1:38" x14ac:dyDescent="0.35">
      <c r="A64" s="6" t="s">
        <v>57</v>
      </c>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208">
        <f t="shared" si="1"/>
        <v>0</v>
      </c>
      <c r="AC64" s="209">
        <f t="shared" si="6"/>
        <v>0</v>
      </c>
      <c r="AD64" s="209">
        <f t="shared" si="18"/>
        <v>0</v>
      </c>
      <c r="AE64" s="209">
        <f t="shared" si="2"/>
        <v>0</v>
      </c>
      <c r="AF64" s="209">
        <f t="shared" si="3"/>
        <v>0</v>
      </c>
      <c r="AG64" s="208"/>
      <c r="AI64" s="6" t="s">
        <v>65</v>
      </c>
      <c r="AJ64" s="209">
        <v>2.56</v>
      </c>
      <c r="AK64" s="209">
        <v>14.03</v>
      </c>
      <c r="AL64" s="382">
        <f t="shared" si="12"/>
        <v>0.18246614397719174</v>
      </c>
    </row>
    <row r="65" spans="1:38" x14ac:dyDescent="0.35">
      <c r="A65" s="6" t="s">
        <v>62</v>
      </c>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208">
        <f t="shared" si="1"/>
        <v>0</v>
      </c>
      <c r="AC65" s="209">
        <f t="shared" si="6"/>
        <v>0</v>
      </c>
      <c r="AD65" s="209">
        <f t="shared" si="18"/>
        <v>0</v>
      </c>
      <c r="AE65" s="209">
        <f t="shared" si="2"/>
        <v>0</v>
      </c>
      <c r="AF65" s="209">
        <f t="shared" si="3"/>
        <v>0</v>
      </c>
      <c r="AG65" s="208"/>
      <c r="AI65" s="6" t="s">
        <v>74</v>
      </c>
      <c r="AJ65" s="209">
        <v>2.34</v>
      </c>
      <c r="AK65" s="209">
        <v>25.049999999999994</v>
      </c>
      <c r="AL65" s="382">
        <f t="shared" si="12"/>
        <v>9.3413173652694623E-2</v>
      </c>
    </row>
    <row r="66" spans="1:38" x14ac:dyDescent="0.35">
      <c r="A66" s="310" t="s">
        <v>20</v>
      </c>
      <c r="B66" s="311">
        <v>56.199999999999989</v>
      </c>
      <c r="C66" s="311">
        <v>17.369999999999997</v>
      </c>
      <c r="D66" s="311">
        <v>0.55999999999999994</v>
      </c>
      <c r="E66" s="311">
        <v>2.0700000000000003</v>
      </c>
      <c r="F66" s="311">
        <v>1.2600000000000002</v>
      </c>
      <c r="G66" s="311">
        <v>6.32</v>
      </c>
      <c r="H66" s="311">
        <v>1.5600000000000003</v>
      </c>
      <c r="I66" s="311">
        <v>6.26</v>
      </c>
      <c r="J66" s="311">
        <v>20.88</v>
      </c>
      <c r="K66" s="311">
        <v>2.36</v>
      </c>
      <c r="L66" s="311">
        <v>3.47</v>
      </c>
      <c r="M66" s="311">
        <v>5.4700000000000006</v>
      </c>
      <c r="N66" s="311">
        <v>4.3000000000000007</v>
      </c>
      <c r="O66" s="311">
        <v>0.85000000000000009</v>
      </c>
      <c r="P66" s="311">
        <v>1.08</v>
      </c>
      <c r="Q66" s="311">
        <v>0.52</v>
      </c>
      <c r="R66" s="311">
        <v>1.4500000000000002</v>
      </c>
      <c r="S66" s="311">
        <v>26.5</v>
      </c>
      <c r="T66" s="311">
        <v>3.2300000000000004</v>
      </c>
      <c r="U66" s="311">
        <v>1.4600000000000002</v>
      </c>
      <c r="V66" s="311">
        <v>5.25</v>
      </c>
      <c r="W66" s="311">
        <v>5.330000000000001</v>
      </c>
      <c r="X66" s="311">
        <v>7.9</v>
      </c>
      <c r="Y66" s="311">
        <v>1.67</v>
      </c>
      <c r="Z66" s="311">
        <f t="shared" ref="Z66:Z77" si="20">SUM(B66:Y66)</f>
        <v>183.32000000000002</v>
      </c>
      <c r="AA66" s="312">
        <f t="shared" si="1"/>
        <v>1.850797381503334E-2</v>
      </c>
      <c r="AC66" s="311">
        <f t="shared" si="6"/>
        <v>158.48000000000002</v>
      </c>
      <c r="AD66" s="311">
        <f>SUM(T66:X66)</f>
        <v>23.17</v>
      </c>
      <c r="AE66" s="311">
        <f t="shared" si="2"/>
        <v>1.67</v>
      </c>
      <c r="AF66" s="311">
        <f t="shared" si="3"/>
        <v>183.32000000000002</v>
      </c>
      <c r="AG66" s="312">
        <f t="shared" si="4"/>
        <v>0.12639101025529129</v>
      </c>
      <c r="AI66" s="6" t="s">
        <v>21</v>
      </c>
      <c r="AJ66" s="209">
        <v>1.8900000000000001</v>
      </c>
      <c r="AK66" s="209">
        <v>3.3200000000000003</v>
      </c>
      <c r="AL66" s="382">
        <f t="shared" si="12"/>
        <v>0.56927710843373491</v>
      </c>
    </row>
    <row r="67" spans="1:38" x14ac:dyDescent="0.35">
      <c r="A67" s="6" t="s">
        <v>20</v>
      </c>
      <c r="B67" s="12">
        <v>56.199999999999989</v>
      </c>
      <c r="C67" s="12">
        <v>17.369999999999997</v>
      </c>
      <c r="D67" s="12">
        <v>0.55999999999999994</v>
      </c>
      <c r="E67" s="12">
        <v>2.0700000000000003</v>
      </c>
      <c r="F67" s="12">
        <v>1.2600000000000002</v>
      </c>
      <c r="G67" s="12">
        <v>6.32</v>
      </c>
      <c r="H67" s="12">
        <v>1.5600000000000003</v>
      </c>
      <c r="I67" s="12">
        <v>6.26</v>
      </c>
      <c r="J67" s="12">
        <v>20.88</v>
      </c>
      <c r="K67" s="12">
        <v>2.36</v>
      </c>
      <c r="L67" s="12">
        <v>3.47</v>
      </c>
      <c r="M67" s="12">
        <v>5.4700000000000006</v>
      </c>
      <c r="N67" s="12">
        <v>4.3000000000000007</v>
      </c>
      <c r="O67" s="12">
        <v>0.85000000000000009</v>
      </c>
      <c r="P67" s="12">
        <v>1.08</v>
      </c>
      <c r="Q67" s="12">
        <v>0.52</v>
      </c>
      <c r="R67" s="12">
        <v>1.4500000000000002</v>
      </c>
      <c r="S67" s="12">
        <v>26.5</v>
      </c>
      <c r="T67" s="12">
        <v>3.2300000000000004</v>
      </c>
      <c r="U67" s="12">
        <v>1.4600000000000002</v>
      </c>
      <c r="V67" s="12">
        <v>5.25</v>
      </c>
      <c r="W67" s="12">
        <v>5.330000000000001</v>
      </c>
      <c r="X67" s="12">
        <v>7.9</v>
      </c>
      <c r="Y67" s="12">
        <v>1.67</v>
      </c>
      <c r="Z67" s="12">
        <f t="shared" si="20"/>
        <v>183.32000000000002</v>
      </c>
      <c r="AA67" s="208">
        <f t="shared" si="1"/>
        <v>1.850797381503334E-2</v>
      </c>
      <c r="AC67" s="209">
        <f t="shared" si="6"/>
        <v>158.48000000000002</v>
      </c>
      <c r="AD67" s="209">
        <f t="shared" si="18"/>
        <v>23.17</v>
      </c>
      <c r="AE67" s="209">
        <f t="shared" si="2"/>
        <v>1.67</v>
      </c>
      <c r="AF67" s="209">
        <f t="shared" si="3"/>
        <v>183.32000000000002</v>
      </c>
      <c r="AG67" s="208">
        <f t="shared" si="4"/>
        <v>0.12639101025529129</v>
      </c>
      <c r="AL67" s="382"/>
    </row>
    <row r="68" spans="1:38" x14ac:dyDescent="0.35">
      <c r="A68" s="310" t="s">
        <v>21</v>
      </c>
      <c r="B68" s="311">
        <v>0</v>
      </c>
      <c r="C68" s="311">
        <v>0</v>
      </c>
      <c r="D68" s="311">
        <v>0</v>
      </c>
      <c r="E68" s="311">
        <v>0</v>
      </c>
      <c r="F68" s="311">
        <v>0</v>
      </c>
      <c r="G68" s="311">
        <v>0</v>
      </c>
      <c r="H68" s="311">
        <v>0</v>
      </c>
      <c r="I68" s="311">
        <v>0</v>
      </c>
      <c r="J68" s="311">
        <v>0</v>
      </c>
      <c r="K68" s="311">
        <v>0</v>
      </c>
      <c r="L68" s="311">
        <v>0.18</v>
      </c>
      <c r="M68" s="311">
        <v>0</v>
      </c>
      <c r="N68" s="311">
        <v>0</v>
      </c>
      <c r="O68" s="311">
        <v>0.91</v>
      </c>
      <c r="P68" s="311">
        <v>0</v>
      </c>
      <c r="Q68" s="311">
        <v>0</v>
      </c>
      <c r="R68" s="311">
        <v>0.28999999999999998</v>
      </c>
      <c r="S68" s="311">
        <v>0</v>
      </c>
      <c r="T68" s="311">
        <v>0</v>
      </c>
      <c r="U68" s="311">
        <v>0.39</v>
      </c>
      <c r="V68" s="311">
        <v>1.5</v>
      </c>
      <c r="W68" s="311">
        <v>0</v>
      </c>
      <c r="X68" s="311">
        <v>0</v>
      </c>
      <c r="Y68" s="311">
        <v>0.05</v>
      </c>
      <c r="Z68" s="311">
        <f>SUM(B68:Y68)</f>
        <v>3.32</v>
      </c>
      <c r="AA68" s="312">
        <f t="shared" si="1"/>
        <v>3.3518695759279224E-4</v>
      </c>
      <c r="AC68" s="311">
        <f t="shared" si="6"/>
        <v>1.3800000000000001</v>
      </c>
      <c r="AD68" s="311">
        <f>SUM(T68:X68)</f>
        <v>1.8900000000000001</v>
      </c>
      <c r="AE68" s="311">
        <f t="shared" si="2"/>
        <v>0.05</v>
      </c>
      <c r="AF68" s="311">
        <f t="shared" si="3"/>
        <v>3.3200000000000003</v>
      </c>
      <c r="AG68" s="312">
        <f t="shared" si="4"/>
        <v>0.56927710843373491</v>
      </c>
    </row>
    <row r="69" spans="1:38" x14ac:dyDescent="0.35">
      <c r="A69" s="6" t="s">
        <v>21</v>
      </c>
      <c r="B69" s="12">
        <v>0</v>
      </c>
      <c r="C69" s="12">
        <v>0</v>
      </c>
      <c r="D69" s="12">
        <v>0</v>
      </c>
      <c r="E69" s="12">
        <v>0</v>
      </c>
      <c r="F69" s="12">
        <v>0</v>
      </c>
      <c r="G69" s="12">
        <v>0</v>
      </c>
      <c r="H69" s="12">
        <v>0</v>
      </c>
      <c r="I69" s="12">
        <v>0</v>
      </c>
      <c r="J69" s="12">
        <v>0</v>
      </c>
      <c r="K69" s="12">
        <v>0</v>
      </c>
      <c r="L69" s="12">
        <v>0.18</v>
      </c>
      <c r="M69" s="12">
        <v>0</v>
      </c>
      <c r="N69" s="12">
        <v>0</v>
      </c>
      <c r="O69" s="12">
        <v>0.91</v>
      </c>
      <c r="P69" s="12">
        <v>0</v>
      </c>
      <c r="Q69" s="12">
        <v>0</v>
      </c>
      <c r="R69" s="12">
        <v>0.28999999999999998</v>
      </c>
      <c r="S69" s="12">
        <v>0</v>
      </c>
      <c r="T69" s="12">
        <v>0</v>
      </c>
      <c r="U69" s="12">
        <v>0.39</v>
      </c>
      <c r="V69" s="12">
        <v>1.5</v>
      </c>
      <c r="W69" s="12">
        <v>0</v>
      </c>
      <c r="X69" s="12">
        <v>0</v>
      </c>
      <c r="Y69" s="12">
        <v>0.05</v>
      </c>
      <c r="Z69" s="12">
        <f t="shared" si="20"/>
        <v>3.32</v>
      </c>
      <c r="AA69" s="208">
        <f t="shared" si="1"/>
        <v>3.3518695759279224E-4</v>
      </c>
      <c r="AC69" s="209">
        <f t="shared" si="6"/>
        <v>1.3800000000000001</v>
      </c>
      <c r="AD69" s="209">
        <f t="shared" si="18"/>
        <v>1.8900000000000001</v>
      </c>
      <c r="AE69" s="209">
        <f t="shared" si="2"/>
        <v>0.05</v>
      </c>
      <c r="AF69" s="209">
        <f t="shared" si="3"/>
        <v>3.3200000000000003</v>
      </c>
      <c r="AG69" s="208">
        <f t="shared" si="4"/>
        <v>0.56927710843373491</v>
      </c>
    </row>
    <row r="70" spans="1:38" x14ac:dyDescent="0.35">
      <c r="A70" s="310" t="s">
        <v>22</v>
      </c>
      <c r="B70" s="311">
        <v>102.85000000000004</v>
      </c>
      <c r="C70" s="311">
        <v>6.98</v>
      </c>
      <c r="D70" s="311">
        <v>7.82</v>
      </c>
      <c r="E70" s="311">
        <v>0.31</v>
      </c>
      <c r="F70" s="311">
        <v>1.75</v>
      </c>
      <c r="G70" s="311">
        <v>0.12</v>
      </c>
      <c r="H70" s="311">
        <v>3.7699999999999996</v>
      </c>
      <c r="I70" s="311">
        <v>0</v>
      </c>
      <c r="J70" s="311">
        <v>0.01</v>
      </c>
      <c r="K70" s="311">
        <v>0.06</v>
      </c>
      <c r="L70" s="311">
        <v>0.33999999999999997</v>
      </c>
      <c r="M70" s="311">
        <v>2.5</v>
      </c>
      <c r="N70" s="311">
        <v>0</v>
      </c>
      <c r="O70" s="311">
        <v>1.35</v>
      </c>
      <c r="P70" s="311">
        <v>1.27</v>
      </c>
      <c r="Q70" s="311">
        <v>4.78</v>
      </c>
      <c r="R70" s="311">
        <v>1.05</v>
      </c>
      <c r="S70" s="311">
        <v>4.1399999999999997</v>
      </c>
      <c r="T70" s="311">
        <v>0.81</v>
      </c>
      <c r="U70" s="311">
        <v>1.45</v>
      </c>
      <c r="V70" s="311">
        <v>0.64</v>
      </c>
      <c r="W70" s="311">
        <v>14</v>
      </c>
      <c r="X70" s="311">
        <v>1.61</v>
      </c>
      <c r="Y70" s="311">
        <v>0.32999999999999996</v>
      </c>
      <c r="Z70" s="311">
        <f t="shared" si="20"/>
        <v>157.94000000000005</v>
      </c>
      <c r="AA70" s="312">
        <f t="shared" si="1"/>
        <v>1.5945610868134227E-2</v>
      </c>
      <c r="AC70" s="311">
        <f t="shared" si="6"/>
        <v>139.10000000000005</v>
      </c>
      <c r="AD70" s="311">
        <f>SUM(T70:X70)</f>
        <v>18.509999999999998</v>
      </c>
      <c r="AE70" s="311">
        <f t="shared" si="2"/>
        <v>0.32999999999999996</v>
      </c>
      <c r="AF70" s="311">
        <f t="shared" si="3"/>
        <v>157.94000000000005</v>
      </c>
      <c r="AG70" s="312">
        <f t="shared" si="4"/>
        <v>0.11719640369760663</v>
      </c>
    </row>
    <row r="71" spans="1:38" x14ac:dyDescent="0.35">
      <c r="A71" s="6" t="s">
        <v>22</v>
      </c>
      <c r="B71" s="12">
        <v>102.85000000000004</v>
      </c>
      <c r="C71" s="12">
        <v>6.98</v>
      </c>
      <c r="D71" s="12">
        <v>7.82</v>
      </c>
      <c r="E71" s="12">
        <v>0.31</v>
      </c>
      <c r="F71" s="12">
        <v>1.75</v>
      </c>
      <c r="G71" s="12">
        <v>0.12</v>
      </c>
      <c r="H71" s="12">
        <v>3.7699999999999996</v>
      </c>
      <c r="I71" s="12">
        <v>0</v>
      </c>
      <c r="J71" s="12">
        <v>0.01</v>
      </c>
      <c r="K71" s="12">
        <v>0.06</v>
      </c>
      <c r="L71" s="12">
        <v>0.33999999999999997</v>
      </c>
      <c r="M71" s="12">
        <v>2.5</v>
      </c>
      <c r="N71" s="12">
        <v>0</v>
      </c>
      <c r="O71" s="12">
        <v>1.35</v>
      </c>
      <c r="P71" s="12">
        <v>1.27</v>
      </c>
      <c r="Q71" s="12">
        <v>4.78</v>
      </c>
      <c r="R71" s="12">
        <v>1.05</v>
      </c>
      <c r="S71" s="12">
        <v>4.1399999999999997</v>
      </c>
      <c r="T71" s="12">
        <v>0.81</v>
      </c>
      <c r="U71" s="12">
        <v>1.45</v>
      </c>
      <c r="V71" s="12">
        <v>0.64</v>
      </c>
      <c r="W71" s="12">
        <v>14</v>
      </c>
      <c r="X71" s="12">
        <v>1.61</v>
      </c>
      <c r="Y71" s="12">
        <v>0.32999999999999996</v>
      </c>
      <c r="Z71" s="12">
        <f t="shared" si="20"/>
        <v>157.94000000000005</v>
      </c>
      <c r="AA71" s="208">
        <f t="shared" si="1"/>
        <v>1.5945610868134227E-2</v>
      </c>
      <c r="AC71" s="209">
        <f t="shared" si="6"/>
        <v>139.10000000000005</v>
      </c>
      <c r="AD71" s="209">
        <f t="shared" si="18"/>
        <v>18.509999999999998</v>
      </c>
      <c r="AE71" s="209">
        <f t="shared" si="2"/>
        <v>0.32999999999999996</v>
      </c>
      <c r="AF71" s="209">
        <f t="shared" si="3"/>
        <v>157.94000000000005</v>
      </c>
      <c r="AG71" s="208">
        <f t="shared" si="4"/>
        <v>0.11719640369760663</v>
      </c>
    </row>
    <row r="72" spans="1:38" x14ac:dyDescent="0.35">
      <c r="A72" s="310" t="s">
        <v>23</v>
      </c>
      <c r="B72" s="311">
        <v>24.660000000000004</v>
      </c>
      <c r="C72" s="311">
        <v>6.93</v>
      </c>
      <c r="D72" s="311">
        <v>0.78</v>
      </c>
      <c r="E72" s="311">
        <v>4.66</v>
      </c>
      <c r="F72" s="311">
        <v>8.17</v>
      </c>
      <c r="G72" s="311">
        <v>15.53</v>
      </c>
      <c r="H72" s="311">
        <v>4.3099999999999996</v>
      </c>
      <c r="I72" s="311">
        <v>0.14000000000000001</v>
      </c>
      <c r="J72" s="311">
        <v>5.0199999999999996</v>
      </c>
      <c r="K72" s="311">
        <v>0.89999999999999991</v>
      </c>
      <c r="L72" s="311">
        <v>15.280000000000001</v>
      </c>
      <c r="M72" s="311">
        <v>1.3900000000000001</v>
      </c>
      <c r="N72" s="311">
        <v>15.680000000000001</v>
      </c>
      <c r="O72" s="311">
        <v>1.2</v>
      </c>
      <c r="P72" s="311">
        <v>3.5700000000000003</v>
      </c>
      <c r="Q72" s="311">
        <v>3.66</v>
      </c>
      <c r="R72" s="311">
        <v>18.38</v>
      </c>
      <c r="S72" s="311">
        <v>7.4799999999999995</v>
      </c>
      <c r="T72" s="311">
        <v>11.649999999999999</v>
      </c>
      <c r="U72" s="311">
        <v>10.81</v>
      </c>
      <c r="V72" s="311">
        <v>7.8999999999999995</v>
      </c>
      <c r="W72" s="311">
        <v>1.31</v>
      </c>
      <c r="X72" s="311">
        <v>1.5</v>
      </c>
      <c r="Y72" s="311">
        <v>1.5700000000000003</v>
      </c>
      <c r="Z72" s="311">
        <v>172.48000000000002</v>
      </c>
      <c r="AA72" s="312">
        <f t="shared" si="1"/>
        <v>1.7413568206507475E-2</v>
      </c>
      <c r="AC72" s="311">
        <f t="shared" si="6"/>
        <v>137.74</v>
      </c>
      <c r="AD72" s="311">
        <f>SUM(T72:X72)</f>
        <v>33.17</v>
      </c>
      <c r="AE72" s="311">
        <f t="shared" si="2"/>
        <v>1.5700000000000003</v>
      </c>
      <c r="AF72" s="311">
        <f t="shared" si="3"/>
        <v>172.48000000000002</v>
      </c>
      <c r="AG72" s="312">
        <f t="shared" si="4"/>
        <v>0.19231215213358069</v>
      </c>
    </row>
    <row r="73" spans="1:38" x14ac:dyDescent="0.35">
      <c r="A73" s="6" t="s">
        <v>23</v>
      </c>
      <c r="B73" s="12">
        <v>24.660000000000004</v>
      </c>
      <c r="C73" s="12">
        <v>6.93</v>
      </c>
      <c r="D73" s="12">
        <v>0.78</v>
      </c>
      <c r="E73" s="12">
        <v>4.66</v>
      </c>
      <c r="F73" s="12">
        <v>8.17</v>
      </c>
      <c r="G73" s="12">
        <v>15.53</v>
      </c>
      <c r="H73" s="12">
        <v>4.3099999999999996</v>
      </c>
      <c r="I73" s="12">
        <v>0.14000000000000001</v>
      </c>
      <c r="J73" s="12">
        <v>5.0199999999999996</v>
      </c>
      <c r="K73" s="12">
        <v>0.89999999999999991</v>
      </c>
      <c r="L73" s="12">
        <v>15.280000000000001</v>
      </c>
      <c r="M73" s="12">
        <v>1.3900000000000001</v>
      </c>
      <c r="N73" s="12">
        <v>15.680000000000001</v>
      </c>
      <c r="O73" s="12">
        <v>1.2</v>
      </c>
      <c r="P73" s="12">
        <v>3.5700000000000003</v>
      </c>
      <c r="Q73" s="12">
        <v>3.66</v>
      </c>
      <c r="R73" s="12">
        <v>18.38</v>
      </c>
      <c r="S73" s="12">
        <v>7.4799999999999995</v>
      </c>
      <c r="T73" s="12">
        <v>11.649999999999999</v>
      </c>
      <c r="U73" s="12">
        <v>10.81</v>
      </c>
      <c r="V73" s="12">
        <v>7.8999999999999995</v>
      </c>
      <c r="W73" s="12">
        <v>1.31</v>
      </c>
      <c r="X73" s="12">
        <v>1.5</v>
      </c>
      <c r="Y73" s="12">
        <v>1.5700000000000003</v>
      </c>
      <c r="Z73" s="12">
        <f t="shared" si="20"/>
        <v>172.48000000000002</v>
      </c>
      <c r="AA73" s="208">
        <f t="shared" si="1"/>
        <v>1.7413568206507475E-2</v>
      </c>
      <c r="AC73" s="209">
        <f t="shared" si="6"/>
        <v>137.74</v>
      </c>
      <c r="AD73" s="209">
        <f t="shared" si="18"/>
        <v>33.17</v>
      </c>
      <c r="AE73" s="209">
        <f t="shared" si="2"/>
        <v>1.5700000000000003</v>
      </c>
      <c r="AF73" s="209">
        <f t="shared" si="3"/>
        <v>172.48000000000002</v>
      </c>
      <c r="AG73" s="208">
        <f t="shared" si="4"/>
        <v>0.19231215213358069</v>
      </c>
    </row>
    <row r="74" spans="1:38" x14ac:dyDescent="0.35">
      <c r="A74" s="310" t="s">
        <v>76</v>
      </c>
      <c r="B74" s="311">
        <f>SUM(B75:B77)</f>
        <v>68.84</v>
      </c>
      <c r="C74" s="311">
        <f t="shared" ref="C74:Z74" si="21">SUM(C75:C77)</f>
        <v>10.16</v>
      </c>
      <c r="D74" s="311">
        <f t="shared" si="21"/>
        <v>0.47000000000000003</v>
      </c>
      <c r="E74" s="311">
        <f t="shared" si="21"/>
        <v>0.89999999999999991</v>
      </c>
      <c r="F74" s="311">
        <f t="shared" si="21"/>
        <v>0.87000000000000011</v>
      </c>
      <c r="G74" s="311">
        <f t="shared" si="21"/>
        <v>2.8000000000000003</v>
      </c>
      <c r="H74" s="311">
        <f t="shared" si="21"/>
        <v>1.31</v>
      </c>
      <c r="I74" s="311">
        <f t="shared" si="21"/>
        <v>1.1200000000000001</v>
      </c>
      <c r="J74" s="311">
        <f t="shared" si="21"/>
        <v>3</v>
      </c>
      <c r="K74" s="311">
        <f t="shared" si="21"/>
        <v>2.2999999999999998</v>
      </c>
      <c r="L74" s="311">
        <f t="shared" si="21"/>
        <v>2.4500000000000002</v>
      </c>
      <c r="M74" s="311">
        <f t="shared" si="21"/>
        <v>3.4</v>
      </c>
      <c r="N74" s="311">
        <f t="shared" si="21"/>
        <v>2.42</v>
      </c>
      <c r="O74" s="311">
        <f t="shared" si="21"/>
        <v>1.1200000000000001</v>
      </c>
      <c r="P74" s="311">
        <f t="shared" si="21"/>
        <v>0.31</v>
      </c>
      <c r="Q74" s="311">
        <f t="shared" si="21"/>
        <v>2.4</v>
      </c>
      <c r="R74" s="311">
        <f t="shared" si="21"/>
        <v>1.35</v>
      </c>
      <c r="S74" s="311">
        <f t="shared" si="21"/>
        <v>0.33999999999999997</v>
      </c>
      <c r="T74" s="311">
        <f t="shared" si="21"/>
        <v>3.67</v>
      </c>
      <c r="U74" s="311">
        <f t="shared" si="21"/>
        <v>3.2199999999999998</v>
      </c>
      <c r="V74" s="311">
        <f t="shared" si="21"/>
        <v>6.66</v>
      </c>
      <c r="W74" s="311">
        <f t="shared" si="21"/>
        <v>1.1900000000000002</v>
      </c>
      <c r="X74" s="311">
        <f t="shared" si="21"/>
        <v>15.32</v>
      </c>
      <c r="Y74" s="311">
        <f t="shared" si="21"/>
        <v>2.35</v>
      </c>
      <c r="Z74" s="311">
        <f t="shared" si="21"/>
        <v>137.97</v>
      </c>
      <c r="AA74" s="312">
        <f t="shared" si="1"/>
        <v>1.3929441126228178E-2</v>
      </c>
      <c r="AC74" s="311">
        <f t="shared" si="6"/>
        <v>105.56000000000003</v>
      </c>
      <c r="AD74" s="311">
        <f>SUM(T74:X74)</f>
        <v>30.060000000000002</v>
      </c>
      <c r="AE74" s="311">
        <f t="shared" si="2"/>
        <v>2.35</v>
      </c>
      <c r="AF74" s="311">
        <f t="shared" si="3"/>
        <v>137.97000000000003</v>
      </c>
      <c r="AG74" s="312">
        <f t="shared" si="4"/>
        <v>0.21787345075016304</v>
      </c>
    </row>
    <row r="75" spans="1:38" x14ac:dyDescent="0.35">
      <c r="A75" s="6" t="s">
        <v>59</v>
      </c>
      <c r="B75" s="12">
        <v>3.9099999999999997</v>
      </c>
      <c r="C75" s="12">
        <v>0.51</v>
      </c>
      <c r="D75" s="12">
        <v>0.27</v>
      </c>
      <c r="E75" s="12">
        <v>0</v>
      </c>
      <c r="F75" s="12">
        <v>0.56000000000000005</v>
      </c>
      <c r="G75" s="12">
        <v>0.51</v>
      </c>
      <c r="H75" s="12">
        <v>0.73</v>
      </c>
      <c r="I75" s="12">
        <v>0.68</v>
      </c>
      <c r="J75" s="12">
        <v>0.65</v>
      </c>
      <c r="K75" s="12">
        <v>0.25</v>
      </c>
      <c r="L75" s="12">
        <v>0.16</v>
      </c>
      <c r="M75" s="12">
        <v>2.46</v>
      </c>
      <c r="N75" s="12">
        <v>1.99</v>
      </c>
      <c r="O75" s="12">
        <v>0.82000000000000006</v>
      </c>
      <c r="P75" s="12">
        <v>0.12</v>
      </c>
      <c r="Q75" s="12">
        <v>0.09</v>
      </c>
      <c r="R75" s="12">
        <v>0.67</v>
      </c>
      <c r="S75" s="12">
        <v>0.19</v>
      </c>
      <c r="T75" s="12">
        <v>0.26</v>
      </c>
      <c r="U75" s="12">
        <v>2.31</v>
      </c>
      <c r="V75" s="12">
        <v>6.66</v>
      </c>
      <c r="W75" s="12">
        <v>1.1400000000000001</v>
      </c>
      <c r="X75" s="12">
        <v>3.45</v>
      </c>
      <c r="Y75" s="12">
        <v>0.14000000000000001</v>
      </c>
      <c r="Z75" s="12">
        <f t="shared" si="20"/>
        <v>28.53</v>
      </c>
      <c r="AA75" s="208">
        <f t="shared" si="1"/>
        <v>2.8803867169043262E-3</v>
      </c>
      <c r="AC75" s="209">
        <f t="shared" si="6"/>
        <v>14.57</v>
      </c>
      <c r="AD75" s="209">
        <f t="shared" si="18"/>
        <v>13.82</v>
      </c>
      <c r="AE75" s="209">
        <f t="shared" si="2"/>
        <v>0.14000000000000001</v>
      </c>
      <c r="AF75" s="209">
        <f t="shared" si="3"/>
        <v>28.53</v>
      </c>
      <c r="AG75" s="208">
        <f t="shared" si="4"/>
        <v>0.48440238345601122</v>
      </c>
    </row>
    <row r="76" spans="1:38" x14ac:dyDescent="0.35">
      <c r="A76" s="6" t="s">
        <v>73</v>
      </c>
      <c r="B76" s="12">
        <v>50.5</v>
      </c>
      <c r="C76" s="12">
        <v>6.34</v>
      </c>
      <c r="D76" s="12">
        <v>0.2</v>
      </c>
      <c r="E76" s="12">
        <v>0.89999999999999991</v>
      </c>
      <c r="F76" s="12">
        <v>0.31</v>
      </c>
      <c r="G76" s="12">
        <v>2.23</v>
      </c>
      <c r="H76" s="12">
        <v>0.31</v>
      </c>
      <c r="I76" s="12">
        <v>0.44</v>
      </c>
      <c r="J76" s="12">
        <v>1.6</v>
      </c>
      <c r="K76" s="12">
        <v>1.1499999999999999</v>
      </c>
      <c r="L76" s="12">
        <v>1.59</v>
      </c>
      <c r="M76" s="12">
        <v>0.94</v>
      </c>
      <c r="N76" s="12">
        <v>0.43</v>
      </c>
      <c r="O76" s="12">
        <v>0</v>
      </c>
      <c r="P76" s="12">
        <v>0.19</v>
      </c>
      <c r="Q76" s="12">
        <v>0.56999999999999995</v>
      </c>
      <c r="R76" s="12">
        <v>0.46</v>
      </c>
      <c r="S76" s="12">
        <v>0.15</v>
      </c>
      <c r="T76" s="12">
        <v>1.0699999999999998</v>
      </c>
      <c r="U76" s="12">
        <v>0.90999999999999992</v>
      </c>
      <c r="V76" s="12">
        <v>0</v>
      </c>
      <c r="W76" s="12">
        <v>0.05</v>
      </c>
      <c r="X76" s="12">
        <v>11.87</v>
      </c>
      <c r="Y76" s="12">
        <v>2.1800000000000002</v>
      </c>
      <c r="Z76" s="12">
        <f t="shared" si="20"/>
        <v>84.39</v>
      </c>
      <c r="AA76" s="208">
        <f>Z76/$Z$78</f>
        <v>8.5200082383300423E-3</v>
      </c>
      <c r="AC76" s="209">
        <f t="shared" si="6"/>
        <v>68.31</v>
      </c>
      <c r="AD76" s="209">
        <f t="shared" si="18"/>
        <v>13.899999999999999</v>
      </c>
      <c r="AE76" s="209">
        <f>Y76</f>
        <v>2.1800000000000002</v>
      </c>
      <c r="AF76" s="209">
        <f>SUM(AC76:AE76)</f>
        <v>84.390000000000015</v>
      </c>
      <c r="AG76" s="208">
        <f>AD76/AF76</f>
        <v>0.16471145870363782</v>
      </c>
    </row>
    <row r="77" spans="1:38" x14ac:dyDescent="0.35">
      <c r="A77" s="6" t="s">
        <v>74</v>
      </c>
      <c r="B77" s="12">
        <v>14.43</v>
      </c>
      <c r="C77" s="12">
        <v>3.31</v>
      </c>
      <c r="D77" s="12">
        <v>0</v>
      </c>
      <c r="E77" s="12">
        <v>0</v>
      </c>
      <c r="F77" s="12">
        <v>0</v>
      </c>
      <c r="G77" s="12">
        <v>0.06</v>
      </c>
      <c r="H77" s="12">
        <v>0.27</v>
      </c>
      <c r="I77" s="12">
        <v>0</v>
      </c>
      <c r="J77" s="12">
        <v>0.75</v>
      </c>
      <c r="K77" s="12">
        <v>0.9</v>
      </c>
      <c r="L77" s="12">
        <v>0.7</v>
      </c>
      <c r="M77" s="12">
        <v>0</v>
      </c>
      <c r="N77" s="12">
        <v>0</v>
      </c>
      <c r="O77" s="12">
        <v>0.3</v>
      </c>
      <c r="P77" s="12">
        <v>0</v>
      </c>
      <c r="Q77" s="12">
        <v>1.74</v>
      </c>
      <c r="R77" s="12">
        <v>0.22</v>
      </c>
      <c r="S77" s="12">
        <v>0</v>
      </c>
      <c r="T77" s="12">
        <v>2.34</v>
      </c>
      <c r="U77" s="12">
        <v>0</v>
      </c>
      <c r="V77" s="12">
        <v>0</v>
      </c>
      <c r="W77" s="12">
        <v>0</v>
      </c>
      <c r="X77" s="12">
        <v>0</v>
      </c>
      <c r="Y77" s="12">
        <v>0.03</v>
      </c>
      <c r="Z77" s="12">
        <f t="shared" si="20"/>
        <v>25.049999999999994</v>
      </c>
      <c r="AA77" s="208">
        <f>Z77/$Z$78</f>
        <v>2.5290461709938086E-3</v>
      </c>
      <c r="AC77" s="209">
        <f t="shared" ref="AC77:AC78" si="22">SUM(B77:S77)</f>
        <v>22.679999999999993</v>
      </c>
      <c r="AD77" s="209">
        <f t="shared" si="18"/>
        <v>2.34</v>
      </c>
      <c r="AE77" s="209">
        <f>Y77</f>
        <v>0.03</v>
      </c>
      <c r="AF77" s="209">
        <f>SUM(AC77:AE77)</f>
        <v>25.049999999999994</v>
      </c>
      <c r="AG77" s="208">
        <f>AD77/AF77</f>
        <v>9.3413173652694623E-2</v>
      </c>
    </row>
    <row r="78" spans="1:38" x14ac:dyDescent="0.35">
      <c r="A78" s="365" t="s">
        <v>25</v>
      </c>
      <c r="B78" s="316">
        <f>SUM(B74,B72,B70,B68,B66,B61,B56,B53,B48,B46,B40,B30,B26,B24,B20,B11)</f>
        <v>2077.86</v>
      </c>
      <c r="C78" s="316">
        <f t="shared" ref="C78:Z78" si="23">SUM(C74,C72,C70,C68,C66,C61,C56,C53,C48,C46,C40,C30,C26,C24,C20,C11)</f>
        <v>386.80000000000007</v>
      </c>
      <c r="D78" s="316">
        <f t="shared" si="23"/>
        <v>101.49</v>
      </c>
      <c r="E78" s="316">
        <f t="shared" si="23"/>
        <v>80.219999999999985</v>
      </c>
      <c r="F78" s="316">
        <f t="shared" si="23"/>
        <v>51.379999999999995</v>
      </c>
      <c r="G78" s="316">
        <f t="shared" si="23"/>
        <v>174.07</v>
      </c>
      <c r="H78" s="316">
        <f t="shared" si="23"/>
        <v>394.98</v>
      </c>
      <c r="I78" s="316">
        <f t="shared" si="23"/>
        <v>238.70999999999998</v>
      </c>
      <c r="J78" s="316">
        <f t="shared" si="23"/>
        <v>179.85</v>
      </c>
      <c r="K78" s="316">
        <f t="shared" si="23"/>
        <v>144.9</v>
      </c>
      <c r="L78" s="316">
        <f t="shared" si="23"/>
        <v>408.44999999999993</v>
      </c>
      <c r="M78" s="316">
        <f t="shared" si="23"/>
        <v>233.64000000000001</v>
      </c>
      <c r="N78" s="316">
        <f t="shared" si="23"/>
        <v>133.80000000000001</v>
      </c>
      <c r="O78" s="316">
        <f t="shared" si="23"/>
        <v>161.21</v>
      </c>
      <c r="P78" s="316">
        <f t="shared" si="23"/>
        <v>148.79</v>
      </c>
      <c r="Q78" s="316">
        <f t="shared" si="23"/>
        <v>286.14</v>
      </c>
      <c r="R78" s="316">
        <f t="shared" si="23"/>
        <v>634.65</v>
      </c>
      <c r="S78" s="316">
        <f t="shared" si="23"/>
        <v>776.78000000000009</v>
      </c>
      <c r="T78" s="316">
        <f t="shared" si="23"/>
        <v>666.33999999999992</v>
      </c>
      <c r="U78" s="316">
        <f t="shared" si="23"/>
        <v>646.75999999999988</v>
      </c>
      <c r="V78" s="316">
        <f t="shared" si="23"/>
        <v>879.31</v>
      </c>
      <c r="W78" s="316">
        <f t="shared" si="23"/>
        <v>472.86</v>
      </c>
      <c r="X78" s="316">
        <f t="shared" si="23"/>
        <v>595.53</v>
      </c>
      <c r="Y78" s="316">
        <f t="shared" si="23"/>
        <v>30.4</v>
      </c>
      <c r="Z78" s="316">
        <f t="shared" si="23"/>
        <v>9904.92</v>
      </c>
      <c r="AA78" s="415">
        <f>Z78/$Z$78</f>
        <v>1</v>
      </c>
      <c r="AC78" s="316">
        <f t="shared" si="22"/>
        <v>6613.72</v>
      </c>
      <c r="AD78" s="316">
        <f t="shared" si="18"/>
        <v>3260.8</v>
      </c>
      <c r="AE78" s="416">
        <f>Y78</f>
        <v>30.4</v>
      </c>
      <c r="AF78" s="316">
        <f>SUM(AC78:AE78)</f>
        <v>9904.92</v>
      </c>
      <c r="AG78" s="315">
        <f>AD78/AF78</f>
        <v>0.32921012991523407</v>
      </c>
    </row>
    <row r="79" spans="1:38" x14ac:dyDescent="0.35">
      <c r="A79" s="378" t="s">
        <v>253</v>
      </c>
      <c r="B79" s="379"/>
      <c r="C79" s="379">
        <f>C78+B78</f>
        <v>2464.6600000000003</v>
      </c>
      <c r="D79" s="379">
        <f>D78+C79</f>
        <v>2566.15</v>
      </c>
      <c r="E79" s="379">
        <f>E78+D79</f>
        <v>2646.37</v>
      </c>
      <c r="F79" s="379">
        <f t="shared" ref="F79:X79" si="24">F78+E79</f>
        <v>2697.75</v>
      </c>
      <c r="G79" s="379">
        <f t="shared" si="24"/>
        <v>2871.82</v>
      </c>
      <c r="H79" s="379">
        <f t="shared" si="24"/>
        <v>3266.8</v>
      </c>
      <c r="I79" s="379">
        <f t="shared" si="24"/>
        <v>3505.51</v>
      </c>
      <c r="J79" s="379">
        <f t="shared" si="24"/>
        <v>3685.36</v>
      </c>
      <c r="K79" s="379">
        <f t="shared" si="24"/>
        <v>3830.26</v>
      </c>
      <c r="L79" s="379">
        <f t="shared" si="24"/>
        <v>4238.71</v>
      </c>
      <c r="M79" s="379">
        <f t="shared" si="24"/>
        <v>4472.3500000000004</v>
      </c>
      <c r="N79" s="379">
        <f t="shared" si="24"/>
        <v>4606.1500000000005</v>
      </c>
      <c r="O79" s="379">
        <f t="shared" si="24"/>
        <v>4767.3600000000006</v>
      </c>
      <c r="P79" s="379">
        <f t="shared" si="24"/>
        <v>4916.1500000000005</v>
      </c>
      <c r="Q79" s="379">
        <f t="shared" si="24"/>
        <v>5202.2900000000009</v>
      </c>
      <c r="R79" s="379">
        <f t="shared" si="24"/>
        <v>5836.9400000000005</v>
      </c>
      <c r="S79" s="379">
        <f t="shared" si="24"/>
        <v>6613.72</v>
      </c>
      <c r="T79" s="379">
        <f t="shared" si="24"/>
        <v>7280.06</v>
      </c>
      <c r="U79" s="379">
        <f t="shared" si="24"/>
        <v>7926.8200000000006</v>
      </c>
      <c r="V79" s="379">
        <f t="shared" si="24"/>
        <v>8806.130000000001</v>
      </c>
      <c r="W79" s="379">
        <f t="shared" si="24"/>
        <v>9278.9900000000016</v>
      </c>
      <c r="X79" s="379">
        <f t="shared" si="24"/>
        <v>9874.5200000000023</v>
      </c>
    </row>
    <row r="80" spans="1:38" x14ac:dyDescent="0.35">
      <c r="A80" s="380" t="s">
        <v>254</v>
      </c>
      <c r="B80" s="379"/>
      <c r="C80" s="381"/>
      <c r="D80" s="381">
        <f>D79/C79-1</f>
        <v>4.1178093530142013E-2</v>
      </c>
      <c r="E80" s="381">
        <f t="shared" ref="E80:X80" si="25">E79/D79-1</f>
        <v>3.1260838220680709E-2</v>
      </c>
      <c r="F80" s="381">
        <f t="shared" si="25"/>
        <v>1.9415274508099767E-2</v>
      </c>
      <c r="G80" s="381">
        <f t="shared" si="25"/>
        <v>6.452414048744326E-2</v>
      </c>
      <c r="H80" s="381">
        <f t="shared" si="25"/>
        <v>0.13753647512727118</v>
      </c>
      <c r="I80" s="381">
        <f t="shared" si="25"/>
        <v>7.3071507285416892E-2</v>
      </c>
      <c r="J80" s="381">
        <f t="shared" si="25"/>
        <v>5.1304945642716815E-2</v>
      </c>
      <c r="K80" s="381">
        <f t="shared" si="25"/>
        <v>3.9317732867345301E-2</v>
      </c>
      <c r="L80" s="381">
        <f t="shared" si="25"/>
        <v>0.10663766950546427</v>
      </c>
      <c r="M80" s="381">
        <f t="shared" si="25"/>
        <v>5.5120543750339257E-2</v>
      </c>
      <c r="N80" s="381">
        <f t="shared" si="25"/>
        <v>2.9917157646427439E-2</v>
      </c>
      <c r="O80" s="381">
        <f t="shared" si="25"/>
        <v>3.4998860219489059E-2</v>
      </c>
      <c r="P80" s="381">
        <f t="shared" si="25"/>
        <v>3.1210145657135202E-2</v>
      </c>
      <c r="Q80" s="381">
        <f t="shared" si="25"/>
        <v>5.8204082462902873E-2</v>
      </c>
      <c r="R80" s="381">
        <f t="shared" si="25"/>
        <v>0.12199435248707768</v>
      </c>
      <c r="S80" s="381">
        <f t="shared" si="25"/>
        <v>0.13308000424880162</v>
      </c>
      <c r="T80" s="381">
        <f t="shared" si="25"/>
        <v>0.10075116575845366</v>
      </c>
      <c r="U80" s="381">
        <f t="shared" si="25"/>
        <v>8.8839927143457675E-2</v>
      </c>
      <c r="V80" s="381">
        <f t="shared" si="25"/>
        <v>0.11092846816251667</v>
      </c>
      <c r="W80" s="381">
        <f t="shared" si="25"/>
        <v>5.3696686285576112E-2</v>
      </c>
      <c r="X80" s="381">
        <f t="shared" si="25"/>
        <v>6.4180476538933773E-2</v>
      </c>
    </row>
    <row r="81" spans="1:25" x14ac:dyDescent="0.35">
      <c r="S81" s="141"/>
      <c r="T81" s="190"/>
    </row>
    <row r="83" spans="1:25" ht="15.5" x14ac:dyDescent="0.35">
      <c r="A83" s="412" t="s">
        <v>99</v>
      </c>
      <c r="B83" s="413" t="s">
        <v>100</v>
      </c>
      <c r="C83" s="413">
        <v>2000</v>
      </c>
      <c r="D83" s="413">
        <v>2001</v>
      </c>
      <c r="E83" s="413">
        <v>2002</v>
      </c>
      <c r="F83" s="413">
        <v>2003</v>
      </c>
      <c r="G83" s="413">
        <v>2004</v>
      </c>
      <c r="H83" s="413">
        <v>2005</v>
      </c>
      <c r="I83" s="413">
        <v>2006</v>
      </c>
      <c r="J83" s="413">
        <v>2007</v>
      </c>
      <c r="K83" s="413">
        <v>2008</v>
      </c>
      <c r="L83" s="413">
        <v>2009</v>
      </c>
      <c r="M83" s="413">
        <v>2010</v>
      </c>
      <c r="N83" s="413">
        <v>2011</v>
      </c>
      <c r="O83" s="413">
        <v>2012</v>
      </c>
      <c r="P83" s="413">
        <v>2013</v>
      </c>
      <c r="Q83" s="413">
        <v>2014</v>
      </c>
      <c r="R83" s="413">
        <v>2015</v>
      </c>
      <c r="S83" s="413">
        <v>2016</v>
      </c>
      <c r="T83" s="413">
        <v>2017</v>
      </c>
      <c r="U83" s="413">
        <v>2018</v>
      </c>
      <c r="V83" s="413">
        <v>2019</v>
      </c>
      <c r="W83" s="413">
        <v>2020</v>
      </c>
      <c r="X83" s="414">
        <v>2021</v>
      </c>
      <c r="Y83" s="414" t="s">
        <v>90</v>
      </c>
    </row>
    <row r="84" spans="1:25" x14ac:dyDescent="0.35">
      <c r="A84" s="310" t="s">
        <v>5</v>
      </c>
      <c r="B84" s="22">
        <f>B11/$Z$11</f>
        <v>0.30331937629071065</v>
      </c>
      <c r="C84" s="22">
        <f t="shared" ref="C84:Y84" si="26">C11/$Z$11</f>
        <v>3.0048691764081769E-2</v>
      </c>
      <c r="D84" s="22">
        <f t="shared" si="26"/>
        <v>6.2996153919023879E-3</v>
      </c>
      <c r="E84" s="22">
        <f t="shared" si="26"/>
        <v>1.1936113374130841E-2</v>
      </c>
      <c r="F84" s="22">
        <f t="shared" si="26"/>
        <v>1.0988802788882363E-3</v>
      </c>
      <c r="G84" s="22">
        <f t="shared" si="26"/>
        <v>9.5299444875997039E-3</v>
      </c>
      <c r="H84" s="22">
        <f t="shared" si="26"/>
        <v>1.4920141717663553E-2</v>
      </c>
      <c r="I84" s="22">
        <f t="shared" si="26"/>
        <v>5.0406396241071592E-2</v>
      </c>
      <c r="J84" s="22">
        <f t="shared" si="26"/>
        <v>5.9301642636554819E-3</v>
      </c>
      <c r="K84" s="22">
        <f t="shared" si="26"/>
        <v>6.1196263807051779E-3</v>
      </c>
      <c r="L84" s="22">
        <f t="shared" si="26"/>
        <v>6.2711960743449353E-3</v>
      </c>
      <c r="M84" s="22">
        <f t="shared" si="26"/>
        <v>4.4665694094465809E-2</v>
      </c>
      <c r="N84" s="22">
        <f t="shared" si="26"/>
        <v>2.8116178170174869E-2</v>
      </c>
      <c r="O84" s="22">
        <f t="shared" si="26"/>
        <v>3.8091358632841368E-2</v>
      </c>
      <c r="P84" s="22">
        <f t="shared" si="26"/>
        <v>2.6107879729448093E-2</v>
      </c>
      <c r="Q84" s="22">
        <f t="shared" si="26"/>
        <v>2.5984729353365793E-2</v>
      </c>
      <c r="R84" s="22">
        <f t="shared" si="26"/>
        <v>2.4146946817983742E-2</v>
      </c>
      <c r="S84" s="22">
        <f t="shared" si="26"/>
        <v>3.7380875693904997E-2</v>
      </c>
      <c r="T84" s="22">
        <f t="shared" si="26"/>
        <v>6.0220533904245831E-2</v>
      </c>
      <c r="U84" s="22">
        <f t="shared" si="26"/>
        <v>5.9235330895587419E-2</v>
      </c>
      <c r="V84" s="22">
        <f t="shared" si="26"/>
        <v>4.621928345427332E-2</v>
      </c>
      <c r="W84" s="22">
        <f t="shared" si="26"/>
        <v>0.11046588734582517</v>
      </c>
      <c r="X84" s="22">
        <f t="shared" si="26"/>
        <v>5.2168393929633766E-2</v>
      </c>
      <c r="Y84" s="384">
        <f t="shared" si="26"/>
        <v>1.3167617134953863E-3</v>
      </c>
    </row>
    <row r="85" spans="1:25" x14ac:dyDescent="0.35">
      <c r="A85" s="310" t="s">
        <v>12</v>
      </c>
      <c r="B85" s="22">
        <f>B20/$Z$20</f>
        <v>6.5394499425884392E-2</v>
      </c>
      <c r="C85" s="22">
        <f t="shared" ref="C85:Y85" si="27">C20/$Z$20</f>
        <v>1.4684861313982641E-2</v>
      </c>
      <c r="D85" s="22">
        <f t="shared" si="27"/>
        <v>2.8901056841348816E-3</v>
      </c>
      <c r="E85" s="22">
        <f t="shared" si="27"/>
        <v>1.1685400279637251E-2</v>
      </c>
      <c r="F85" s="22">
        <f t="shared" si="27"/>
        <v>1.1950977558719917E-3</v>
      </c>
      <c r="G85" s="22">
        <f t="shared" si="27"/>
        <v>4.8975574701420844E-3</v>
      </c>
      <c r="H85" s="22">
        <f t="shared" si="27"/>
        <v>2.0511939260914054E-2</v>
      </c>
      <c r="I85" s="22">
        <f t="shared" si="27"/>
        <v>2.2613124204244547E-2</v>
      </c>
      <c r="J85" s="22">
        <f t="shared" si="27"/>
        <v>9.0061941994797803E-3</v>
      </c>
      <c r="K85" s="22">
        <f t="shared" si="27"/>
        <v>8.2485178444498247E-3</v>
      </c>
      <c r="L85" s="22">
        <f t="shared" si="27"/>
        <v>1.0013825640705186E-2</v>
      </c>
      <c r="M85" s="22">
        <f t="shared" si="27"/>
        <v>1.1482311772103449E-2</v>
      </c>
      <c r="N85" s="22">
        <f t="shared" si="27"/>
        <v>1.0771501995735141E-2</v>
      </c>
      <c r="O85" s="22">
        <f t="shared" si="27"/>
        <v>1.2044710716043213E-2</v>
      </c>
      <c r="P85" s="22">
        <f t="shared" si="27"/>
        <v>3.3353381814205264E-3</v>
      </c>
      <c r="Q85" s="22">
        <f t="shared" si="27"/>
        <v>5.0225350132398081E-2</v>
      </c>
      <c r="R85" s="22">
        <f t="shared" si="27"/>
        <v>3.4337579966099839E-2</v>
      </c>
      <c r="S85" s="22">
        <f t="shared" si="27"/>
        <v>0.10726197636362218</v>
      </c>
      <c r="T85" s="22">
        <f t="shared" si="27"/>
        <v>8.6562570788061524E-2</v>
      </c>
      <c r="U85" s="22">
        <f t="shared" si="27"/>
        <v>0.11726799090788373</v>
      </c>
      <c r="V85" s="22">
        <f t="shared" si="27"/>
        <v>0.21257898971278597</v>
      </c>
      <c r="W85" s="22">
        <f t="shared" si="27"/>
        <v>4.5390281433804865E-2</v>
      </c>
      <c r="X85" s="22">
        <f t="shared" si="27"/>
        <v>0.13528037930684331</v>
      </c>
      <c r="Y85" s="384">
        <f t="shared" si="27"/>
        <v>2.3198956437515137E-3</v>
      </c>
    </row>
    <row r="86" spans="1:25" x14ac:dyDescent="0.35">
      <c r="A86" s="310" t="s">
        <v>69</v>
      </c>
      <c r="B86" s="22">
        <f>B24/$Z$24</f>
        <v>6.1403508771929821E-2</v>
      </c>
      <c r="C86" s="22">
        <f t="shared" ref="C86:Y86" si="28">C24/$Z$24</f>
        <v>0.86842105263157887</v>
      </c>
      <c r="D86" s="22">
        <f t="shared" si="28"/>
        <v>0</v>
      </c>
      <c r="E86" s="22">
        <f t="shared" si="28"/>
        <v>0</v>
      </c>
      <c r="F86" s="22">
        <f t="shared" si="28"/>
        <v>0</v>
      </c>
      <c r="G86" s="22">
        <f t="shared" si="28"/>
        <v>0</v>
      </c>
      <c r="H86" s="22">
        <f t="shared" si="28"/>
        <v>0</v>
      </c>
      <c r="I86" s="22">
        <f t="shared" si="28"/>
        <v>0</v>
      </c>
      <c r="J86" s="22">
        <f t="shared" si="28"/>
        <v>0</v>
      </c>
      <c r="K86" s="22">
        <f t="shared" si="28"/>
        <v>0</v>
      </c>
      <c r="L86" s="22">
        <f t="shared" si="28"/>
        <v>0</v>
      </c>
      <c r="M86" s="22">
        <f t="shared" si="28"/>
        <v>0</v>
      </c>
      <c r="N86" s="22">
        <f t="shared" si="28"/>
        <v>0</v>
      </c>
      <c r="O86" s="22">
        <f t="shared" si="28"/>
        <v>0</v>
      </c>
      <c r="P86" s="22">
        <f t="shared" si="28"/>
        <v>0</v>
      </c>
      <c r="Q86" s="22">
        <f t="shared" si="28"/>
        <v>7.0175438596491224E-2</v>
      </c>
      <c r="R86" s="22">
        <f t="shared" si="28"/>
        <v>0</v>
      </c>
      <c r="S86" s="22">
        <f t="shared" si="28"/>
        <v>0</v>
      </c>
      <c r="T86" s="22">
        <f t="shared" si="28"/>
        <v>0</v>
      </c>
      <c r="U86" s="22">
        <f t="shared" si="28"/>
        <v>0</v>
      </c>
      <c r="V86" s="22">
        <f t="shared" si="28"/>
        <v>0</v>
      </c>
      <c r="W86" s="22">
        <f t="shared" si="28"/>
        <v>0</v>
      </c>
      <c r="X86" s="22">
        <f t="shared" si="28"/>
        <v>0</v>
      </c>
      <c r="Y86" s="384">
        <f t="shared" si="28"/>
        <v>0</v>
      </c>
    </row>
    <row r="87" spans="1:25" x14ac:dyDescent="0.35">
      <c r="A87" s="310" t="s">
        <v>13</v>
      </c>
      <c r="B87" s="22">
        <f>B26/$Z$26</f>
        <v>0.65375299405226472</v>
      </c>
      <c r="C87" s="22">
        <f t="shared" ref="C87:Y87" si="29">C26/$Z$26</f>
        <v>2.5513362219770179E-2</v>
      </c>
      <c r="D87" s="22">
        <f t="shared" si="29"/>
        <v>5.9208224560648086E-4</v>
      </c>
      <c r="E87" s="22">
        <f t="shared" si="29"/>
        <v>7.2799203380251405E-3</v>
      </c>
      <c r="F87" s="22">
        <f t="shared" si="29"/>
        <v>1.1182280593158764E-2</v>
      </c>
      <c r="G87" s="22">
        <f t="shared" si="29"/>
        <v>1.1491778130634877E-2</v>
      </c>
      <c r="H87" s="22">
        <f t="shared" si="29"/>
        <v>1.1397583227924755E-2</v>
      </c>
      <c r="I87" s="22">
        <f t="shared" si="29"/>
        <v>2.1530263476599305E-3</v>
      </c>
      <c r="J87" s="22">
        <f t="shared" si="29"/>
        <v>5.8804532120461852E-3</v>
      </c>
      <c r="K87" s="22">
        <f t="shared" si="29"/>
        <v>1.1841644912129617E-3</v>
      </c>
      <c r="L87" s="22">
        <f t="shared" si="29"/>
        <v>1.591893855801061E-2</v>
      </c>
      <c r="M87" s="22">
        <f t="shared" si="29"/>
        <v>1.196275264418549E-2</v>
      </c>
      <c r="N87" s="22">
        <f t="shared" si="29"/>
        <v>7.1453561912963939E-3</v>
      </c>
      <c r="O87" s="22">
        <f t="shared" si="29"/>
        <v>1.6430282315579844E-2</v>
      </c>
      <c r="P87" s="22">
        <f t="shared" si="29"/>
        <v>4.152649568049091E-2</v>
      </c>
      <c r="Q87" s="22">
        <f t="shared" si="29"/>
        <v>2.1220765939123188E-2</v>
      </c>
      <c r="R87" s="22">
        <f t="shared" si="29"/>
        <v>2.1234222353796062E-2</v>
      </c>
      <c r="S87" s="22">
        <f t="shared" si="29"/>
        <v>2.6213095782759658E-2</v>
      </c>
      <c r="T87" s="22">
        <f t="shared" si="29"/>
        <v>5.6476572382054543E-2</v>
      </c>
      <c r="U87" s="22">
        <f t="shared" si="29"/>
        <v>7.185725435315018E-3</v>
      </c>
      <c r="V87" s="22">
        <f t="shared" si="29"/>
        <v>2.0749791425572581E-2</v>
      </c>
      <c r="W87" s="22">
        <f t="shared" si="29"/>
        <v>2.1933955916785546E-3</v>
      </c>
      <c r="X87" s="22">
        <f t="shared" si="29"/>
        <v>1.8045052076324793E-2</v>
      </c>
      <c r="Y87" s="384">
        <f t="shared" si="29"/>
        <v>3.2699087655085196E-3</v>
      </c>
    </row>
    <row r="88" spans="1:25" x14ac:dyDescent="0.35">
      <c r="A88" s="310" t="s">
        <v>16</v>
      </c>
      <c r="B88" s="22">
        <f>B30/$Z$30</f>
        <v>0.12314036644568564</v>
      </c>
      <c r="C88" s="22">
        <f t="shared" ref="C88:Y88" si="30">C30/$Z$30</f>
        <v>3.9985383932766086E-2</v>
      </c>
      <c r="D88" s="22">
        <f t="shared" si="30"/>
        <v>2.2272102451671274E-3</v>
      </c>
      <c r="E88" s="22">
        <f t="shared" si="30"/>
        <v>6.1596283342903371E-3</v>
      </c>
      <c r="F88" s="22">
        <f t="shared" si="30"/>
        <v>2.3490108054497051E-3</v>
      </c>
      <c r="G88" s="22">
        <f t="shared" si="30"/>
        <v>4.1673191696681808E-2</v>
      </c>
      <c r="H88" s="22">
        <f t="shared" si="30"/>
        <v>1.8217883802265487E-2</v>
      </c>
      <c r="I88" s="22">
        <f t="shared" si="30"/>
        <v>4.2804196899305733E-3</v>
      </c>
      <c r="J88" s="22">
        <f t="shared" si="30"/>
        <v>4.0890188094865235E-2</v>
      </c>
      <c r="K88" s="22">
        <f t="shared" si="30"/>
        <v>6.1109081101773072E-2</v>
      </c>
      <c r="L88" s="22">
        <f t="shared" si="30"/>
        <v>4.7015016269074839E-2</v>
      </c>
      <c r="M88" s="22">
        <f t="shared" si="30"/>
        <v>5.6985262132205804E-2</v>
      </c>
      <c r="N88" s="22">
        <f t="shared" si="30"/>
        <v>1.783508204137739E-2</v>
      </c>
      <c r="O88" s="22">
        <f t="shared" si="30"/>
        <v>2.0932296288562927E-2</v>
      </c>
      <c r="P88" s="22">
        <f t="shared" si="30"/>
        <v>7.0470324163491149E-3</v>
      </c>
      <c r="Q88" s="22">
        <f t="shared" si="30"/>
        <v>3.3025351916618817E-2</v>
      </c>
      <c r="R88" s="22">
        <f t="shared" si="30"/>
        <v>4.6493013867863794E-2</v>
      </c>
      <c r="S88" s="22">
        <f t="shared" si="30"/>
        <v>5.9264672617494039E-2</v>
      </c>
      <c r="T88" s="22">
        <f t="shared" si="30"/>
        <v>3.8454176889213688E-2</v>
      </c>
      <c r="U88" s="22">
        <f t="shared" si="30"/>
        <v>0.10485288232325868</v>
      </c>
      <c r="V88" s="22">
        <f t="shared" si="30"/>
        <v>4.7815419950931769E-2</v>
      </c>
      <c r="W88" s="22">
        <f t="shared" si="30"/>
        <v>8.5869394999216989E-2</v>
      </c>
      <c r="X88" s="22">
        <f t="shared" si="30"/>
        <v>8.8583807485514421E-2</v>
      </c>
      <c r="Y88" s="384">
        <f t="shared" si="30"/>
        <v>5.794226653442606E-3</v>
      </c>
    </row>
    <row r="89" spans="1:25" x14ac:dyDescent="0.35">
      <c r="A89" s="310" t="s">
        <v>15</v>
      </c>
      <c r="B89" s="22">
        <f>B40/$Z$40</f>
        <v>0.17287413233888532</v>
      </c>
      <c r="C89" s="22">
        <f t="shared" ref="C89:Y89" si="31">C40/$Z$40</f>
        <v>3.8665434052532338E-2</v>
      </c>
      <c r="D89" s="22">
        <f t="shared" si="31"/>
        <v>2.2066926769140773E-2</v>
      </c>
      <c r="E89" s="22">
        <f t="shared" si="31"/>
        <v>8.1268965805403638E-3</v>
      </c>
      <c r="F89" s="22">
        <f t="shared" si="31"/>
        <v>5.0558071272256257E-3</v>
      </c>
      <c r="G89" s="22">
        <f t="shared" si="31"/>
        <v>4.1966332920720967E-2</v>
      </c>
      <c r="H89" s="22">
        <f t="shared" si="31"/>
        <v>5.3702281903030863E-2</v>
      </c>
      <c r="I89" s="22">
        <f t="shared" si="31"/>
        <v>2.1053676167196791E-2</v>
      </c>
      <c r="J89" s="22">
        <f t="shared" si="31"/>
        <v>2.7295090957521816E-2</v>
      </c>
      <c r="K89" s="22">
        <f t="shared" si="31"/>
        <v>9.1244783587429417E-3</v>
      </c>
      <c r="L89" s="22">
        <f t="shared" si="31"/>
        <v>1.9142079670745785E-2</v>
      </c>
      <c r="M89" s="22">
        <f t="shared" si="31"/>
        <v>4.388837529966625E-2</v>
      </c>
      <c r="N89" s="22">
        <f t="shared" si="31"/>
        <v>2.2181831476577717E-2</v>
      </c>
      <c r="O89" s="22">
        <f t="shared" si="31"/>
        <v>8.7693183539378355E-3</v>
      </c>
      <c r="P89" s="22">
        <f t="shared" si="31"/>
        <v>2.2578775011359895E-2</v>
      </c>
      <c r="Q89" s="22">
        <f t="shared" si="31"/>
        <v>3.1844272783775454E-2</v>
      </c>
      <c r="R89" s="22">
        <f t="shared" si="31"/>
        <v>9.853600956842834E-2</v>
      </c>
      <c r="S89" s="22">
        <f t="shared" si="31"/>
        <v>7.4792518658957613E-2</v>
      </c>
      <c r="T89" s="22">
        <f t="shared" si="31"/>
        <v>7.1089453314739648E-2</v>
      </c>
      <c r="U89" s="22">
        <f t="shared" si="31"/>
        <v>6.0225735520701117E-2</v>
      </c>
      <c r="V89" s="22">
        <f t="shared" si="31"/>
        <v>4.047257172404068E-2</v>
      </c>
      <c r="W89" s="22">
        <f t="shared" si="31"/>
        <v>4.1360471736053443E-2</v>
      </c>
      <c r="X89" s="22">
        <f t="shared" si="31"/>
        <v>6.2920773204222222E-2</v>
      </c>
      <c r="Y89" s="384">
        <f t="shared" si="31"/>
        <v>2.2667565012561173E-3</v>
      </c>
    </row>
    <row r="90" spans="1:25" x14ac:dyDescent="0.35">
      <c r="A90" s="310" t="s">
        <v>70</v>
      </c>
      <c r="B90" s="22">
        <f>B46/$Z$46</f>
        <v>0</v>
      </c>
      <c r="C90" s="22">
        <f t="shared" ref="C90:Y90" si="32">C46/$Z$46</f>
        <v>0</v>
      </c>
      <c r="D90" s="22">
        <f t="shared" si="32"/>
        <v>0</v>
      </c>
      <c r="E90" s="22">
        <f t="shared" si="32"/>
        <v>0</v>
      </c>
      <c r="F90" s="22">
        <f t="shared" si="32"/>
        <v>0</v>
      </c>
      <c r="G90" s="22">
        <f t="shared" si="32"/>
        <v>0</v>
      </c>
      <c r="H90" s="22">
        <f t="shared" si="32"/>
        <v>0</v>
      </c>
      <c r="I90" s="22">
        <f t="shared" si="32"/>
        <v>0</v>
      </c>
      <c r="J90" s="22">
        <f t="shared" si="32"/>
        <v>0</v>
      </c>
      <c r="K90" s="22">
        <f t="shared" si="32"/>
        <v>0</v>
      </c>
      <c r="L90" s="22">
        <f t="shared" si="32"/>
        <v>0</v>
      </c>
      <c r="M90" s="22">
        <f t="shared" si="32"/>
        <v>0</v>
      </c>
      <c r="N90" s="22">
        <f t="shared" si="32"/>
        <v>0</v>
      </c>
      <c r="O90" s="22">
        <f t="shared" si="32"/>
        <v>0</v>
      </c>
      <c r="P90" s="22">
        <f t="shared" si="32"/>
        <v>0</v>
      </c>
      <c r="Q90" s="22">
        <f t="shared" si="32"/>
        <v>0</v>
      </c>
      <c r="R90" s="22">
        <f t="shared" si="32"/>
        <v>0</v>
      </c>
      <c r="S90" s="22">
        <f t="shared" si="32"/>
        <v>0</v>
      </c>
      <c r="T90" s="22">
        <f t="shared" si="32"/>
        <v>0</v>
      </c>
      <c r="U90" s="22">
        <f t="shared" si="32"/>
        <v>0</v>
      </c>
      <c r="V90" s="22">
        <f t="shared" si="32"/>
        <v>0</v>
      </c>
      <c r="W90" s="22">
        <f t="shared" si="32"/>
        <v>0</v>
      </c>
      <c r="X90" s="22">
        <f t="shared" si="32"/>
        <v>0</v>
      </c>
      <c r="Y90" s="384">
        <f t="shared" si="32"/>
        <v>1</v>
      </c>
    </row>
    <row r="91" spans="1:25" x14ac:dyDescent="0.35">
      <c r="A91" s="310" t="s">
        <v>14</v>
      </c>
      <c r="B91" s="22">
        <f>B48/$Z$48</f>
        <v>0.2978201419237973</v>
      </c>
      <c r="C91" s="22">
        <f t="shared" ref="C91:Y91" si="33">C48/$Z$48</f>
        <v>0.11820827800884606</v>
      </c>
      <c r="D91" s="22">
        <f t="shared" si="33"/>
        <v>1.9063865708783621E-2</v>
      </c>
      <c r="E91" s="22">
        <f t="shared" si="33"/>
        <v>1.6645709311221123E-2</v>
      </c>
      <c r="F91" s="22">
        <f t="shared" si="33"/>
        <v>1.4552904865330668E-2</v>
      </c>
      <c r="G91" s="22">
        <f t="shared" si="33"/>
        <v>1.554654731232908E-2</v>
      </c>
      <c r="H91" s="22">
        <f t="shared" si="33"/>
        <v>2.5333485750463843E-2</v>
      </c>
      <c r="I91" s="22">
        <f t="shared" si="33"/>
        <v>8.986748502941358E-3</v>
      </c>
      <c r="J91" s="22">
        <f t="shared" si="33"/>
        <v>2.5606077926189075E-2</v>
      </c>
      <c r="K91" s="22">
        <f t="shared" si="33"/>
        <v>1.0516782005399085E-2</v>
      </c>
      <c r="L91" s="22">
        <f t="shared" si="33"/>
        <v>1.2319407683582037E-2</v>
      </c>
      <c r="M91" s="22">
        <f t="shared" si="33"/>
        <v>2.2123932713699078E-2</v>
      </c>
      <c r="N91" s="22">
        <f t="shared" si="33"/>
        <v>5.7859887621677236E-3</v>
      </c>
      <c r="O91" s="22">
        <f t="shared" si="33"/>
        <v>2.3047228792768392E-2</v>
      </c>
      <c r="P91" s="22">
        <f t="shared" si="33"/>
        <v>1.9617843356225212E-2</v>
      </c>
      <c r="Q91" s="22">
        <f t="shared" si="33"/>
        <v>2.7487843268292254E-2</v>
      </c>
      <c r="R91" s="22">
        <f t="shared" si="33"/>
        <v>9.4985183296254924E-2</v>
      </c>
      <c r="S91" s="22">
        <f t="shared" si="33"/>
        <v>7.2676591366741983E-2</v>
      </c>
      <c r="T91" s="22">
        <f t="shared" si="33"/>
        <v>4.9374356990230649E-2</v>
      </c>
      <c r="U91" s="22">
        <f t="shared" si="33"/>
        <v>4.4889776034751097E-2</v>
      </c>
      <c r="V91" s="22">
        <f t="shared" si="33"/>
        <v>3.0248938209509069E-2</v>
      </c>
      <c r="W91" s="22">
        <f t="shared" si="33"/>
        <v>3.2508815279231114E-2</v>
      </c>
      <c r="X91" s="22">
        <f t="shared" si="33"/>
        <v>1.2653552931245218E-2</v>
      </c>
      <c r="Y91" s="384">
        <f t="shared" si="33"/>
        <v>0</v>
      </c>
    </row>
    <row r="92" spans="1:25" x14ac:dyDescent="0.35">
      <c r="A92" s="310" t="s">
        <v>17</v>
      </c>
      <c r="B92" s="22">
        <f>B53/$Z$53</f>
        <v>7.6277201529254254E-2</v>
      </c>
      <c r="C92" s="22">
        <f t="shared" ref="C92:Y92" si="34">C53/$Z$53</f>
        <v>1.6550789630752853E-2</v>
      </c>
      <c r="D92" s="22">
        <f t="shared" si="34"/>
        <v>6.3476956332370821E-3</v>
      </c>
      <c r="E92" s="22">
        <f t="shared" si="34"/>
        <v>0</v>
      </c>
      <c r="F92" s="22">
        <f t="shared" si="34"/>
        <v>1.7341226952299527E-4</v>
      </c>
      <c r="G92" s="22">
        <f t="shared" si="34"/>
        <v>8.6706134761497633E-4</v>
      </c>
      <c r="H92" s="22">
        <f t="shared" si="34"/>
        <v>7.6789372650868673E-2</v>
      </c>
      <c r="I92" s="22">
        <f t="shared" si="34"/>
        <v>3.8086173799422494E-2</v>
      </c>
      <c r="J92" s="22">
        <f t="shared" si="34"/>
        <v>9.6384959106967146E-3</v>
      </c>
      <c r="K92" s="22">
        <f t="shared" si="34"/>
        <v>2.2688777403171427E-2</v>
      </c>
      <c r="L92" s="22">
        <f t="shared" si="34"/>
        <v>0.11202432611185494</v>
      </c>
      <c r="M92" s="22">
        <f t="shared" si="34"/>
        <v>2.1253085125260119E-3</v>
      </c>
      <c r="N92" s="22">
        <f t="shared" si="34"/>
        <v>1.3389040344566148E-3</v>
      </c>
      <c r="O92" s="22">
        <f t="shared" si="34"/>
        <v>1.3272087883725057E-2</v>
      </c>
      <c r="P92" s="22">
        <f t="shared" si="34"/>
        <v>4.0731719120517505E-3</v>
      </c>
      <c r="Q92" s="22">
        <f t="shared" si="34"/>
        <v>2.1333741994805699E-2</v>
      </c>
      <c r="R92" s="22">
        <f t="shared" si="34"/>
        <v>8.0987562710716068E-2</v>
      </c>
      <c r="S92" s="22">
        <f t="shared" si="34"/>
        <v>0.11347614976367537</v>
      </c>
      <c r="T92" s="22">
        <f t="shared" si="34"/>
        <v>8.7186043135293836E-2</v>
      </c>
      <c r="U92" s="22">
        <f t="shared" si="34"/>
        <v>7.433337097320579E-2</v>
      </c>
      <c r="V92" s="22">
        <f t="shared" si="34"/>
        <v>0.15318352664096402</v>
      </c>
      <c r="W92" s="22">
        <f t="shared" si="34"/>
        <v>4.0013872981561845E-2</v>
      </c>
      <c r="X92" s="22">
        <f t="shared" si="34"/>
        <v>4.9027278153280313E-2</v>
      </c>
      <c r="Y92" s="384">
        <f t="shared" si="34"/>
        <v>2.0567501734122698E-4</v>
      </c>
    </row>
    <row r="93" spans="1:25" x14ac:dyDescent="0.35">
      <c r="A93" s="310" t="s">
        <v>64</v>
      </c>
      <c r="B93" s="22">
        <f>B56/$Z$56</f>
        <v>9.7216927182615334E-2</v>
      </c>
      <c r="C93" s="22">
        <f t="shared" ref="C93:Y93" si="35">C56/$Z$56</f>
        <v>2.7068242470453679E-2</v>
      </c>
      <c r="D93" s="22">
        <f t="shared" si="35"/>
        <v>2.287457110179184E-3</v>
      </c>
      <c r="E93" s="22">
        <f t="shared" si="35"/>
        <v>2.4399542508577964E-2</v>
      </c>
      <c r="F93" s="22">
        <f t="shared" si="35"/>
        <v>6.0998856271444911E-3</v>
      </c>
      <c r="G93" s="22">
        <f t="shared" si="35"/>
        <v>5.7186427754479597E-3</v>
      </c>
      <c r="H93" s="22">
        <f t="shared" si="35"/>
        <v>1.9824628288219598E-2</v>
      </c>
      <c r="I93" s="22">
        <f t="shared" si="35"/>
        <v>0</v>
      </c>
      <c r="J93" s="22">
        <f t="shared" si="35"/>
        <v>0</v>
      </c>
      <c r="K93" s="22">
        <f t="shared" si="35"/>
        <v>1.0865421273351125E-2</v>
      </c>
      <c r="L93" s="22">
        <f t="shared" si="35"/>
        <v>0</v>
      </c>
      <c r="M93" s="22">
        <f t="shared" si="35"/>
        <v>4.6130385055280214E-2</v>
      </c>
      <c r="N93" s="22">
        <f t="shared" si="35"/>
        <v>0</v>
      </c>
      <c r="O93" s="22">
        <f t="shared" si="35"/>
        <v>0</v>
      </c>
      <c r="P93" s="22">
        <f t="shared" si="35"/>
        <v>3.4311856652687761E-3</v>
      </c>
      <c r="Q93" s="22">
        <f t="shared" si="35"/>
        <v>5.737704918032787E-2</v>
      </c>
      <c r="R93" s="22">
        <f t="shared" si="35"/>
        <v>5.1086542127335113E-2</v>
      </c>
      <c r="S93" s="22">
        <f t="shared" si="35"/>
        <v>5.1467784979031643E-3</v>
      </c>
      <c r="T93" s="22">
        <f t="shared" si="35"/>
        <v>1.3343499809378575E-3</v>
      </c>
      <c r="U93" s="22">
        <f t="shared" si="35"/>
        <v>9.340449866565001E-3</v>
      </c>
      <c r="V93" s="22">
        <f t="shared" si="35"/>
        <v>3.4121235226839498E-2</v>
      </c>
      <c r="W93" s="22">
        <f t="shared" si="35"/>
        <v>0.18166221883339687</v>
      </c>
      <c r="X93" s="22">
        <f t="shared" si="35"/>
        <v>0.3848646587876477</v>
      </c>
      <c r="Y93" s="384">
        <f t="shared" si="35"/>
        <v>3.2024399542508582E-2</v>
      </c>
    </row>
    <row r="94" spans="1:25" x14ac:dyDescent="0.35">
      <c r="A94" s="310" t="s">
        <v>86</v>
      </c>
      <c r="B94" s="22">
        <f>B57/$Z$56</f>
        <v>3.2024399542508575E-2</v>
      </c>
      <c r="C94" s="22">
        <f t="shared" ref="C94:X94" si="36">C57/$Z$56</f>
        <v>6.0998856271444911E-3</v>
      </c>
      <c r="D94" s="22">
        <f t="shared" si="36"/>
        <v>0</v>
      </c>
      <c r="E94" s="22">
        <f t="shared" si="36"/>
        <v>0</v>
      </c>
      <c r="F94" s="22">
        <f t="shared" si="36"/>
        <v>0</v>
      </c>
      <c r="G94" s="22">
        <f t="shared" si="36"/>
        <v>0</v>
      </c>
      <c r="H94" s="22">
        <f t="shared" si="36"/>
        <v>1.0865421273351123E-2</v>
      </c>
      <c r="I94" s="22">
        <f t="shared" si="36"/>
        <v>0</v>
      </c>
      <c r="J94" s="22">
        <f t="shared" si="36"/>
        <v>0</v>
      </c>
      <c r="K94" s="22">
        <f t="shared" si="36"/>
        <v>0</v>
      </c>
      <c r="L94" s="22">
        <f t="shared" si="36"/>
        <v>0</v>
      </c>
      <c r="M94" s="22">
        <f t="shared" si="36"/>
        <v>0</v>
      </c>
      <c r="N94" s="22">
        <f t="shared" si="36"/>
        <v>0</v>
      </c>
      <c r="O94" s="22">
        <f t="shared" si="36"/>
        <v>0</v>
      </c>
      <c r="P94" s="22">
        <f t="shared" si="36"/>
        <v>0</v>
      </c>
      <c r="Q94" s="22">
        <f t="shared" si="36"/>
        <v>1.9062142584826535E-3</v>
      </c>
      <c r="R94" s="22">
        <f t="shared" si="36"/>
        <v>0</v>
      </c>
      <c r="S94" s="22">
        <f t="shared" si="36"/>
        <v>0</v>
      </c>
      <c r="T94" s="22">
        <f t="shared" si="36"/>
        <v>0</v>
      </c>
      <c r="U94" s="22">
        <f t="shared" si="36"/>
        <v>1.143728555089592E-3</v>
      </c>
      <c r="V94" s="22">
        <f t="shared" si="36"/>
        <v>0</v>
      </c>
      <c r="W94" s="22">
        <f t="shared" si="36"/>
        <v>0.17251239039268013</v>
      </c>
      <c r="X94" s="22">
        <f t="shared" si="36"/>
        <v>0.38200533739992371</v>
      </c>
      <c r="Y94" s="384">
        <f>Y57/$Z$56</f>
        <v>1.5630956919557758E-2</v>
      </c>
    </row>
    <row r="95" spans="1:25" x14ac:dyDescent="0.35">
      <c r="A95" s="310" t="s">
        <v>19</v>
      </c>
      <c r="B95" s="22"/>
      <c r="C95" s="22"/>
      <c r="D95" s="22"/>
      <c r="E95" s="22"/>
      <c r="F95" s="22"/>
      <c r="G95" s="22"/>
      <c r="H95" s="22"/>
      <c r="I95" s="22"/>
      <c r="J95" s="22"/>
      <c r="K95" s="22"/>
      <c r="L95" s="22"/>
      <c r="M95" s="22"/>
      <c r="N95" s="22"/>
      <c r="O95" s="22"/>
      <c r="P95" s="22"/>
      <c r="Q95" s="22"/>
      <c r="R95" s="22"/>
      <c r="S95" s="22"/>
      <c r="T95" s="22"/>
      <c r="U95" s="22"/>
      <c r="V95" s="22"/>
      <c r="W95" s="22"/>
      <c r="X95" s="22"/>
      <c r="Y95" s="384"/>
    </row>
    <row r="96" spans="1:25" x14ac:dyDescent="0.35">
      <c r="A96" s="310" t="s">
        <v>20</v>
      </c>
      <c r="B96" s="22">
        <f>B66/$Z$66</f>
        <v>0.30656775038184586</v>
      </c>
      <c r="C96" s="22">
        <f t="shared" ref="C96:Y96" si="37">C66/$Z$66</f>
        <v>9.4752345625136347E-2</v>
      </c>
      <c r="D96" s="22">
        <f t="shared" si="37"/>
        <v>3.0547676194632332E-3</v>
      </c>
      <c r="E96" s="22">
        <f t="shared" si="37"/>
        <v>1.1291730307658739E-2</v>
      </c>
      <c r="F96" s="22">
        <f t="shared" si="37"/>
        <v>6.8732271437922767E-3</v>
      </c>
      <c r="G96" s="22">
        <f t="shared" si="37"/>
        <v>3.4475234562513633E-2</v>
      </c>
      <c r="H96" s="22">
        <f t="shared" si="37"/>
        <v>8.5097097970761523E-3</v>
      </c>
      <c r="I96" s="22">
        <f t="shared" si="37"/>
        <v>3.414793803185686E-2</v>
      </c>
      <c r="J96" s="22">
        <f t="shared" si="37"/>
        <v>0.11389919266855769</v>
      </c>
      <c r="K96" s="22">
        <f t="shared" si="37"/>
        <v>1.2873663539166483E-2</v>
      </c>
      <c r="L96" s="22">
        <f t="shared" si="37"/>
        <v>1.8928649356316822E-2</v>
      </c>
      <c r="M96" s="22">
        <f t="shared" si="37"/>
        <v>2.9838533711542659E-2</v>
      </c>
      <c r="N96" s="22">
        <f t="shared" si="37"/>
        <v>2.3456251363735546E-2</v>
      </c>
      <c r="O96" s="22">
        <f t="shared" si="37"/>
        <v>4.63670085097098E-3</v>
      </c>
      <c r="P96" s="22">
        <f t="shared" si="37"/>
        <v>5.8913375518219501E-3</v>
      </c>
      <c r="Q96" s="22">
        <f t="shared" si="37"/>
        <v>2.8365699323587169E-3</v>
      </c>
      <c r="R96" s="22">
        <f t="shared" si="37"/>
        <v>7.9096661575387296E-3</v>
      </c>
      <c r="S96" s="22">
        <f t="shared" si="37"/>
        <v>0.14455596770674228</v>
      </c>
      <c r="T96" s="22">
        <f t="shared" si="37"/>
        <v>1.7619463233689722E-2</v>
      </c>
      <c r="U96" s="22">
        <f t="shared" si="37"/>
        <v>7.9642155793148602E-3</v>
      </c>
      <c r="V96" s="22">
        <f t="shared" si="37"/>
        <v>2.8638446432467813E-2</v>
      </c>
      <c r="W96" s="22">
        <f t="shared" si="37"/>
        <v>2.9074841806676851E-2</v>
      </c>
      <c r="X96" s="22">
        <f t="shared" si="37"/>
        <v>4.3094043203142043E-2</v>
      </c>
      <c r="Y96" s="384">
        <f t="shared" si="37"/>
        <v>9.1097534366135699E-3</v>
      </c>
    </row>
    <row r="97" spans="1:25" x14ac:dyDescent="0.35">
      <c r="A97" s="310" t="s">
        <v>21</v>
      </c>
      <c r="B97" s="22">
        <f>B68/$Z$68</f>
        <v>0</v>
      </c>
      <c r="C97" s="22">
        <f t="shared" ref="C97:X97" si="38">C68/$Z$68</f>
        <v>0</v>
      </c>
      <c r="D97" s="22">
        <f t="shared" si="38"/>
        <v>0</v>
      </c>
      <c r="E97" s="22">
        <f t="shared" si="38"/>
        <v>0</v>
      </c>
      <c r="F97" s="22">
        <f t="shared" si="38"/>
        <v>0</v>
      </c>
      <c r="G97" s="22">
        <f t="shared" si="38"/>
        <v>0</v>
      </c>
      <c r="H97" s="22">
        <f t="shared" si="38"/>
        <v>0</v>
      </c>
      <c r="I97" s="22">
        <f t="shared" si="38"/>
        <v>0</v>
      </c>
      <c r="J97" s="22">
        <f t="shared" si="38"/>
        <v>0</v>
      </c>
      <c r="K97" s="22">
        <f t="shared" si="38"/>
        <v>0</v>
      </c>
      <c r="L97" s="22">
        <f t="shared" si="38"/>
        <v>5.4216867469879519E-2</v>
      </c>
      <c r="M97" s="22">
        <f t="shared" si="38"/>
        <v>0</v>
      </c>
      <c r="N97" s="22">
        <f t="shared" si="38"/>
        <v>0</v>
      </c>
      <c r="O97" s="22">
        <f t="shared" si="38"/>
        <v>0.2740963855421687</v>
      </c>
      <c r="P97" s="22">
        <f t="shared" si="38"/>
        <v>0</v>
      </c>
      <c r="Q97" s="22">
        <f t="shared" si="38"/>
        <v>0</v>
      </c>
      <c r="R97" s="22">
        <f t="shared" si="38"/>
        <v>8.7349397590361449E-2</v>
      </c>
      <c r="S97" s="22">
        <f t="shared" si="38"/>
        <v>0</v>
      </c>
      <c r="T97" s="22">
        <f t="shared" si="38"/>
        <v>0</v>
      </c>
      <c r="U97" s="22">
        <f t="shared" si="38"/>
        <v>0.11746987951807229</v>
      </c>
      <c r="V97" s="22">
        <f t="shared" si="38"/>
        <v>0.45180722891566266</v>
      </c>
      <c r="W97" s="22">
        <f t="shared" si="38"/>
        <v>0</v>
      </c>
      <c r="X97" s="22">
        <f t="shared" si="38"/>
        <v>0</v>
      </c>
      <c r="Y97" s="384">
        <f>Y68/$Z$68</f>
        <v>1.5060240963855423E-2</v>
      </c>
    </row>
    <row r="98" spans="1:25" x14ac:dyDescent="0.35">
      <c r="A98" s="310" t="s">
        <v>22</v>
      </c>
      <c r="B98" s="22">
        <f>B70/$Z$70</f>
        <v>0.65119665695833862</v>
      </c>
      <c r="C98" s="22">
        <f t="shared" ref="C98:Y98" si="39">C70/$Z$70</f>
        <v>4.4193997720653397E-2</v>
      </c>
      <c r="D98" s="22">
        <f t="shared" si="39"/>
        <v>4.951247309104722E-2</v>
      </c>
      <c r="E98" s="22">
        <f t="shared" si="39"/>
        <v>1.9627706724072427E-3</v>
      </c>
      <c r="F98" s="22">
        <f t="shared" si="39"/>
        <v>1.1080157021653788E-2</v>
      </c>
      <c r="G98" s="22">
        <f t="shared" si="39"/>
        <v>7.5978219577054547E-4</v>
      </c>
      <c r="H98" s="22">
        <f t="shared" si="39"/>
        <v>2.3869823983791304E-2</v>
      </c>
      <c r="I98" s="22">
        <f t="shared" si="39"/>
        <v>0</v>
      </c>
      <c r="J98" s="22">
        <f t="shared" si="39"/>
        <v>6.3315182980878794E-5</v>
      </c>
      <c r="K98" s="22">
        <f t="shared" si="39"/>
        <v>3.7989109788527273E-4</v>
      </c>
      <c r="L98" s="22">
        <f t="shared" si="39"/>
        <v>2.1527162213498788E-3</v>
      </c>
      <c r="M98" s="22">
        <f t="shared" si="39"/>
        <v>1.5828795745219698E-2</v>
      </c>
      <c r="N98" s="22">
        <f t="shared" si="39"/>
        <v>0</v>
      </c>
      <c r="O98" s="22">
        <f t="shared" si="39"/>
        <v>8.5475497024186369E-3</v>
      </c>
      <c r="P98" s="22">
        <f t="shared" si="39"/>
        <v>8.0410282385716073E-3</v>
      </c>
      <c r="Q98" s="22">
        <f t="shared" si="39"/>
        <v>3.0264657464860064E-2</v>
      </c>
      <c r="R98" s="22">
        <f t="shared" si="39"/>
        <v>6.6480942129922733E-3</v>
      </c>
      <c r="S98" s="22">
        <f t="shared" si="39"/>
        <v>2.6212485754083817E-2</v>
      </c>
      <c r="T98" s="22">
        <f t="shared" si="39"/>
        <v>5.1285298214511828E-3</v>
      </c>
      <c r="U98" s="22">
        <f t="shared" si="39"/>
        <v>9.1807015322274248E-3</v>
      </c>
      <c r="V98" s="22">
        <f t="shared" si="39"/>
        <v>4.0521717107762428E-3</v>
      </c>
      <c r="W98" s="22">
        <f t="shared" si="39"/>
        <v>8.8641256173230307E-2</v>
      </c>
      <c r="X98" s="22">
        <f t="shared" si="39"/>
        <v>1.0193744459921486E-2</v>
      </c>
      <c r="Y98" s="384">
        <f t="shared" si="39"/>
        <v>2.0894010383690001E-3</v>
      </c>
    </row>
    <row r="99" spans="1:25" x14ac:dyDescent="0.35">
      <c r="A99" s="310" t="s">
        <v>23</v>
      </c>
      <c r="B99" s="22">
        <f>B72/$Z$72</f>
        <v>0.14297309833024119</v>
      </c>
      <c r="C99" s="22">
        <f t="shared" ref="C99:Y99" si="40">C72/$Z$72</f>
        <v>4.0178571428571425E-2</v>
      </c>
      <c r="D99" s="22">
        <f t="shared" si="40"/>
        <v>4.5222634508348793E-3</v>
      </c>
      <c r="E99" s="22">
        <f t="shared" si="40"/>
        <v>2.7017625231910945E-2</v>
      </c>
      <c r="F99" s="22">
        <f t="shared" si="40"/>
        <v>4.73678107606679E-2</v>
      </c>
      <c r="G99" s="22">
        <f t="shared" si="40"/>
        <v>9.0039424860853423E-2</v>
      </c>
      <c r="H99" s="22">
        <f t="shared" si="40"/>
        <v>2.4988404452690162E-2</v>
      </c>
      <c r="I99" s="22">
        <f t="shared" si="40"/>
        <v>8.1168831168831163E-4</v>
      </c>
      <c r="J99" s="22">
        <f t="shared" si="40"/>
        <v>2.9104823747680884E-2</v>
      </c>
      <c r="K99" s="22">
        <f t="shared" si="40"/>
        <v>5.2179962894248599E-3</v>
      </c>
      <c r="L99" s="22">
        <f t="shared" si="40"/>
        <v>8.8589981447124308E-2</v>
      </c>
      <c r="M99" s="22">
        <f t="shared" si="40"/>
        <v>8.0589053803339517E-3</v>
      </c>
      <c r="N99" s="22">
        <f t="shared" si="40"/>
        <v>9.0909090909090912E-2</v>
      </c>
      <c r="O99" s="22">
        <f t="shared" si="40"/>
        <v>6.9573283858998134E-3</v>
      </c>
      <c r="P99" s="22">
        <f t="shared" si="40"/>
        <v>2.0698051948051948E-2</v>
      </c>
      <c r="Q99" s="22">
        <f t="shared" si="40"/>
        <v>2.1219851576994433E-2</v>
      </c>
      <c r="R99" s="22">
        <f t="shared" si="40"/>
        <v>0.10656307977736547</v>
      </c>
      <c r="S99" s="22">
        <f t="shared" si="40"/>
        <v>4.3367346938775503E-2</v>
      </c>
      <c r="T99" s="22">
        <f t="shared" si="40"/>
        <v>6.7544063079777353E-2</v>
      </c>
      <c r="U99" s="22">
        <f t="shared" si="40"/>
        <v>6.2673933209647495E-2</v>
      </c>
      <c r="V99" s="22">
        <f t="shared" si="40"/>
        <v>4.5802411873840439E-2</v>
      </c>
      <c r="W99" s="22">
        <f t="shared" si="40"/>
        <v>7.5950834879406305E-3</v>
      </c>
      <c r="X99" s="22">
        <f t="shared" si="40"/>
        <v>8.696660482374767E-3</v>
      </c>
      <c r="Y99" s="384">
        <f t="shared" si="40"/>
        <v>9.1025046382189247E-3</v>
      </c>
    </row>
    <row r="100" spans="1:25" x14ac:dyDescent="0.35">
      <c r="A100" s="310" t="s">
        <v>76</v>
      </c>
      <c r="B100" s="22">
        <f>B74/$Z$74</f>
        <v>0.4989490468942524</v>
      </c>
      <c r="C100" s="22">
        <f t="shared" ref="C100:Y100" si="41">C74/$Z$74</f>
        <v>7.3639196926868156E-2</v>
      </c>
      <c r="D100" s="22">
        <f t="shared" si="41"/>
        <v>3.4065376531129958E-3</v>
      </c>
      <c r="E100" s="22">
        <f t="shared" si="41"/>
        <v>6.5231572080887146E-3</v>
      </c>
      <c r="F100" s="22">
        <f t="shared" si="41"/>
        <v>6.3057186344857583E-3</v>
      </c>
      <c r="G100" s="22">
        <f t="shared" si="41"/>
        <v>2.0294266869609338E-2</v>
      </c>
      <c r="H100" s="22">
        <f t="shared" si="41"/>
        <v>9.4948177139957974E-3</v>
      </c>
      <c r="I100" s="22">
        <f t="shared" si="41"/>
        <v>8.1177067478437354E-3</v>
      </c>
      <c r="J100" s="22">
        <f t="shared" si="41"/>
        <v>2.1743857360295715E-2</v>
      </c>
      <c r="K100" s="22">
        <f t="shared" si="41"/>
        <v>1.6670290642893382E-2</v>
      </c>
      <c r="L100" s="22">
        <f t="shared" si="41"/>
        <v>1.7757483510908171E-2</v>
      </c>
      <c r="M100" s="22">
        <f t="shared" si="41"/>
        <v>2.4643038341668477E-2</v>
      </c>
      <c r="N100" s="22">
        <f t="shared" si="41"/>
        <v>1.754004493730521E-2</v>
      </c>
      <c r="O100" s="22">
        <f t="shared" si="41"/>
        <v>8.1177067478437354E-3</v>
      </c>
      <c r="P100" s="22">
        <f t="shared" si="41"/>
        <v>2.2468652605638906E-3</v>
      </c>
      <c r="Q100" s="22">
        <f t="shared" si="41"/>
        <v>1.7395085888236572E-2</v>
      </c>
      <c r="R100" s="22">
        <f t="shared" si="41"/>
        <v>9.7847358121330736E-3</v>
      </c>
      <c r="S100" s="22">
        <f t="shared" si="41"/>
        <v>2.4643038341668477E-3</v>
      </c>
      <c r="T100" s="22">
        <f t="shared" si="41"/>
        <v>2.6599985504095092E-2</v>
      </c>
      <c r="U100" s="22">
        <f t="shared" si="41"/>
        <v>2.3338406900050734E-2</v>
      </c>
      <c r="V100" s="22">
        <f t="shared" si="41"/>
        <v>4.8271363339856495E-2</v>
      </c>
      <c r="W100" s="22">
        <f t="shared" si="41"/>
        <v>8.6250634195839688E-3</v>
      </c>
      <c r="X100" s="22">
        <f t="shared" si="41"/>
        <v>0.1110386315865768</v>
      </c>
      <c r="Y100" s="384">
        <f t="shared" si="41"/>
        <v>1.7032688265564977E-2</v>
      </c>
    </row>
    <row r="101" spans="1:25" x14ac:dyDescent="0.35">
      <c r="A101" s="310" t="s">
        <v>25</v>
      </c>
      <c r="B101" s="22">
        <f>B78/$Z$78</f>
        <v>0.2097805938866745</v>
      </c>
      <c r="C101" s="22">
        <f t="shared" ref="C101:Y101" si="42">C78/$Z$78</f>
        <v>3.9051299758100025E-2</v>
      </c>
      <c r="D101" s="22">
        <f t="shared" si="42"/>
        <v>1.0246422989786893E-2</v>
      </c>
      <c r="E101" s="22">
        <f t="shared" si="42"/>
        <v>8.0990053427993352E-3</v>
      </c>
      <c r="F101" s="22">
        <f t="shared" si="42"/>
        <v>5.1873210485294174E-3</v>
      </c>
      <c r="G101" s="22">
        <f t="shared" si="42"/>
        <v>1.7574094490414863E-2</v>
      </c>
      <c r="H101" s="22">
        <f t="shared" si="42"/>
        <v>3.9877151960843703E-2</v>
      </c>
      <c r="I101" s="22">
        <f t="shared" si="42"/>
        <v>2.4100144170775734E-2</v>
      </c>
      <c r="J101" s="22">
        <f t="shared" si="42"/>
        <v>1.8157642868392675E-2</v>
      </c>
      <c r="K101" s="22">
        <f t="shared" si="42"/>
        <v>1.4629093420239639E-2</v>
      </c>
      <c r="L101" s="22">
        <f t="shared" si="42"/>
        <v>4.1237082177342163E-2</v>
      </c>
      <c r="M101" s="22">
        <f t="shared" si="42"/>
        <v>2.3588277340957829E-2</v>
      </c>
      <c r="N101" s="22">
        <f t="shared" si="42"/>
        <v>1.3508438230697473E-2</v>
      </c>
      <c r="O101" s="22">
        <f t="shared" si="42"/>
        <v>1.6275749829377725E-2</v>
      </c>
      <c r="P101" s="22">
        <f t="shared" si="42"/>
        <v>1.5021827536214324E-2</v>
      </c>
      <c r="Q101" s="22">
        <f t="shared" si="42"/>
        <v>2.8888673507711318E-2</v>
      </c>
      <c r="R101" s="22">
        <f t="shared" si="42"/>
        <v>6.4074217661525781E-2</v>
      </c>
      <c r="S101" s="22">
        <f t="shared" si="42"/>
        <v>7.8423652084014819E-2</v>
      </c>
      <c r="T101" s="22">
        <f t="shared" si="42"/>
        <v>6.7273637747705173E-2</v>
      </c>
      <c r="U101" s="22">
        <f t="shared" si="42"/>
        <v>6.5296842377323583E-2</v>
      </c>
      <c r="V101" s="22">
        <f t="shared" si="42"/>
        <v>8.8775073397866916E-2</v>
      </c>
      <c r="W101" s="22">
        <f t="shared" si="42"/>
        <v>4.7739911074496315E-2</v>
      </c>
      <c r="X101" s="22">
        <f t="shared" si="42"/>
        <v>6.0124665317842038E-2</v>
      </c>
      <c r="Y101" s="384">
        <f t="shared" si="42"/>
        <v>3.0691817803677364E-3</v>
      </c>
    </row>
  </sheetData>
  <hyperlinks>
    <hyperlink ref="B1" r:id="rId1" xr:uid="{00000000-0004-0000-1000-000000000000}"/>
    <hyperlink ref="M1" location="ÍNDICE!A1" display="ÍNDICE!A1" xr:uid="{00000000-0004-0000-1000-000001000000}"/>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BB65"/>
  <sheetViews>
    <sheetView topLeftCell="AC49" workbookViewId="0">
      <selection activeCell="AH51" sqref="AH51"/>
    </sheetView>
  </sheetViews>
  <sheetFormatPr baseColWidth="10" defaultRowHeight="14.5" x14ac:dyDescent="0.35"/>
  <cols>
    <col min="1" max="1" width="29.81640625" bestFit="1" customWidth="1"/>
    <col min="25" max="25" width="23.54296875" bestFit="1" customWidth="1"/>
    <col min="26" max="26" width="15.81640625" bestFit="1" customWidth="1"/>
    <col min="27" max="27" width="14.1796875" bestFit="1" customWidth="1"/>
    <col min="35" max="35" width="22" bestFit="1" customWidth="1"/>
    <col min="36" max="36" width="15.81640625" bestFit="1" customWidth="1"/>
  </cols>
  <sheetData>
    <row r="1" spans="1:54" x14ac:dyDescent="0.35">
      <c r="A1" s="1" t="s">
        <v>10</v>
      </c>
      <c r="B1" s="2" t="s">
        <v>84</v>
      </c>
      <c r="L1" t="s">
        <v>143</v>
      </c>
      <c r="M1" s="2" t="s">
        <v>144</v>
      </c>
    </row>
    <row r="3" spans="1:54" x14ac:dyDescent="0.35">
      <c r="BB3" t="s">
        <v>278</v>
      </c>
    </row>
    <row r="6" spans="1:54" ht="17.5" x14ac:dyDescent="0.35">
      <c r="A6" s="325"/>
    </row>
    <row r="8" spans="1:54" ht="17.5" x14ac:dyDescent="0.35">
      <c r="A8" s="291" t="s">
        <v>87</v>
      </c>
    </row>
    <row r="9" spans="1:54" ht="18.5" x14ac:dyDescent="0.45">
      <c r="A9" s="192"/>
    </row>
    <row r="10" spans="1:54" ht="78" x14ac:dyDescent="0.35">
      <c r="A10" s="417" t="s">
        <v>0</v>
      </c>
      <c r="B10" s="409" t="s">
        <v>89</v>
      </c>
      <c r="C10" s="409">
        <v>2000</v>
      </c>
      <c r="D10" s="409">
        <v>2001</v>
      </c>
      <c r="E10" s="409">
        <v>2002</v>
      </c>
      <c r="F10" s="409">
        <v>2003</v>
      </c>
      <c r="G10" s="409">
        <v>2004</v>
      </c>
      <c r="H10" s="409">
        <v>2005</v>
      </c>
      <c r="I10" s="409">
        <v>2006</v>
      </c>
      <c r="J10" s="409">
        <v>2007</v>
      </c>
      <c r="K10" s="409">
        <v>2008</v>
      </c>
      <c r="L10" s="409">
        <v>2009</v>
      </c>
      <c r="M10" s="409">
        <v>2010</v>
      </c>
      <c r="N10" s="409">
        <v>2011</v>
      </c>
      <c r="O10" s="409">
        <v>2012</v>
      </c>
      <c r="P10" s="409">
        <v>2013</v>
      </c>
      <c r="Q10" s="409">
        <v>2014</v>
      </c>
      <c r="R10" s="409">
        <v>2015</v>
      </c>
      <c r="S10" s="409">
        <v>2016</v>
      </c>
      <c r="T10" s="409">
        <v>2017</v>
      </c>
      <c r="U10" s="409">
        <v>2018</v>
      </c>
      <c r="V10" s="409">
        <v>2019</v>
      </c>
      <c r="W10" s="409">
        <v>2020</v>
      </c>
      <c r="X10" s="409">
        <v>2021</v>
      </c>
      <c r="Y10" s="410" t="s">
        <v>90</v>
      </c>
      <c r="Z10" s="410" t="s">
        <v>91</v>
      </c>
      <c r="AA10" s="410" t="s">
        <v>92</v>
      </c>
      <c r="AC10" s="410" t="s">
        <v>93</v>
      </c>
      <c r="AD10" s="410" t="s">
        <v>107</v>
      </c>
      <c r="AE10" s="410" t="s">
        <v>94</v>
      </c>
      <c r="AF10" s="410" t="s">
        <v>96</v>
      </c>
      <c r="AG10" s="410" t="s">
        <v>97</v>
      </c>
    </row>
    <row r="11" spans="1:54" x14ac:dyDescent="0.35">
      <c r="A11" s="310" t="s">
        <v>5</v>
      </c>
      <c r="B11" s="311">
        <f>SUM(B12:B18)</f>
        <v>3779.5500000000006</v>
      </c>
      <c r="C11" s="311">
        <f t="shared" ref="C11:Z11" si="0">SUM(C12:C18)</f>
        <v>7.37</v>
      </c>
      <c r="D11" s="311">
        <f t="shared" si="0"/>
        <v>0</v>
      </c>
      <c r="E11" s="311">
        <f t="shared" si="0"/>
        <v>3.27</v>
      </c>
      <c r="F11" s="311">
        <f t="shared" si="0"/>
        <v>15.5</v>
      </c>
      <c r="G11" s="311">
        <f t="shared" si="0"/>
        <v>2.1800000000000002</v>
      </c>
      <c r="H11" s="311">
        <f t="shared" si="0"/>
        <v>0</v>
      </c>
      <c r="I11" s="311">
        <f t="shared" si="0"/>
        <v>0</v>
      </c>
      <c r="J11" s="311">
        <f t="shared" si="0"/>
        <v>1.84</v>
      </c>
      <c r="K11" s="311">
        <f t="shared" si="0"/>
        <v>1.37</v>
      </c>
      <c r="L11" s="311">
        <f t="shared" si="0"/>
        <v>0</v>
      </c>
      <c r="M11" s="311">
        <f t="shared" si="0"/>
        <v>5.34</v>
      </c>
      <c r="N11" s="311">
        <f t="shared" si="0"/>
        <v>1.47</v>
      </c>
      <c r="O11" s="311">
        <f t="shared" si="0"/>
        <v>0</v>
      </c>
      <c r="P11" s="311">
        <f t="shared" si="0"/>
        <v>9.1199999999999992</v>
      </c>
      <c r="Q11" s="311">
        <f t="shared" si="0"/>
        <v>5</v>
      </c>
      <c r="R11" s="311">
        <f t="shared" si="0"/>
        <v>4.34</v>
      </c>
      <c r="S11" s="311">
        <f t="shared" si="0"/>
        <v>2.86</v>
      </c>
      <c r="T11" s="311">
        <f t="shared" si="0"/>
        <v>0</v>
      </c>
      <c r="U11" s="311">
        <f t="shared" si="0"/>
        <v>2.1800000000000002</v>
      </c>
      <c r="V11" s="311">
        <f t="shared" si="0"/>
        <v>4.12</v>
      </c>
      <c r="W11" s="311">
        <f t="shared" si="0"/>
        <v>0.46</v>
      </c>
      <c r="X11" s="311">
        <f t="shared" si="0"/>
        <v>0</v>
      </c>
      <c r="Y11" s="311">
        <f t="shared" si="0"/>
        <v>0.92999999999999994</v>
      </c>
      <c r="Z11" s="311">
        <f t="shared" si="0"/>
        <v>3846.9000000000005</v>
      </c>
      <c r="AA11" s="312">
        <f>Z11/$Z$50</f>
        <v>0.3750555724547816</v>
      </c>
      <c r="AC11" s="311">
        <f>SUM(B11:T11)</f>
        <v>3839.2100000000005</v>
      </c>
      <c r="AD11" s="311">
        <f>SUM(U11:X11)</f>
        <v>6.7600000000000007</v>
      </c>
      <c r="AE11" s="311">
        <f>Y11</f>
        <v>0.92999999999999994</v>
      </c>
      <c r="AF11" s="311">
        <f>SUM(AC11:AE11)</f>
        <v>3846.9000000000005</v>
      </c>
      <c r="AG11" s="312">
        <f>AD11/AF11</f>
        <v>1.757259091736203E-3</v>
      </c>
    </row>
    <row r="12" spans="1:54" x14ac:dyDescent="0.35">
      <c r="A12" s="6" t="s">
        <v>6</v>
      </c>
      <c r="B12" s="12">
        <v>0</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0.01</v>
      </c>
      <c r="Z12" s="12">
        <f>SUM(B12:Y12)</f>
        <v>0.01</v>
      </c>
      <c r="AA12" s="208">
        <f>Z12/$Z$50</f>
        <v>9.7495534704510524E-7</v>
      </c>
      <c r="AC12" s="12">
        <f t="shared" ref="AC12:AC50" si="1">SUM(B12:T12)</f>
        <v>0</v>
      </c>
      <c r="AD12" s="12">
        <f t="shared" ref="AD12:AD50" si="2">SUM(U12:X12)</f>
        <v>0</v>
      </c>
      <c r="AE12" s="12">
        <f t="shared" ref="AE12:AE50" si="3">Y12</f>
        <v>0.01</v>
      </c>
      <c r="AF12" s="12">
        <f t="shared" ref="AF12:AF50" si="4">SUM(AC12:AE12)</f>
        <v>0.01</v>
      </c>
      <c r="AG12" s="208">
        <f t="shared" ref="AG12:AG50" si="5">AD12/AF12</f>
        <v>0</v>
      </c>
    </row>
    <row r="13" spans="1:54" x14ac:dyDescent="0.35">
      <c r="A13" s="6" t="s">
        <v>7</v>
      </c>
      <c r="B13" s="12">
        <v>57.42</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f t="shared" ref="Z13:Z18" si="6">SUM(B13:Y13)</f>
        <v>57.42</v>
      </c>
      <c r="AA13" s="208">
        <f t="shared" ref="AA13:AA49" si="7">Z13/$Z$50</f>
        <v>5.5981936027329942E-3</v>
      </c>
      <c r="AC13" s="12">
        <f t="shared" si="1"/>
        <v>57.42</v>
      </c>
      <c r="AD13" s="12">
        <f t="shared" si="2"/>
        <v>0</v>
      </c>
      <c r="AE13" s="12">
        <f t="shared" si="3"/>
        <v>0</v>
      </c>
      <c r="AF13" s="12">
        <f t="shared" si="4"/>
        <v>57.42</v>
      </c>
      <c r="AG13" s="208">
        <f t="shared" si="5"/>
        <v>0</v>
      </c>
    </row>
    <row r="14" spans="1:54" x14ac:dyDescent="0.35">
      <c r="A14" s="6" t="s">
        <v>26</v>
      </c>
      <c r="B14" s="12">
        <v>87.09</v>
      </c>
      <c r="C14" s="12">
        <v>1.46</v>
      </c>
      <c r="D14" s="12">
        <v>0</v>
      </c>
      <c r="E14" s="12">
        <v>0</v>
      </c>
      <c r="F14" s="12">
        <v>4.3600000000000003</v>
      </c>
      <c r="G14" s="12">
        <v>0</v>
      </c>
      <c r="H14" s="12">
        <v>0</v>
      </c>
      <c r="I14" s="12">
        <v>0</v>
      </c>
      <c r="J14" s="12">
        <v>1.84</v>
      </c>
      <c r="K14" s="12">
        <v>1.37</v>
      </c>
      <c r="L14" s="12">
        <v>0</v>
      </c>
      <c r="M14" s="12">
        <v>0</v>
      </c>
      <c r="N14" s="12">
        <v>0</v>
      </c>
      <c r="O14" s="12">
        <v>0</v>
      </c>
      <c r="P14" s="12">
        <v>0</v>
      </c>
      <c r="Q14" s="12">
        <v>0</v>
      </c>
      <c r="R14" s="12">
        <v>4.34</v>
      </c>
      <c r="S14" s="12">
        <v>2.86</v>
      </c>
      <c r="T14" s="12">
        <v>0</v>
      </c>
      <c r="U14" s="12">
        <v>2.1800000000000002</v>
      </c>
      <c r="V14" s="12">
        <v>4.12</v>
      </c>
      <c r="W14" s="12">
        <v>0</v>
      </c>
      <c r="X14" s="12">
        <v>0</v>
      </c>
      <c r="Y14" s="12">
        <v>0.31</v>
      </c>
      <c r="Z14" s="12">
        <f t="shared" si="6"/>
        <v>109.93000000000002</v>
      </c>
      <c r="AA14" s="208">
        <f t="shared" si="7"/>
        <v>1.0717684130066844E-2</v>
      </c>
      <c r="AC14" s="12">
        <f t="shared" si="1"/>
        <v>103.32000000000001</v>
      </c>
      <c r="AD14" s="12">
        <f t="shared" si="2"/>
        <v>6.3000000000000007</v>
      </c>
      <c r="AE14" s="12">
        <f t="shared" si="3"/>
        <v>0.31</v>
      </c>
      <c r="AF14" s="12">
        <f t="shared" si="4"/>
        <v>109.93</v>
      </c>
      <c r="AG14" s="208">
        <f t="shared" si="5"/>
        <v>5.7309196761575552E-2</v>
      </c>
    </row>
    <row r="15" spans="1:54" x14ac:dyDescent="0.35">
      <c r="A15" s="6" t="s">
        <v>27</v>
      </c>
      <c r="B15" s="12">
        <v>2228.59</v>
      </c>
      <c r="C15" s="12">
        <v>0</v>
      </c>
      <c r="D15" s="12">
        <v>0</v>
      </c>
      <c r="E15" s="12">
        <v>0</v>
      </c>
      <c r="F15" s="12">
        <v>0</v>
      </c>
      <c r="G15" s="12">
        <v>0</v>
      </c>
      <c r="H15" s="12">
        <v>0</v>
      </c>
      <c r="I15" s="12">
        <v>0</v>
      </c>
      <c r="J15" s="12">
        <v>0</v>
      </c>
      <c r="K15" s="12">
        <v>0</v>
      </c>
      <c r="L15" s="12">
        <v>0</v>
      </c>
      <c r="M15" s="12">
        <v>0</v>
      </c>
      <c r="N15" s="12">
        <v>1.47</v>
      </c>
      <c r="O15" s="12">
        <v>0</v>
      </c>
      <c r="P15" s="12">
        <v>0</v>
      </c>
      <c r="Q15" s="12">
        <v>0</v>
      </c>
      <c r="R15" s="12">
        <v>0</v>
      </c>
      <c r="S15" s="12">
        <v>0</v>
      </c>
      <c r="T15" s="12">
        <v>0</v>
      </c>
      <c r="U15" s="12">
        <v>0</v>
      </c>
      <c r="V15" s="12">
        <v>0</v>
      </c>
      <c r="W15" s="12">
        <v>0.46</v>
      </c>
      <c r="X15" s="12">
        <v>0</v>
      </c>
      <c r="Y15" s="12">
        <v>0.41</v>
      </c>
      <c r="Z15" s="12">
        <f t="shared" si="6"/>
        <v>2230.9299999999998</v>
      </c>
      <c r="AA15" s="208">
        <f t="shared" si="7"/>
        <v>0.21750571323833365</v>
      </c>
      <c r="AC15" s="12">
        <f t="shared" si="1"/>
        <v>2230.06</v>
      </c>
      <c r="AD15" s="12">
        <f t="shared" si="2"/>
        <v>0.46</v>
      </c>
      <c r="AE15" s="12">
        <f t="shared" si="3"/>
        <v>0.41</v>
      </c>
      <c r="AF15" s="12">
        <f t="shared" si="4"/>
        <v>2230.9299999999998</v>
      </c>
      <c r="AG15" s="208">
        <f t="shared" si="5"/>
        <v>2.0619203650495537E-4</v>
      </c>
    </row>
    <row r="16" spans="1:54" x14ac:dyDescent="0.35">
      <c r="A16" s="6" t="s">
        <v>28</v>
      </c>
      <c r="B16" s="12">
        <v>1.53</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f t="shared" si="6"/>
        <v>1.53</v>
      </c>
      <c r="AA16" s="208">
        <f t="shared" si="7"/>
        <v>1.4916816809790111E-4</v>
      </c>
      <c r="AC16" s="12">
        <f t="shared" si="1"/>
        <v>1.53</v>
      </c>
      <c r="AD16" s="12">
        <f t="shared" si="2"/>
        <v>0</v>
      </c>
      <c r="AE16" s="12">
        <f t="shared" si="3"/>
        <v>0</v>
      </c>
      <c r="AF16" s="12">
        <f t="shared" si="4"/>
        <v>1.53</v>
      </c>
      <c r="AG16" s="208">
        <f t="shared" si="5"/>
        <v>0</v>
      </c>
    </row>
    <row r="17" spans="1:43" x14ac:dyDescent="0.35">
      <c r="A17" s="6" t="s">
        <v>29</v>
      </c>
      <c r="B17" s="12">
        <v>1334.42</v>
      </c>
      <c r="C17" s="12">
        <v>5.91</v>
      </c>
      <c r="D17" s="12">
        <v>0</v>
      </c>
      <c r="E17" s="12">
        <v>3.27</v>
      </c>
      <c r="F17" s="12">
        <v>11.14</v>
      </c>
      <c r="G17" s="12">
        <v>2.1800000000000002</v>
      </c>
      <c r="H17" s="12">
        <v>0</v>
      </c>
      <c r="I17" s="12">
        <v>0</v>
      </c>
      <c r="J17" s="12">
        <v>0</v>
      </c>
      <c r="K17" s="12">
        <v>0</v>
      </c>
      <c r="L17" s="12">
        <v>0</v>
      </c>
      <c r="M17" s="12">
        <v>5.34</v>
      </c>
      <c r="N17" s="12">
        <v>0</v>
      </c>
      <c r="O17" s="12">
        <v>0</v>
      </c>
      <c r="P17" s="12">
        <v>9.1199999999999992</v>
      </c>
      <c r="Q17" s="12">
        <v>5</v>
      </c>
      <c r="R17" s="12">
        <v>0</v>
      </c>
      <c r="S17" s="12">
        <v>0</v>
      </c>
      <c r="T17" s="12">
        <v>0</v>
      </c>
      <c r="U17" s="12">
        <v>0</v>
      </c>
      <c r="V17" s="12">
        <v>0</v>
      </c>
      <c r="W17" s="12">
        <v>0</v>
      </c>
      <c r="X17" s="12">
        <v>0</v>
      </c>
      <c r="Y17" s="12">
        <v>0.2</v>
      </c>
      <c r="Z17" s="12">
        <f t="shared" si="6"/>
        <v>1376.5800000000002</v>
      </c>
      <c r="AA17" s="208">
        <f t="shared" si="7"/>
        <v>0.13421040316353511</v>
      </c>
      <c r="AC17" s="12">
        <f t="shared" si="1"/>
        <v>1376.38</v>
      </c>
      <c r="AD17" s="12">
        <f t="shared" si="2"/>
        <v>0</v>
      </c>
      <c r="AE17" s="12">
        <f t="shared" si="3"/>
        <v>0.2</v>
      </c>
      <c r="AF17" s="12">
        <f t="shared" si="4"/>
        <v>1376.5800000000002</v>
      </c>
      <c r="AG17" s="208">
        <f t="shared" si="5"/>
        <v>0</v>
      </c>
    </row>
    <row r="18" spans="1:43" x14ac:dyDescent="0.35">
      <c r="A18" s="6" t="s">
        <v>30</v>
      </c>
      <c r="B18" s="12">
        <v>70.5</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f t="shared" si="6"/>
        <v>70.5</v>
      </c>
      <c r="AA18" s="208">
        <f t="shared" si="7"/>
        <v>6.8734351966679916E-3</v>
      </c>
      <c r="AC18" s="12">
        <f t="shared" si="1"/>
        <v>70.5</v>
      </c>
      <c r="AD18" s="12">
        <f t="shared" si="2"/>
        <v>0</v>
      </c>
      <c r="AE18" s="12">
        <f t="shared" si="3"/>
        <v>0</v>
      </c>
      <c r="AF18" s="12">
        <f t="shared" si="4"/>
        <v>70.5</v>
      </c>
      <c r="AG18" s="208">
        <f t="shared" si="5"/>
        <v>0</v>
      </c>
    </row>
    <row r="19" spans="1:43" x14ac:dyDescent="0.35">
      <c r="A19" s="310" t="s">
        <v>69</v>
      </c>
      <c r="B19" s="311">
        <v>1.84</v>
      </c>
      <c r="C19" s="311">
        <v>28.6</v>
      </c>
      <c r="D19" s="311">
        <v>0</v>
      </c>
      <c r="E19" s="311">
        <v>0</v>
      </c>
      <c r="F19" s="311">
        <v>0</v>
      </c>
      <c r="G19" s="311">
        <v>0</v>
      </c>
      <c r="H19" s="311">
        <v>0</v>
      </c>
      <c r="I19" s="311">
        <v>0</v>
      </c>
      <c r="J19" s="311">
        <v>0</v>
      </c>
      <c r="K19" s="311">
        <v>0.21</v>
      </c>
      <c r="L19" s="311">
        <v>0</v>
      </c>
      <c r="M19" s="311">
        <v>0</v>
      </c>
      <c r="N19" s="311">
        <v>0</v>
      </c>
      <c r="O19" s="311">
        <v>1.43</v>
      </c>
      <c r="P19" s="311">
        <v>0</v>
      </c>
      <c r="Q19" s="311">
        <v>0</v>
      </c>
      <c r="R19" s="311">
        <v>0</v>
      </c>
      <c r="S19" s="311">
        <v>0</v>
      </c>
      <c r="T19" s="311">
        <v>0.14000000000000001</v>
      </c>
      <c r="U19" s="311">
        <v>0.19</v>
      </c>
      <c r="V19" s="311">
        <v>0.85</v>
      </c>
      <c r="W19" s="311">
        <v>0</v>
      </c>
      <c r="X19" s="311">
        <v>0</v>
      </c>
      <c r="Y19" s="311">
        <v>0.08</v>
      </c>
      <c r="Z19" s="311">
        <f>SUM(Z20)</f>
        <v>33.340000000000003</v>
      </c>
      <c r="AA19" s="312">
        <f>Z19/$Z$50</f>
        <v>3.2505011270483812E-3</v>
      </c>
      <c r="AC19" s="311">
        <f t="shared" si="1"/>
        <v>32.220000000000006</v>
      </c>
      <c r="AD19" s="311">
        <f t="shared" si="2"/>
        <v>1.04</v>
      </c>
      <c r="AE19" s="311">
        <f t="shared" si="3"/>
        <v>0.08</v>
      </c>
      <c r="AF19" s="311">
        <f t="shared" si="4"/>
        <v>33.340000000000003</v>
      </c>
      <c r="AG19" s="312">
        <f t="shared" si="5"/>
        <v>3.1193761247750449E-2</v>
      </c>
    </row>
    <row r="20" spans="1:43" x14ac:dyDescent="0.35">
      <c r="A20" s="6" t="s">
        <v>69</v>
      </c>
      <c r="B20" s="12">
        <v>1.84</v>
      </c>
      <c r="C20" s="12">
        <v>28.6</v>
      </c>
      <c r="D20" s="12">
        <v>0</v>
      </c>
      <c r="E20" s="12">
        <v>0</v>
      </c>
      <c r="F20" s="12">
        <v>0</v>
      </c>
      <c r="G20" s="12">
        <v>0</v>
      </c>
      <c r="H20" s="12">
        <v>0</v>
      </c>
      <c r="I20" s="12">
        <v>0</v>
      </c>
      <c r="J20" s="12">
        <v>0</v>
      </c>
      <c r="K20" s="12">
        <v>0.21</v>
      </c>
      <c r="L20" s="12">
        <v>0</v>
      </c>
      <c r="M20" s="12">
        <v>0</v>
      </c>
      <c r="N20" s="12">
        <v>0</v>
      </c>
      <c r="O20" s="12">
        <v>1.43</v>
      </c>
      <c r="P20" s="12">
        <v>0</v>
      </c>
      <c r="Q20" s="12">
        <v>0</v>
      </c>
      <c r="R20" s="12">
        <v>0</v>
      </c>
      <c r="S20" s="12">
        <v>0</v>
      </c>
      <c r="T20" s="12">
        <v>0.14000000000000001</v>
      </c>
      <c r="U20" s="12">
        <v>0.19</v>
      </c>
      <c r="V20" s="12">
        <v>0.85</v>
      </c>
      <c r="W20" s="12">
        <v>0</v>
      </c>
      <c r="X20" s="12">
        <v>0</v>
      </c>
      <c r="Y20" s="12">
        <v>0.08</v>
      </c>
      <c r="Z20" s="12">
        <f t="shared" ref="Z20:Z49" si="8">SUM(B20:Y20)</f>
        <v>33.340000000000003</v>
      </c>
      <c r="AA20" s="208">
        <f t="shared" si="7"/>
        <v>3.2505011270483812E-3</v>
      </c>
      <c r="AC20" s="12">
        <f t="shared" si="1"/>
        <v>32.220000000000006</v>
      </c>
      <c r="AD20" s="12">
        <f t="shared" si="2"/>
        <v>1.04</v>
      </c>
      <c r="AE20" s="12">
        <f t="shared" si="3"/>
        <v>0.08</v>
      </c>
      <c r="AF20" s="12">
        <f t="shared" si="4"/>
        <v>33.340000000000003</v>
      </c>
      <c r="AG20" s="208">
        <f t="shared" si="5"/>
        <v>3.1193761247750449E-2</v>
      </c>
    </row>
    <row r="21" spans="1:43" x14ac:dyDescent="0.35">
      <c r="A21" s="310" t="s">
        <v>13</v>
      </c>
      <c r="B21" s="311">
        <v>0</v>
      </c>
      <c r="C21" s="311">
        <v>0</v>
      </c>
      <c r="D21" s="311">
        <v>0</v>
      </c>
      <c r="E21" s="311">
        <v>0</v>
      </c>
      <c r="F21" s="311">
        <v>0</v>
      </c>
      <c r="G21" s="311">
        <v>0</v>
      </c>
      <c r="H21" s="311">
        <v>0</v>
      </c>
      <c r="I21" s="311">
        <v>0</v>
      </c>
      <c r="J21" s="311">
        <v>0</v>
      </c>
      <c r="K21" s="311">
        <v>0</v>
      </c>
      <c r="L21" s="311">
        <v>0</v>
      </c>
      <c r="M21" s="311">
        <v>0</v>
      </c>
      <c r="N21" s="311">
        <v>0</v>
      </c>
      <c r="O21" s="311">
        <v>0</v>
      </c>
      <c r="P21" s="311">
        <v>0</v>
      </c>
      <c r="Q21" s="311">
        <v>0</v>
      </c>
      <c r="R21" s="311">
        <v>0</v>
      </c>
      <c r="S21" s="311">
        <v>0</v>
      </c>
      <c r="T21" s="311">
        <v>0</v>
      </c>
      <c r="U21" s="311">
        <v>0</v>
      </c>
      <c r="V21" s="311">
        <v>0</v>
      </c>
      <c r="W21" s="311">
        <v>0</v>
      </c>
      <c r="X21" s="311">
        <v>0</v>
      </c>
      <c r="Y21" s="311">
        <v>0.1</v>
      </c>
      <c r="Z21" s="311">
        <f>SUM(Z22)</f>
        <v>0.1</v>
      </c>
      <c r="AA21" s="312">
        <f>Z21/$Z$50</f>
        <v>9.7495534704510524E-6</v>
      </c>
      <c r="AC21" s="311">
        <f t="shared" si="1"/>
        <v>0</v>
      </c>
      <c r="AD21" s="311">
        <f t="shared" si="2"/>
        <v>0</v>
      </c>
      <c r="AE21" s="311">
        <f t="shared" si="3"/>
        <v>0.1</v>
      </c>
      <c r="AF21" s="311">
        <f t="shared" si="4"/>
        <v>0.1</v>
      </c>
      <c r="AG21" s="312">
        <f t="shared" si="5"/>
        <v>0</v>
      </c>
    </row>
    <row r="22" spans="1:43" x14ac:dyDescent="0.35">
      <c r="A22" s="6" t="s">
        <v>34</v>
      </c>
      <c r="B22" s="12">
        <v>0</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0.1</v>
      </c>
      <c r="Z22" s="12">
        <f t="shared" si="8"/>
        <v>0.1</v>
      </c>
      <c r="AA22" s="208">
        <f t="shared" si="7"/>
        <v>9.7495534704510524E-6</v>
      </c>
      <c r="AC22" s="12">
        <f t="shared" si="1"/>
        <v>0</v>
      </c>
      <c r="AD22" s="12">
        <f t="shared" si="2"/>
        <v>0</v>
      </c>
      <c r="AE22" s="12">
        <f t="shared" si="3"/>
        <v>0.1</v>
      </c>
      <c r="AF22" s="12">
        <f t="shared" si="4"/>
        <v>0.1</v>
      </c>
      <c r="AG22" s="208">
        <f t="shared" si="5"/>
        <v>0</v>
      </c>
    </row>
    <row r="23" spans="1:43" x14ac:dyDescent="0.35">
      <c r="A23" s="310" t="s">
        <v>16</v>
      </c>
      <c r="B23" s="311">
        <f>SUM(B24:B28)</f>
        <v>100.66000000000003</v>
      </c>
      <c r="C23" s="311">
        <f t="shared" ref="C23:Z23" si="9">SUM(C24:C28)</f>
        <v>31.83</v>
      </c>
      <c r="D23" s="311">
        <f t="shared" si="9"/>
        <v>0</v>
      </c>
      <c r="E23" s="311">
        <f t="shared" si="9"/>
        <v>0.54</v>
      </c>
      <c r="F23" s="311">
        <f t="shared" si="9"/>
        <v>3.54</v>
      </c>
      <c r="G23" s="311">
        <f t="shared" si="9"/>
        <v>0.57999999999999996</v>
      </c>
      <c r="H23" s="311">
        <f t="shared" si="9"/>
        <v>20.350000000000001</v>
      </c>
      <c r="I23" s="311">
        <f t="shared" si="9"/>
        <v>0.36</v>
      </c>
      <c r="J23" s="311">
        <f t="shared" si="9"/>
        <v>1.6099999999999999</v>
      </c>
      <c r="K23" s="311">
        <f t="shared" si="9"/>
        <v>0.71</v>
      </c>
      <c r="L23" s="311">
        <f t="shared" si="9"/>
        <v>4.6500000000000004</v>
      </c>
      <c r="M23" s="311">
        <f t="shared" si="9"/>
        <v>11.33</v>
      </c>
      <c r="N23" s="311">
        <f t="shared" si="9"/>
        <v>0</v>
      </c>
      <c r="O23" s="311">
        <f t="shared" si="9"/>
        <v>0.57000000000000006</v>
      </c>
      <c r="P23" s="311">
        <f t="shared" si="9"/>
        <v>6.1899999999999995</v>
      </c>
      <c r="Q23" s="311">
        <f t="shared" si="9"/>
        <v>15.780000000000001</v>
      </c>
      <c r="R23" s="311">
        <f t="shared" si="9"/>
        <v>12.940000000000001</v>
      </c>
      <c r="S23" s="311">
        <f t="shared" si="9"/>
        <v>9.620000000000001</v>
      </c>
      <c r="T23" s="311">
        <f t="shared" si="9"/>
        <v>43.21</v>
      </c>
      <c r="U23" s="311">
        <f t="shared" si="9"/>
        <v>26.259999999999998</v>
      </c>
      <c r="V23" s="311">
        <f t="shared" si="9"/>
        <v>3.45</v>
      </c>
      <c r="W23" s="311">
        <f t="shared" si="9"/>
        <v>4.16</v>
      </c>
      <c r="X23" s="311">
        <f t="shared" si="9"/>
        <v>2.59</v>
      </c>
      <c r="Y23" s="311">
        <f t="shared" si="9"/>
        <v>7.0099999999999989</v>
      </c>
      <c r="Z23" s="311">
        <f t="shared" si="9"/>
        <v>307.94000000000005</v>
      </c>
      <c r="AA23" s="312">
        <f>Z23/$Z$50</f>
        <v>3.0022774956906976E-2</v>
      </c>
      <c r="AC23" s="311">
        <f t="shared" si="1"/>
        <v>264.47000000000003</v>
      </c>
      <c r="AD23" s="311">
        <f t="shared" si="2"/>
        <v>36.459999999999994</v>
      </c>
      <c r="AE23" s="311">
        <f t="shared" si="3"/>
        <v>7.0099999999999989</v>
      </c>
      <c r="AF23" s="311">
        <f t="shared" si="4"/>
        <v>307.94</v>
      </c>
      <c r="AG23" s="312">
        <f t="shared" si="5"/>
        <v>0.11839968825095797</v>
      </c>
    </row>
    <row r="24" spans="1:43" x14ac:dyDescent="0.35">
      <c r="A24" s="6" t="s">
        <v>46</v>
      </c>
      <c r="B24" s="12">
        <v>6.4799999999999995</v>
      </c>
      <c r="C24" s="12">
        <v>1.0900000000000001</v>
      </c>
      <c r="D24" s="12">
        <v>0</v>
      </c>
      <c r="E24" s="12">
        <v>0</v>
      </c>
      <c r="F24" s="12">
        <v>0</v>
      </c>
      <c r="G24" s="12">
        <v>0</v>
      </c>
      <c r="H24" s="12">
        <v>0</v>
      </c>
      <c r="I24" s="12">
        <v>0</v>
      </c>
      <c r="J24" s="12">
        <v>0</v>
      </c>
      <c r="K24" s="12">
        <v>0</v>
      </c>
      <c r="L24" s="12">
        <v>0</v>
      </c>
      <c r="M24" s="12">
        <v>0</v>
      </c>
      <c r="N24" s="12">
        <v>0</v>
      </c>
      <c r="O24" s="12">
        <v>0</v>
      </c>
      <c r="P24" s="12">
        <v>0</v>
      </c>
      <c r="Q24" s="12">
        <v>0</v>
      </c>
      <c r="R24" s="12">
        <v>2.5700000000000003</v>
      </c>
      <c r="S24" s="12">
        <v>0.21</v>
      </c>
      <c r="T24" s="12">
        <v>0.16</v>
      </c>
      <c r="U24" s="12">
        <v>1.74</v>
      </c>
      <c r="V24" s="12">
        <v>0</v>
      </c>
      <c r="W24" s="12">
        <v>1.27</v>
      </c>
      <c r="X24" s="12">
        <v>0.81</v>
      </c>
      <c r="Y24" s="12">
        <v>0</v>
      </c>
      <c r="Z24" s="12">
        <f t="shared" si="8"/>
        <v>14.330000000000002</v>
      </c>
      <c r="AA24" s="208">
        <f t="shared" si="7"/>
        <v>1.3971110123156361E-3</v>
      </c>
      <c r="AC24" s="12">
        <f t="shared" si="1"/>
        <v>10.510000000000002</v>
      </c>
      <c r="AD24" s="12">
        <f t="shared" si="2"/>
        <v>3.82</v>
      </c>
      <c r="AE24" s="12">
        <f t="shared" si="3"/>
        <v>0</v>
      </c>
      <c r="AF24" s="12">
        <f t="shared" si="4"/>
        <v>14.330000000000002</v>
      </c>
      <c r="AG24" s="208">
        <f t="shared" si="5"/>
        <v>0.26657362177250521</v>
      </c>
      <c r="AN24" s="342"/>
      <c r="AO24" s="342" t="s">
        <v>256</v>
      </c>
      <c r="AP24" s="342" t="s">
        <v>96</v>
      </c>
      <c r="AQ24" s="342" t="s">
        <v>257</v>
      </c>
    </row>
    <row r="25" spans="1:43" x14ac:dyDescent="0.35">
      <c r="A25" s="6" t="s">
        <v>47</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0.92</v>
      </c>
      <c r="X25" s="12">
        <v>0</v>
      </c>
      <c r="Y25" s="12">
        <v>0</v>
      </c>
      <c r="Z25" s="12">
        <f t="shared" si="8"/>
        <v>0.92</v>
      </c>
      <c r="AA25" s="208">
        <f t="shared" si="7"/>
        <v>8.9695891928149679E-5</v>
      </c>
      <c r="AC25" s="12">
        <f t="shared" si="1"/>
        <v>0</v>
      </c>
      <c r="AD25" s="12">
        <f t="shared" si="2"/>
        <v>0.92</v>
      </c>
      <c r="AE25" s="12">
        <f t="shared" si="3"/>
        <v>0</v>
      </c>
      <c r="AF25" s="12">
        <f t="shared" si="4"/>
        <v>0.92</v>
      </c>
      <c r="AG25" s="208">
        <f t="shared" si="5"/>
        <v>1</v>
      </c>
      <c r="AI25" s="210" t="s">
        <v>255</v>
      </c>
      <c r="AN25" s="310" t="s">
        <v>64</v>
      </c>
      <c r="AO25" s="343">
        <v>240.64999999999998</v>
      </c>
      <c r="AP25" s="343">
        <v>2943.2000000000003</v>
      </c>
      <c r="AQ25" s="190">
        <f>AO25/AP25</f>
        <v>8.1764745854851842E-2</v>
      </c>
    </row>
    <row r="26" spans="1:43" x14ac:dyDescent="0.35">
      <c r="A26" s="6" t="s">
        <v>48</v>
      </c>
      <c r="B26" s="12">
        <v>79.070000000000022</v>
      </c>
      <c r="C26" s="12">
        <v>0.28999999999999998</v>
      </c>
      <c r="D26" s="12">
        <v>0</v>
      </c>
      <c r="E26" s="12">
        <v>0</v>
      </c>
      <c r="F26" s="12">
        <v>0</v>
      </c>
      <c r="G26" s="12">
        <v>0.42</v>
      </c>
      <c r="H26" s="12">
        <v>0</v>
      </c>
      <c r="I26" s="12">
        <v>0.05</v>
      </c>
      <c r="J26" s="12">
        <v>0.37</v>
      </c>
      <c r="K26" s="12">
        <v>0.02</v>
      </c>
      <c r="L26" s="12">
        <v>0.31</v>
      </c>
      <c r="M26" s="12">
        <v>0.65</v>
      </c>
      <c r="N26" s="12">
        <v>0</v>
      </c>
      <c r="O26" s="12">
        <v>0.28000000000000003</v>
      </c>
      <c r="P26" s="12">
        <v>1.26</v>
      </c>
      <c r="Q26" s="12">
        <v>0.22000000000000003</v>
      </c>
      <c r="R26" s="12">
        <v>6.08</v>
      </c>
      <c r="S26" s="12">
        <v>2.5</v>
      </c>
      <c r="T26" s="12">
        <v>2.7</v>
      </c>
      <c r="U26" s="12">
        <v>22.13</v>
      </c>
      <c r="V26" s="12">
        <v>0.82000000000000006</v>
      </c>
      <c r="W26" s="12">
        <v>1.28</v>
      </c>
      <c r="X26" s="12">
        <v>0.09</v>
      </c>
      <c r="Y26" s="12">
        <v>2.02</v>
      </c>
      <c r="Z26" s="12">
        <f t="shared" si="8"/>
        <v>120.56000000000003</v>
      </c>
      <c r="AA26" s="208">
        <f t="shared" si="7"/>
        <v>1.1754061663975792E-2</v>
      </c>
      <c r="AC26" s="12">
        <f t="shared" si="1"/>
        <v>94.220000000000041</v>
      </c>
      <c r="AD26" s="12">
        <f t="shared" si="2"/>
        <v>24.32</v>
      </c>
      <c r="AE26" s="12">
        <f t="shared" si="3"/>
        <v>2.02</v>
      </c>
      <c r="AF26" s="12">
        <f t="shared" si="4"/>
        <v>120.56000000000004</v>
      </c>
      <c r="AG26" s="208">
        <f t="shared" si="5"/>
        <v>0.20172528201725276</v>
      </c>
      <c r="AJ26" t="s">
        <v>256</v>
      </c>
      <c r="AK26" t="s">
        <v>96</v>
      </c>
      <c r="AL26" t="s">
        <v>257</v>
      </c>
      <c r="AN26" s="310" t="s">
        <v>17</v>
      </c>
      <c r="AO26" s="343">
        <v>102.86</v>
      </c>
      <c r="AP26" s="343">
        <v>3108.4799999999996</v>
      </c>
      <c r="AQ26" s="190">
        <f>AO26/AP26</f>
        <v>3.3090127650813261E-2</v>
      </c>
    </row>
    <row r="27" spans="1:43" x14ac:dyDescent="0.35">
      <c r="A27" s="6" t="s">
        <v>50</v>
      </c>
      <c r="B27" s="12">
        <v>8.16</v>
      </c>
      <c r="C27" s="12">
        <v>19.87</v>
      </c>
      <c r="D27" s="12">
        <v>0</v>
      </c>
      <c r="E27" s="12">
        <v>0</v>
      </c>
      <c r="F27" s="12">
        <v>0</v>
      </c>
      <c r="G27" s="12">
        <v>0</v>
      </c>
      <c r="H27" s="12">
        <v>0</v>
      </c>
      <c r="I27" s="12">
        <v>0</v>
      </c>
      <c r="J27" s="12">
        <v>0</v>
      </c>
      <c r="K27" s="12">
        <v>0</v>
      </c>
      <c r="L27" s="12">
        <v>0</v>
      </c>
      <c r="M27" s="12">
        <v>0.52</v>
      </c>
      <c r="N27" s="12">
        <v>0</v>
      </c>
      <c r="O27" s="12">
        <v>0</v>
      </c>
      <c r="P27" s="12">
        <v>0</v>
      </c>
      <c r="Q27" s="12">
        <v>0.84</v>
      </c>
      <c r="R27" s="12">
        <v>0.65</v>
      </c>
      <c r="S27" s="12">
        <v>1.85</v>
      </c>
      <c r="T27" s="12">
        <v>0</v>
      </c>
      <c r="U27" s="12">
        <v>0</v>
      </c>
      <c r="V27" s="12">
        <v>0.56999999999999995</v>
      </c>
      <c r="W27" s="12">
        <v>0.44</v>
      </c>
      <c r="X27" s="12">
        <v>1.69</v>
      </c>
      <c r="Y27" s="12">
        <v>4.8499999999999996</v>
      </c>
      <c r="Z27" s="12">
        <f t="shared" si="8"/>
        <v>39.44</v>
      </c>
      <c r="AA27" s="208">
        <f t="shared" si="7"/>
        <v>3.8452238887458946E-3</v>
      </c>
      <c r="AC27" s="12">
        <f t="shared" si="1"/>
        <v>31.89</v>
      </c>
      <c r="AD27" s="12">
        <f t="shared" si="2"/>
        <v>2.7</v>
      </c>
      <c r="AE27" s="12">
        <f t="shared" si="3"/>
        <v>4.8499999999999996</v>
      </c>
      <c r="AF27" s="12">
        <f t="shared" si="4"/>
        <v>39.440000000000005</v>
      </c>
      <c r="AG27" s="208">
        <f t="shared" si="5"/>
        <v>6.8458417849898576E-2</v>
      </c>
      <c r="AI27" s="6" t="s">
        <v>56</v>
      </c>
      <c r="AJ27" s="12">
        <v>102.28000000000002</v>
      </c>
      <c r="AK27" s="12">
        <v>3063.6</v>
      </c>
      <c r="AL27" s="382">
        <f>AJ27/AK27</f>
        <v>3.3385559472516001E-2</v>
      </c>
      <c r="AN27" s="310" t="s">
        <v>16</v>
      </c>
      <c r="AO27" s="343">
        <v>36.459999999999994</v>
      </c>
      <c r="AP27" s="343">
        <v>307.94</v>
      </c>
      <c r="AQ27" s="190">
        <f t="shared" ref="AQ27" si="10">AO27/AP27</f>
        <v>0.11839968825095797</v>
      </c>
    </row>
    <row r="28" spans="1:43" x14ac:dyDescent="0.35">
      <c r="A28" s="6" t="s">
        <v>54</v>
      </c>
      <c r="B28" s="12">
        <v>6.95</v>
      </c>
      <c r="C28" s="12">
        <v>10.58</v>
      </c>
      <c r="D28" s="12">
        <v>0</v>
      </c>
      <c r="E28" s="12">
        <v>0.54</v>
      </c>
      <c r="F28" s="12">
        <v>3.54</v>
      </c>
      <c r="G28" s="12">
        <v>0.16</v>
      </c>
      <c r="H28" s="12">
        <v>20.350000000000001</v>
      </c>
      <c r="I28" s="12">
        <v>0.31</v>
      </c>
      <c r="J28" s="12">
        <v>1.24</v>
      </c>
      <c r="K28" s="12">
        <v>0.69</v>
      </c>
      <c r="L28" s="12">
        <v>4.3400000000000007</v>
      </c>
      <c r="M28" s="12">
        <v>10.16</v>
      </c>
      <c r="N28" s="12">
        <v>0</v>
      </c>
      <c r="O28" s="12">
        <v>0.29000000000000004</v>
      </c>
      <c r="P28" s="12">
        <v>4.93</v>
      </c>
      <c r="Q28" s="12">
        <v>14.72</v>
      </c>
      <c r="R28" s="12">
        <v>3.6399999999999997</v>
      </c>
      <c r="S28" s="12">
        <v>5.0600000000000005</v>
      </c>
      <c r="T28" s="12">
        <v>40.35</v>
      </c>
      <c r="U28" s="12">
        <v>2.39</v>
      </c>
      <c r="V28" s="12">
        <v>2.06</v>
      </c>
      <c r="W28" s="12">
        <v>0.25</v>
      </c>
      <c r="X28" s="12">
        <v>0</v>
      </c>
      <c r="Y28" s="12">
        <v>0.14000000000000001</v>
      </c>
      <c r="Z28" s="12">
        <f t="shared" si="8"/>
        <v>132.69</v>
      </c>
      <c r="AA28" s="208">
        <f t="shared" si="7"/>
        <v>1.2936682499941501E-2</v>
      </c>
      <c r="AC28" s="12">
        <f t="shared" si="1"/>
        <v>127.85000000000002</v>
      </c>
      <c r="AD28" s="12">
        <f t="shared" si="2"/>
        <v>4.7</v>
      </c>
      <c r="AE28" s="12">
        <f t="shared" si="3"/>
        <v>0.14000000000000001</v>
      </c>
      <c r="AF28" s="12">
        <f t="shared" si="4"/>
        <v>132.69</v>
      </c>
      <c r="AG28" s="208">
        <f t="shared" si="5"/>
        <v>3.542090587082674E-2</v>
      </c>
      <c r="AI28" s="6" t="s">
        <v>65</v>
      </c>
      <c r="AJ28" s="12">
        <v>90.86999999999999</v>
      </c>
      <c r="AK28" s="12">
        <v>1211.0499999999997</v>
      </c>
      <c r="AL28" s="382">
        <f t="shared" ref="AL28:AL41" si="11">AJ28/AK28</f>
        <v>7.5034061351719597E-2</v>
      </c>
    </row>
    <row r="29" spans="1:43" x14ac:dyDescent="0.35">
      <c r="A29" s="310" t="s">
        <v>15</v>
      </c>
      <c r="B29" s="311">
        <v>0.38</v>
      </c>
      <c r="C29" s="311">
        <v>0</v>
      </c>
      <c r="D29" s="311">
        <v>0</v>
      </c>
      <c r="E29" s="311">
        <v>0.78</v>
      </c>
      <c r="F29" s="311">
        <v>0</v>
      </c>
      <c r="G29" s="311">
        <v>0</v>
      </c>
      <c r="H29" s="311">
        <v>0</v>
      </c>
      <c r="I29" s="311">
        <v>0</v>
      </c>
      <c r="J29" s="311">
        <v>0</v>
      </c>
      <c r="K29" s="311">
        <v>0</v>
      </c>
      <c r="L29" s="311">
        <v>0</v>
      </c>
      <c r="M29" s="311">
        <v>0</v>
      </c>
      <c r="N29" s="311">
        <v>0</v>
      </c>
      <c r="O29" s="311">
        <v>0</v>
      </c>
      <c r="P29" s="311">
        <v>0</v>
      </c>
      <c r="Q29" s="311">
        <v>0</v>
      </c>
      <c r="R29" s="311">
        <v>0</v>
      </c>
      <c r="S29" s="311">
        <v>0.24</v>
      </c>
      <c r="T29" s="311">
        <v>0</v>
      </c>
      <c r="U29" s="311">
        <v>0</v>
      </c>
      <c r="V29" s="311">
        <v>0</v>
      </c>
      <c r="W29" s="311">
        <v>0</v>
      </c>
      <c r="X29" s="311">
        <v>0</v>
      </c>
      <c r="Y29" s="311">
        <v>0</v>
      </c>
      <c r="Z29" s="311">
        <v>1.4000000000000001</v>
      </c>
      <c r="AA29" s="312">
        <f>Z29/$Z$50</f>
        <v>1.3649374858631474E-4</v>
      </c>
      <c r="AC29" s="311">
        <f t="shared" si="1"/>
        <v>1.4000000000000001</v>
      </c>
      <c r="AD29" s="311">
        <f t="shared" si="2"/>
        <v>0</v>
      </c>
      <c r="AE29" s="311">
        <f t="shared" si="3"/>
        <v>0</v>
      </c>
      <c r="AF29" s="311">
        <f t="shared" si="4"/>
        <v>1.4000000000000001</v>
      </c>
      <c r="AG29" s="312">
        <f t="shared" si="5"/>
        <v>0</v>
      </c>
      <c r="AI29" s="6" t="s">
        <v>66</v>
      </c>
      <c r="AJ29" s="12">
        <v>68.930000000000007</v>
      </c>
      <c r="AK29" s="12">
        <v>1410.6799999999998</v>
      </c>
      <c r="AL29" s="382">
        <f t="shared" si="11"/>
        <v>4.8862959707375177E-2</v>
      </c>
    </row>
    <row r="30" spans="1:43" x14ac:dyDescent="0.35">
      <c r="A30" s="6" t="s">
        <v>45</v>
      </c>
      <c r="B30" s="12">
        <v>0.38</v>
      </c>
      <c r="C30" s="12">
        <v>0</v>
      </c>
      <c r="D30" s="12">
        <v>0</v>
      </c>
      <c r="E30" s="12">
        <v>0.78</v>
      </c>
      <c r="F30" s="12">
        <v>0</v>
      </c>
      <c r="G30" s="12">
        <v>0</v>
      </c>
      <c r="H30" s="12">
        <v>0</v>
      </c>
      <c r="I30" s="12">
        <v>0</v>
      </c>
      <c r="J30" s="12">
        <v>0</v>
      </c>
      <c r="K30" s="12">
        <v>0</v>
      </c>
      <c r="L30" s="12">
        <v>0</v>
      </c>
      <c r="M30" s="12">
        <v>0</v>
      </c>
      <c r="N30" s="12">
        <v>0</v>
      </c>
      <c r="O30" s="12">
        <v>0</v>
      </c>
      <c r="P30" s="12">
        <v>0</v>
      </c>
      <c r="Q30" s="12">
        <v>0</v>
      </c>
      <c r="R30" s="12">
        <v>0</v>
      </c>
      <c r="S30" s="12">
        <v>0.24</v>
      </c>
      <c r="T30" s="12">
        <v>0</v>
      </c>
      <c r="U30" s="12">
        <v>0</v>
      </c>
      <c r="V30" s="12">
        <v>0</v>
      </c>
      <c r="W30" s="12">
        <v>0</v>
      </c>
      <c r="X30" s="12">
        <v>0</v>
      </c>
      <c r="Y30" s="12">
        <v>0</v>
      </c>
      <c r="Z30" s="12">
        <f t="shared" si="8"/>
        <v>1.4000000000000001</v>
      </c>
      <c r="AA30" s="208">
        <f t="shared" si="7"/>
        <v>1.3649374858631474E-4</v>
      </c>
      <c r="AC30" s="12">
        <f t="shared" si="1"/>
        <v>1.4000000000000001</v>
      </c>
      <c r="AD30" s="12">
        <f t="shared" si="2"/>
        <v>0</v>
      </c>
      <c r="AE30" s="12">
        <f t="shared" si="3"/>
        <v>0</v>
      </c>
      <c r="AF30" s="12">
        <f t="shared" si="4"/>
        <v>1.4000000000000001</v>
      </c>
      <c r="AG30" s="208">
        <f t="shared" si="5"/>
        <v>0</v>
      </c>
      <c r="AI30" s="6" t="s">
        <v>71</v>
      </c>
      <c r="AJ30" s="12">
        <v>55.24</v>
      </c>
      <c r="AK30" s="12">
        <v>94.05</v>
      </c>
      <c r="AL30" s="382">
        <f t="shared" si="11"/>
        <v>0.5873471557682084</v>
      </c>
    </row>
    <row r="31" spans="1:43" x14ac:dyDescent="0.35">
      <c r="A31" s="310" t="s">
        <v>70</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4.57</v>
      </c>
      <c r="Z31" s="311">
        <v>4.57</v>
      </c>
      <c r="AA31" s="312">
        <f>Z31/$Z$50</f>
        <v>4.4555459359961312E-4</v>
      </c>
      <c r="AC31" s="311">
        <f t="shared" si="1"/>
        <v>0</v>
      </c>
      <c r="AD31" s="311">
        <f t="shared" si="2"/>
        <v>0</v>
      </c>
      <c r="AE31" s="311">
        <f t="shared" si="3"/>
        <v>4.57</v>
      </c>
      <c r="AF31" s="311">
        <f t="shared" si="4"/>
        <v>4.57</v>
      </c>
      <c r="AG31" s="312">
        <f t="shared" si="5"/>
        <v>0</v>
      </c>
      <c r="AI31" s="6" t="s">
        <v>72</v>
      </c>
      <c r="AJ31" s="12">
        <v>25.61</v>
      </c>
      <c r="AK31" s="12">
        <v>227.42</v>
      </c>
      <c r="AL31" s="382">
        <f t="shared" si="11"/>
        <v>0.11261102805382113</v>
      </c>
    </row>
    <row r="32" spans="1:43" x14ac:dyDescent="0.35">
      <c r="A32" s="6" t="s">
        <v>70</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4.57</v>
      </c>
      <c r="Z32" s="12">
        <f t="shared" si="8"/>
        <v>4.57</v>
      </c>
      <c r="AA32" s="208">
        <f t="shared" si="7"/>
        <v>4.4555459359961312E-4</v>
      </c>
      <c r="AC32" s="12">
        <f t="shared" si="1"/>
        <v>0</v>
      </c>
      <c r="AD32" s="12">
        <f t="shared" si="2"/>
        <v>0</v>
      </c>
      <c r="AE32" s="12">
        <f t="shared" si="3"/>
        <v>4.57</v>
      </c>
      <c r="AF32" s="12">
        <f t="shared" si="4"/>
        <v>4.57</v>
      </c>
      <c r="AG32" s="208">
        <f t="shared" si="5"/>
        <v>0</v>
      </c>
      <c r="AI32" s="6" t="s">
        <v>48</v>
      </c>
      <c r="AJ32" s="12">
        <v>24.32</v>
      </c>
      <c r="AK32" s="12">
        <v>120.56000000000004</v>
      </c>
      <c r="AL32" s="382">
        <f t="shared" si="11"/>
        <v>0.20172528201725276</v>
      </c>
    </row>
    <row r="33" spans="1:38" x14ac:dyDescent="0.35">
      <c r="A33" s="310" t="s">
        <v>14</v>
      </c>
      <c r="B33" s="311">
        <f>SUM(B34:B37)</f>
        <v>0</v>
      </c>
      <c r="C33" s="311">
        <f t="shared" ref="C33:Z33" si="12">SUM(C34:C37)</f>
        <v>0</v>
      </c>
      <c r="D33" s="311">
        <f t="shared" si="12"/>
        <v>0</v>
      </c>
      <c r="E33" s="311">
        <f t="shared" si="12"/>
        <v>0</v>
      </c>
      <c r="F33" s="311">
        <f t="shared" si="12"/>
        <v>0</v>
      </c>
      <c r="G33" s="311">
        <f t="shared" si="12"/>
        <v>0</v>
      </c>
      <c r="H33" s="311">
        <f t="shared" si="12"/>
        <v>0</v>
      </c>
      <c r="I33" s="311">
        <f t="shared" si="12"/>
        <v>0</v>
      </c>
      <c r="J33" s="311">
        <f t="shared" si="12"/>
        <v>0</v>
      </c>
      <c r="K33" s="311">
        <f t="shared" si="12"/>
        <v>0</v>
      </c>
      <c r="L33" s="311">
        <f t="shared" si="12"/>
        <v>0</v>
      </c>
      <c r="M33" s="311">
        <f t="shared" si="12"/>
        <v>0</v>
      </c>
      <c r="N33" s="311">
        <f t="shared" si="12"/>
        <v>0</v>
      </c>
      <c r="O33" s="311">
        <f t="shared" si="12"/>
        <v>0</v>
      </c>
      <c r="P33" s="311">
        <f t="shared" si="12"/>
        <v>0</v>
      </c>
      <c r="Q33" s="311">
        <f t="shared" si="12"/>
        <v>0</v>
      </c>
      <c r="R33" s="311">
        <f t="shared" si="12"/>
        <v>0</v>
      </c>
      <c r="S33" s="311">
        <f t="shared" si="12"/>
        <v>0</v>
      </c>
      <c r="T33" s="311">
        <f t="shared" si="12"/>
        <v>0</v>
      </c>
      <c r="U33" s="311">
        <f t="shared" si="12"/>
        <v>0</v>
      </c>
      <c r="V33" s="311">
        <f t="shared" si="12"/>
        <v>0</v>
      </c>
      <c r="W33" s="311">
        <f t="shared" si="12"/>
        <v>0</v>
      </c>
      <c r="X33" s="311">
        <f t="shared" si="12"/>
        <v>0</v>
      </c>
      <c r="Y33" s="311">
        <f t="shared" si="12"/>
        <v>8.24</v>
      </c>
      <c r="Z33" s="311">
        <f t="shared" si="12"/>
        <v>8.24</v>
      </c>
      <c r="AA33" s="312">
        <f>Z33/$Z$50</f>
        <v>8.0336320596516677E-4</v>
      </c>
      <c r="AC33" s="311">
        <f t="shared" si="1"/>
        <v>0</v>
      </c>
      <c r="AD33" s="311">
        <f t="shared" si="2"/>
        <v>0</v>
      </c>
      <c r="AE33" s="311">
        <f t="shared" si="3"/>
        <v>8.24</v>
      </c>
      <c r="AF33" s="311">
        <f t="shared" si="4"/>
        <v>8.24</v>
      </c>
      <c r="AG33" s="312">
        <f t="shared" si="5"/>
        <v>0</v>
      </c>
      <c r="AI33" s="6" t="s">
        <v>26</v>
      </c>
      <c r="AJ33" s="12">
        <v>6.3000000000000007</v>
      </c>
      <c r="AK33" s="12">
        <v>109.93</v>
      </c>
      <c r="AL33" s="382">
        <f t="shared" si="11"/>
        <v>5.7309196761575552E-2</v>
      </c>
    </row>
    <row r="34" spans="1:38" x14ac:dyDescent="0.35">
      <c r="A34" s="92" t="s">
        <v>37</v>
      </c>
      <c r="B34" s="12"/>
      <c r="C34" s="12"/>
      <c r="D34" s="12"/>
      <c r="E34" s="12"/>
      <c r="F34" s="12"/>
      <c r="G34" s="12"/>
      <c r="H34" s="12"/>
      <c r="I34" s="12"/>
      <c r="J34" s="12"/>
      <c r="K34" s="12"/>
      <c r="L34" s="12"/>
      <c r="M34" s="12"/>
      <c r="N34" s="12"/>
      <c r="O34" s="12"/>
      <c r="P34" s="12"/>
      <c r="Q34" s="12"/>
      <c r="R34" s="12"/>
      <c r="S34" s="12"/>
      <c r="T34" s="12"/>
      <c r="U34" s="12"/>
      <c r="V34" s="12"/>
      <c r="W34" s="12"/>
      <c r="X34" s="12"/>
      <c r="Y34" s="12"/>
      <c r="Z34" s="12">
        <f t="shared" si="8"/>
        <v>0</v>
      </c>
      <c r="AA34" s="208">
        <f t="shared" si="7"/>
        <v>0</v>
      </c>
      <c r="AC34" s="12">
        <f t="shared" si="1"/>
        <v>0</v>
      </c>
      <c r="AD34" s="12">
        <f t="shared" si="2"/>
        <v>0</v>
      </c>
      <c r="AE34" s="12">
        <f t="shared" si="3"/>
        <v>0</v>
      </c>
      <c r="AF34" s="12">
        <f t="shared" si="4"/>
        <v>0</v>
      </c>
      <c r="AG34" s="208"/>
      <c r="AI34" s="6" t="s">
        <v>54</v>
      </c>
      <c r="AJ34" s="12">
        <v>4.7</v>
      </c>
      <c r="AK34" s="12">
        <v>132.69</v>
      </c>
      <c r="AL34" s="382">
        <f t="shared" si="11"/>
        <v>3.542090587082674E-2</v>
      </c>
    </row>
    <row r="35" spans="1:38" x14ac:dyDescent="0.35">
      <c r="A35" s="6" t="s">
        <v>38</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1.58</v>
      </c>
      <c r="Z35" s="12">
        <f t="shared" si="8"/>
        <v>1.58</v>
      </c>
      <c r="AA35" s="208">
        <f t="shared" si="7"/>
        <v>1.5404294483312663E-4</v>
      </c>
      <c r="AC35" s="12">
        <f t="shared" si="1"/>
        <v>0</v>
      </c>
      <c r="AD35" s="12">
        <f t="shared" si="2"/>
        <v>0</v>
      </c>
      <c r="AE35" s="12">
        <f t="shared" si="3"/>
        <v>1.58</v>
      </c>
      <c r="AF35" s="12">
        <f t="shared" si="4"/>
        <v>1.58</v>
      </c>
      <c r="AG35" s="208">
        <f t="shared" si="5"/>
        <v>0</v>
      </c>
      <c r="AI35" s="6" t="s">
        <v>46</v>
      </c>
      <c r="AJ35" s="12">
        <v>3.82</v>
      </c>
      <c r="AK35" s="12">
        <v>14.330000000000002</v>
      </c>
      <c r="AL35" s="382">
        <f t="shared" si="11"/>
        <v>0.26657362177250521</v>
      </c>
    </row>
    <row r="36" spans="1:38" x14ac:dyDescent="0.35">
      <c r="A36" s="6" t="s">
        <v>39</v>
      </c>
      <c r="B36" s="12"/>
      <c r="C36" s="12"/>
      <c r="D36" s="12"/>
      <c r="E36" s="12"/>
      <c r="F36" s="12"/>
      <c r="G36" s="12"/>
      <c r="H36" s="12"/>
      <c r="I36" s="12"/>
      <c r="J36" s="12"/>
      <c r="K36" s="12"/>
      <c r="L36" s="12"/>
      <c r="M36" s="12"/>
      <c r="N36" s="12"/>
      <c r="O36" s="12"/>
      <c r="P36" s="12"/>
      <c r="Q36" s="12"/>
      <c r="R36" s="12"/>
      <c r="S36" s="12"/>
      <c r="T36" s="12"/>
      <c r="U36" s="12"/>
      <c r="V36" s="12"/>
      <c r="W36" s="12"/>
      <c r="X36" s="12"/>
      <c r="Y36" s="12"/>
      <c r="Z36" s="12">
        <f t="shared" si="8"/>
        <v>0</v>
      </c>
      <c r="AA36" s="208">
        <f t="shared" si="7"/>
        <v>0</v>
      </c>
      <c r="AC36" s="12">
        <f t="shared" si="1"/>
        <v>0</v>
      </c>
      <c r="AD36" s="12">
        <f t="shared" si="2"/>
        <v>0</v>
      </c>
      <c r="AE36" s="12">
        <f t="shared" si="3"/>
        <v>0</v>
      </c>
      <c r="AF36" s="12">
        <f t="shared" si="4"/>
        <v>0</v>
      </c>
      <c r="AG36" s="208"/>
      <c r="AI36" s="6" t="s">
        <v>50</v>
      </c>
      <c r="AJ36" s="54">
        <v>2.7</v>
      </c>
      <c r="AK36" s="12">
        <v>39.440000000000005</v>
      </c>
      <c r="AL36" s="382">
        <f t="shared" si="11"/>
        <v>6.8458417849898576E-2</v>
      </c>
    </row>
    <row r="37" spans="1:38" x14ac:dyDescent="0.35">
      <c r="A37" s="6" t="s">
        <v>40</v>
      </c>
      <c r="B37" s="12">
        <v>0</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6.66</v>
      </c>
      <c r="Z37" s="12">
        <f t="shared" si="8"/>
        <v>6.66</v>
      </c>
      <c r="AA37" s="208">
        <f t="shared" si="7"/>
        <v>6.4932026113204014E-4</v>
      </c>
      <c r="AC37" s="12">
        <f t="shared" si="1"/>
        <v>0</v>
      </c>
      <c r="AD37" s="12">
        <f t="shared" si="2"/>
        <v>0</v>
      </c>
      <c r="AE37" s="12">
        <f t="shared" si="3"/>
        <v>6.66</v>
      </c>
      <c r="AF37" s="12">
        <f t="shared" si="4"/>
        <v>6.66</v>
      </c>
      <c r="AG37" s="208">
        <f t="shared" si="5"/>
        <v>0</v>
      </c>
      <c r="AI37" s="6" t="s">
        <v>73</v>
      </c>
      <c r="AJ37" s="54">
        <v>1.9700000000000002</v>
      </c>
      <c r="AK37" s="12">
        <v>1.9700000000000002</v>
      </c>
      <c r="AL37" s="382">
        <f t="shared" si="11"/>
        <v>1</v>
      </c>
    </row>
    <row r="38" spans="1:38" x14ac:dyDescent="0.35">
      <c r="A38" s="310" t="s">
        <v>17</v>
      </c>
      <c r="B38" s="311">
        <f>SUM(B39:B40)</f>
        <v>2275.9199999999996</v>
      </c>
      <c r="C38" s="311">
        <f t="shared" ref="C38:Z38" si="13">SUM(C39:C40)</f>
        <v>189.43</v>
      </c>
      <c r="D38" s="311">
        <f t="shared" si="13"/>
        <v>12.38</v>
      </c>
      <c r="E38" s="311">
        <f t="shared" si="13"/>
        <v>11.899999999999999</v>
      </c>
      <c r="F38" s="311">
        <f t="shared" si="13"/>
        <v>10.120000000000001</v>
      </c>
      <c r="G38" s="311">
        <f t="shared" si="13"/>
        <v>12.96</v>
      </c>
      <c r="H38" s="311">
        <f t="shared" si="13"/>
        <v>29.919999999999998</v>
      </c>
      <c r="I38" s="311">
        <f t="shared" si="13"/>
        <v>33.239999999999995</v>
      </c>
      <c r="J38" s="311">
        <f t="shared" si="13"/>
        <v>29.78</v>
      </c>
      <c r="K38" s="311">
        <f t="shared" si="13"/>
        <v>13.510000000000002</v>
      </c>
      <c r="L38" s="311">
        <f t="shared" si="13"/>
        <v>20.620000000000005</v>
      </c>
      <c r="M38" s="311">
        <f t="shared" si="13"/>
        <v>68.88</v>
      </c>
      <c r="N38" s="311">
        <f t="shared" si="13"/>
        <v>11.84</v>
      </c>
      <c r="O38" s="311">
        <f t="shared" si="13"/>
        <v>40.19</v>
      </c>
      <c r="P38" s="311">
        <f t="shared" si="13"/>
        <v>21.589999999999996</v>
      </c>
      <c r="Q38" s="311">
        <f t="shared" si="13"/>
        <v>62.949999999999989</v>
      </c>
      <c r="R38" s="311">
        <f t="shared" si="13"/>
        <v>95.579999999999984</v>
      </c>
      <c r="S38" s="311">
        <f t="shared" si="13"/>
        <v>30.350000000000005</v>
      </c>
      <c r="T38" s="311">
        <f t="shared" si="13"/>
        <v>22.989999999999995</v>
      </c>
      <c r="U38" s="311">
        <f t="shared" si="13"/>
        <v>40.04</v>
      </c>
      <c r="V38" s="311">
        <f t="shared" si="13"/>
        <v>22.009999999999998</v>
      </c>
      <c r="W38" s="311">
        <f t="shared" si="13"/>
        <v>34.020000000000003</v>
      </c>
      <c r="X38" s="311">
        <f t="shared" si="13"/>
        <v>6.79</v>
      </c>
      <c r="Y38" s="311">
        <f t="shared" si="13"/>
        <v>11.469999999999999</v>
      </c>
      <c r="Z38" s="311">
        <f t="shared" si="13"/>
        <v>3108.4799999999996</v>
      </c>
      <c r="AA38" s="312">
        <f>Z38/$Z$50</f>
        <v>0.30306291971827681</v>
      </c>
      <c r="AC38" s="311">
        <f t="shared" si="1"/>
        <v>2994.1499999999996</v>
      </c>
      <c r="AD38" s="311">
        <f t="shared" si="2"/>
        <v>102.86</v>
      </c>
      <c r="AE38" s="311">
        <f t="shared" si="3"/>
        <v>11.469999999999999</v>
      </c>
      <c r="AF38" s="311">
        <f t="shared" si="4"/>
        <v>3108.4799999999996</v>
      </c>
      <c r="AG38" s="312">
        <f t="shared" si="5"/>
        <v>3.3090127650813261E-2</v>
      </c>
      <c r="AI38" s="6" t="s">
        <v>69</v>
      </c>
      <c r="AJ38" s="54">
        <v>1.04</v>
      </c>
      <c r="AK38" s="12">
        <v>33.340000000000003</v>
      </c>
      <c r="AL38" s="382">
        <f t="shared" si="11"/>
        <v>3.1193761247750449E-2</v>
      </c>
    </row>
    <row r="39" spans="1:38" x14ac:dyDescent="0.35">
      <c r="A39" s="6" t="s">
        <v>55</v>
      </c>
      <c r="B39" s="12">
        <v>40.54</v>
      </c>
      <c r="C39" s="12">
        <v>0.02</v>
      </c>
      <c r="D39" s="12">
        <v>0</v>
      </c>
      <c r="E39" s="12">
        <v>0</v>
      </c>
      <c r="F39" s="12">
        <v>0</v>
      </c>
      <c r="G39" s="12">
        <v>0</v>
      </c>
      <c r="H39" s="12">
        <v>0</v>
      </c>
      <c r="I39" s="12">
        <v>0</v>
      </c>
      <c r="J39" s="12">
        <v>0</v>
      </c>
      <c r="K39" s="12">
        <v>0</v>
      </c>
      <c r="L39" s="12">
        <v>0</v>
      </c>
      <c r="M39" s="12">
        <v>0</v>
      </c>
      <c r="N39" s="12">
        <v>0</v>
      </c>
      <c r="O39" s="12">
        <v>0</v>
      </c>
      <c r="P39" s="12">
        <v>0</v>
      </c>
      <c r="Q39" s="12">
        <v>0</v>
      </c>
      <c r="R39" s="12">
        <v>1.8599999999999999</v>
      </c>
      <c r="S39" s="12">
        <v>0</v>
      </c>
      <c r="T39" s="12">
        <v>1.86</v>
      </c>
      <c r="U39" s="12">
        <v>0</v>
      </c>
      <c r="V39" s="12">
        <v>0.57999999999999996</v>
      </c>
      <c r="W39" s="12">
        <v>0</v>
      </c>
      <c r="X39" s="12">
        <v>0</v>
      </c>
      <c r="Y39" s="12">
        <v>0.02</v>
      </c>
      <c r="Z39" s="12">
        <f t="shared" si="8"/>
        <v>44.88</v>
      </c>
      <c r="AA39" s="208">
        <f t="shared" si="7"/>
        <v>4.3755995975384328E-3</v>
      </c>
      <c r="AC39" s="12">
        <f t="shared" si="1"/>
        <v>44.28</v>
      </c>
      <c r="AD39" s="12">
        <f t="shared" si="2"/>
        <v>0.57999999999999996</v>
      </c>
      <c r="AE39" s="12">
        <f t="shared" si="3"/>
        <v>0.02</v>
      </c>
      <c r="AF39" s="12">
        <f t="shared" si="4"/>
        <v>44.88</v>
      </c>
      <c r="AG39" s="208">
        <f t="shared" si="5"/>
        <v>1.2923351158645275E-2</v>
      </c>
      <c r="AI39" s="6" t="s">
        <v>47</v>
      </c>
      <c r="AJ39" s="54">
        <v>0.92</v>
      </c>
      <c r="AK39" s="12">
        <v>0.92</v>
      </c>
      <c r="AL39" s="382">
        <f t="shared" si="11"/>
        <v>1</v>
      </c>
    </row>
    <row r="40" spans="1:38" x14ac:dyDescent="0.35">
      <c r="A40" s="6" t="s">
        <v>56</v>
      </c>
      <c r="B40" s="12">
        <v>2235.3799999999997</v>
      </c>
      <c r="C40" s="12">
        <v>189.41</v>
      </c>
      <c r="D40" s="12">
        <v>12.38</v>
      </c>
      <c r="E40" s="12">
        <v>11.899999999999999</v>
      </c>
      <c r="F40" s="12">
        <v>10.120000000000001</v>
      </c>
      <c r="G40" s="12">
        <v>12.96</v>
      </c>
      <c r="H40" s="12">
        <v>29.919999999999998</v>
      </c>
      <c r="I40" s="12">
        <v>33.239999999999995</v>
      </c>
      <c r="J40" s="12">
        <v>29.78</v>
      </c>
      <c r="K40" s="12">
        <v>13.510000000000002</v>
      </c>
      <c r="L40" s="12">
        <v>20.620000000000005</v>
      </c>
      <c r="M40" s="12">
        <v>68.88</v>
      </c>
      <c r="N40" s="12">
        <v>11.84</v>
      </c>
      <c r="O40" s="12">
        <v>40.19</v>
      </c>
      <c r="P40" s="12">
        <v>21.589999999999996</v>
      </c>
      <c r="Q40" s="12">
        <v>62.949999999999989</v>
      </c>
      <c r="R40" s="12">
        <v>93.719999999999985</v>
      </c>
      <c r="S40" s="12">
        <v>30.350000000000005</v>
      </c>
      <c r="T40" s="12">
        <v>21.129999999999995</v>
      </c>
      <c r="U40" s="12">
        <v>40.04</v>
      </c>
      <c r="V40" s="12">
        <v>21.43</v>
      </c>
      <c r="W40" s="12">
        <v>34.020000000000003</v>
      </c>
      <c r="X40" s="12">
        <v>6.79</v>
      </c>
      <c r="Y40" s="12">
        <v>11.45</v>
      </c>
      <c r="Z40" s="12">
        <f t="shared" si="8"/>
        <v>3063.5999999999995</v>
      </c>
      <c r="AA40" s="208">
        <f t="shared" si="7"/>
        <v>0.2986873201207384</v>
      </c>
      <c r="AC40" s="12">
        <f t="shared" si="1"/>
        <v>2949.87</v>
      </c>
      <c r="AD40" s="12">
        <f t="shared" si="2"/>
        <v>102.28000000000002</v>
      </c>
      <c r="AE40" s="12">
        <f t="shared" si="3"/>
        <v>11.45</v>
      </c>
      <c r="AF40" s="12">
        <f t="shared" si="4"/>
        <v>3063.6</v>
      </c>
      <c r="AG40" s="208">
        <f t="shared" si="5"/>
        <v>3.3385559472516001E-2</v>
      </c>
      <c r="AI40" s="6" t="s">
        <v>55</v>
      </c>
      <c r="AJ40" s="54">
        <v>0.57999999999999996</v>
      </c>
      <c r="AK40" s="12">
        <v>44.88</v>
      </c>
      <c r="AL40" s="382">
        <f t="shared" si="11"/>
        <v>1.2923351158645275E-2</v>
      </c>
    </row>
    <row r="41" spans="1:38" x14ac:dyDescent="0.35">
      <c r="A41" s="310" t="s">
        <v>64</v>
      </c>
      <c r="B41" s="311">
        <f>SUM(B42:B45)</f>
        <v>1729.9499999999998</v>
      </c>
      <c r="C41" s="311">
        <f t="shared" ref="C41:Z41" si="14">SUM(C42:C45)</f>
        <v>115.61</v>
      </c>
      <c r="D41" s="311">
        <f t="shared" si="14"/>
        <v>8.84</v>
      </c>
      <c r="E41" s="311">
        <f t="shared" si="14"/>
        <v>8.15</v>
      </c>
      <c r="F41" s="311">
        <f t="shared" si="14"/>
        <v>21.07</v>
      </c>
      <c r="G41" s="311">
        <f t="shared" si="14"/>
        <v>18.649999999999999</v>
      </c>
      <c r="H41" s="311">
        <f t="shared" si="14"/>
        <v>44.39</v>
      </c>
      <c r="I41" s="311">
        <f t="shared" si="14"/>
        <v>5.9399999999999995</v>
      </c>
      <c r="J41" s="311">
        <f t="shared" si="14"/>
        <v>5.17</v>
      </c>
      <c r="K41" s="311">
        <f t="shared" si="14"/>
        <v>22.740000000000002</v>
      </c>
      <c r="L41" s="311">
        <f t="shared" si="14"/>
        <v>20.99</v>
      </c>
      <c r="M41" s="311">
        <f t="shared" si="14"/>
        <v>63.050000000000004</v>
      </c>
      <c r="N41" s="311">
        <f t="shared" si="14"/>
        <v>11.11</v>
      </c>
      <c r="O41" s="311">
        <f t="shared" si="14"/>
        <v>54.93</v>
      </c>
      <c r="P41" s="311">
        <f t="shared" si="14"/>
        <v>34.11</v>
      </c>
      <c r="Q41" s="311">
        <f t="shared" si="14"/>
        <v>64.73</v>
      </c>
      <c r="R41" s="311">
        <f t="shared" si="14"/>
        <v>70.099999999999994</v>
      </c>
      <c r="S41" s="311">
        <f t="shared" si="14"/>
        <v>82.09999999999998</v>
      </c>
      <c r="T41" s="311">
        <f t="shared" si="14"/>
        <v>154.39000000000001</v>
      </c>
      <c r="U41" s="311">
        <f t="shared" si="14"/>
        <v>90.579999999999984</v>
      </c>
      <c r="V41" s="311">
        <f t="shared" si="14"/>
        <v>67.320000000000007</v>
      </c>
      <c r="W41" s="311">
        <f t="shared" si="14"/>
        <v>72.22</v>
      </c>
      <c r="X41" s="311">
        <f t="shared" si="14"/>
        <v>10.53</v>
      </c>
      <c r="Y41" s="311">
        <f t="shared" si="14"/>
        <v>166.53000000000003</v>
      </c>
      <c r="Z41" s="311">
        <f t="shared" si="14"/>
        <v>2943.2</v>
      </c>
      <c r="AA41" s="312">
        <f>Z41/$Z$50</f>
        <v>0.28694885774231538</v>
      </c>
      <c r="AC41" s="311">
        <f t="shared" si="1"/>
        <v>2536.02</v>
      </c>
      <c r="AD41" s="311">
        <f t="shared" si="2"/>
        <v>240.64999999999998</v>
      </c>
      <c r="AE41" s="311">
        <f t="shared" si="3"/>
        <v>166.53000000000003</v>
      </c>
      <c r="AF41" s="311">
        <f t="shared" si="4"/>
        <v>2943.2000000000003</v>
      </c>
      <c r="AG41" s="312">
        <f t="shared" si="5"/>
        <v>8.1764745854851842E-2</v>
      </c>
      <c r="AI41" s="6" t="s">
        <v>27</v>
      </c>
      <c r="AJ41" s="54">
        <v>0.46</v>
      </c>
      <c r="AK41" s="12">
        <v>2230.9299999999998</v>
      </c>
      <c r="AL41" s="382">
        <f t="shared" si="11"/>
        <v>2.0619203650495537E-4</v>
      </c>
    </row>
    <row r="42" spans="1:38" x14ac:dyDescent="0.35">
      <c r="A42" s="6" t="s">
        <v>71</v>
      </c>
      <c r="B42" s="12">
        <v>10.360000000000001</v>
      </c>
      <c r="C42" s="12">
        <v>1.1000000000000001</v>
      </c>
      <c r="D42" s="12">
        <v>0</v>
      </c>
      <c r="E42" s="12">
        <v>0</v>
      </c>
      <c r="F42" s="12">
        <v>0</v>
      </c>
      <c r="G42" s="12">
        <v>0</v>
      </c>
      <c r="H42" s="12">
        <v>0.76</v>
      </c>
      <c r="I42" s="12">
        <v>0.44000000000000006</v>
      </c>
      <c r="J42" s="12">
        <v>0</v>
      </c>
      <c r="K42" s="12">
        <v>4.43</v>
      </c>
      <c r="L42" s="12">
        <v>0.43</v>
      </c>
      <c r="M42" s="12">
        <v>1.58</v>
      </c>
      <c r="N42" s="12">
        <v>0.34</v>
      </c>
      <c r="O42" s="12">
        <v>5.49</v>
      </c>
      <c r="P42" s="12">
        <v>1.05</v>
      </c>
      <c r="Q42" s="12">
        <v>2.59</v>
      </c>
      <c r="R42" s="12">
        <v>3.1399999999999997</v>
      </c>
      <c r="S42" s="12">
        <v>0.85</v>
      </c>
      <c r="T42" s="12">
        <v>3.7899999999999996</v>
      </c>
      <c r="U42" s="12">
        <v>4.3</v>
      </c>
      <c r="V42" s="12">
        <v>19.5</v>
      </c>
      <c r="W42" s="12">
        <v>27.59</v>
      </c>
      <c r="X42" s="12">
        <v>3.85</v>
      </c>
      <c r="Y42" s="12">
        <v>2.46</v>
      </c>
      <c r="Z42" s="12">
        <f t="shared" si="8"/>
        <v>94.049999999999983</v>
      </c>
      <c r="AA42" s="208">
        <f t="shared" si="7"/>
        <v>9.1694550389592126E-3</v>
      </c>
      <c r="AC42" s="12">
        <f t="shared" si="1"/>
        <v>36.35</v>
      </c>
      <c r="AD42" s="12">
        <f t="shared" si="2"/>
        <v>55.24</v>
      </c>
      <c r="AE42" s="12">
        <f t="shared" si="3"/>
        <v>2.46</v>
      </c>
      <c r="AF42" s="12">
        <f t="shared" si="4"/>
        <v>94.05</v>
      </c>
      <c r="AG42" s="208">
        <f t="shared" si="5"/>
        <v>0.5873471557682084</v>
      </c>
    </row>
    <row r="43" spans="1:38" x14ac:dyDescent="0.35">
      <c r="A43" s="6" t="s">
        <v>65</v>
      </c>
      <c r="B43" s="12">
        <v>838.06999999999994</v>
      </c>
      <c r="C43" s="12">
        <v>11.38</v>
      </c>
      <c r="D43" s="12">
        <v>1.65</v>
      </c>
      <c r="E43" s="12">
        <v>0.38</v>
      </c>
      <c r="F43" s="12">
        <v>0.47</v>
      </c>
      <c r="G43" s="12">
        <v>7.76</v>
      </c>
      <c r="H43" s="12">
        <v>9.9199999999999982</v>
      </c>
      <c r="I43" s="12">
        <v>0.61</v>
      </c>
      <c r="J43" s="12">
        <v>1.03</v>
      </c>
      <c r="K43" s="12">
        <v>5.62</v>
      </c>
      <c r="L43" s="12">
        <v>7.58</v>
      </c>
      <c r="M43" s="12">
        <v>9.23</v>
      </c>
      <c r="N43" s="12">
        <v>1.77</v>
      </c>
      <c r="O43" s="12">
        <v>3.76</v>
      </c>
      <c r="P43" s="12">
        <v>21.02</v>
      </c>
      <c r="Q43" s="12">
        <v>28.46</v>
      </c>
      <c r="R43" s="12">
        <v>12.26</v>
      </c>
      <c r="S43" s="12">
        <v>41.5</v>
      </c>
      <c r="T43" s="12">
        <v>72.12</v>
      </c>
      <c r="U43" s="12">
        <v>46.099999999999994</v>
      </c>
      <c r="V43" s="12">
        <v>16.27</v>
      </c>
      <c r="W43" s="12">
        <v>26.419999999999998</v>
      </c>
      <c r="X43" s="12">
        <v>2.08</v>
      </c>
      <c r="Y43" s="12">
        <v>45.59</v>
      </c>
      <c r="Z43" s="12">
        <f t="shared" si="8"/>
        <v>1211.0499999999997</v>
      </c>
      <c r="AA43" s="208">
        <f t="shared" si="7"/>
        <v>0.11807196730389745</v>
      </c>
      <c r="AC43" s="12">
        <f t="shared" si="1"/>
        <v>1074.5899999999999</v>
      </c>
      <c r="AD43" s="12">
        <f t="shared" si="2"/>
        <v>90.86999999999999</v>
      </c>
      <c r="AE43" s="12">
        <f t="shared" si="3"/>
        <v>45.59</v>
      </c>
      <c r="AF43" s="12">
        <f t="shared" si="4"/>
        <v>1211.0499999999997</v>
      </c>
      <c r="AG43" s="208">
        <f t="shared" si="5"/>
        <v>7.5034061351719597E-2</v>
      </c>
    </row>
    <row r="44" spans="1:38" x14ac:dyDescent="0.35">
      <c r="A44" s="6" t="s">
        <v>66</v>
      </c>
      <c r="B44" s="12">
        <v>788.9</v>
      </c>
      <c r="C44" s="12">
        <v>96.38</v>
      </c>
      <c r="D44" s="12">
        <v>6.6800000000000006</v>
      </c>
      <c r="E44" s="12">
        <v>6.8600000000000012</v>
      </c>
      <c r="F44" s="12">
        <v>20.6</v>
      </c>
      <c r="G44" s="12">
        <v>10.49</v>
      </c>
      <c r="H44" s="12">
        <v>29.01</v>
      </c>
      <c r="I44" s="12">
        <v>4.63</v>
      </c>
      <c r="J44" s="12">
        <v>4.1399999999999997</v>
      </c>
      <c r="K44" s="12">
        <v>11.11</v>
      </c>
      <c r="L44" s="12">
        <v>12.18</v>
      </c>
      <c r="M44" s="12">
        <v>41.160000000000004</v>
      </c>
      <c r="N44" s="12">
        <v>3.6399999999999997</v>
      </c>
      <c r="O44" s="12">
        <v>9.57</v>
      </c>
      <c r="P44" s="12">
        <v>10.98</v>
      </c>
      <c r="Q44" s="12">
        <v>22.02</v>
      </c>
      <c r="R44" s="12">
        <v>53.290000000000006</v>
      </c>
      <c r="S44" s="12">
        <v>37.449999999999989</v>
      </c>
      <c r="T44" s="12">
        <v>59.85</v>
      </c>
      <c r="U44" s="12">
        <v>28.75</v>
      </c>
      <c r="V44" s="12">
        <v>25.690000000000005</v>
      </c>
      <c r="W44" s="12">
        <v>13.74</v>
      </c>
      <c r="X44" s="12">
        <v>0.75</v>
      </c>
      <c r="Y44" s="12">
        <v>112.81000000000003</v>
      </c>
      <c r="Z44" s="12">
        <f t="shared" si="8"/>
        <v>1410.6799999999998</v>
      </c>
      <c r="AA44" s="208">
        <f t="shared" si="7"/>
        <v>0.13753500089695889</v>
      </c>
      <c r="AC44" s="12">
        <f t="shared" si="1"/>
        <v>1228.9399999999998</v>
      </c>
      <c r="AD44" s="12">
        <f t="shared" si="2"/>
        <v>68.930000000000007</v>
      </c>
      <c r="AE44" s="12">
        <f t="shared" si="3"/>
        <v>112.81000000000003</v>
      </c>
      <c r="AF44" s="12">
        <f t="shared" si="4"/>
        <v>1410.6799999999998</v>
      </c>
      <c r="AG44" s="208">
        <f t="shared" si="5"/>
        <v>4.8862959707375177E-2</v>
      </c>
    </row>
    <row r="45" spans="1:38" x14ac:dyDescent="0.35">
      <c r="A45" s="6" t="s">
        <v>72</v>
      </c>
      <c r="B45" s="12">
        <v>92.62</v>
      </c>
      <c r="C45" s="12">
        <v>6.7499999999999991</v>
      </c>
      <c r="D45" s="12">
        <v>0.51</v>
      </c>
      <c r="E45" s="12">
        <v>0.91</v>
      </c>
      <c r="F45" s="12">
        <v>0</v>
      </c>
      <c r="G45" s="12">
        <v>0.4</v>
      </c>
      <c r="H45" s="12">
        <v>4.7</v>
      </c>
      <c r="I45" s="12">
        <v>0.26</v>
      </c>
      <c r="J45" s="12">
        <v>0</v>
      </c>
      <c r="K45" s="12">
        <v>1.58</v>
      </c>
      <c r="L45" s="12">
        <v>0.79999999999999993</v>
      </c>
      <c r="M45" s="12">
        <v>11.079999999999998</v>
      </c>
      <c r="N45" s="12">
        <v>5.3599999999999994</v>
      </c>
      <c r="O45" s="12">
        <v>36.11</v>
      </c>
      <c r="P45" s="12">
        <v>1.06</v>
      </c>
      <c r="Q45" s="12">
        <v>11.66</v>
      </c>
      <c r="R45" s="12">
        <v>1.41</v>
      </c>
      <c r="S45" s="12">
        <v>2.2999999999999998</v>
      </c>
      <c r="T45" s="12">
        <v>18.630000000000003</v>
      </c>
      <c r="U45" s="12">
        <v>11.43</v>
      </c>
      <c r="V45" s="12">
        <v>5.86</v>
      </c>
      <c r="W45" s="12">
        <v>4.47</v>
      </c>
      <c r="X45" s="12">
        <v>3.85</v>
      </c>
      <c r="Y45" s="12">
        <v>5.67</v>
      </c>
      <c r="Z45" s="12">
        <f t="shared" si="8"/>
        <v>227.42000000000002</v>
      </c>
      <c r="AA45" s="208">
        <f t="shared" si="7"/>
        <v>2.2172434502499786E-2</v>
      </c>
      <c r="AC45" s="12">
        <f t="shared" si="1"/>
        <v>196.14000000000001</v>
      </c>
      <c r="AD45" s="12">
        <f t="shared" si="2"/>
        <v>25.61</v>
      </c>
      <c r="AE45" s="12">
        <f t="shared" si="3"/>
        <v>5.67</v>
      </c>
      <c r="AF45" s="12">
        <f t="shared" si="4"/>
        <v>227.42</v>
      </c>
      <c r="AG45" s="208">
        <f t="shared" si="5"/>
        <v>0.11261102805382113</v>
      </c>
    </row>
    <row r="46" spans="1:38" x14ac:dyDescent="0.35">
      <c r="A46" s="310" t="s">
        <v>23</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0.74</v>
      </c>
      <c r="U46" s="311">
        <v>0</v>
      </c>
      <c r="V46" s="311">
        <v>0</v>
      </c>
      <c r="W46" s="311">
        <v>0</v>
      </c>
      <c r="X46" s="311">
        <v>0</v>
      </c>
      <c r="Y46" s="311">
        <v>0</v>
      </c>
      <c r="Z46" s="311">
        <v>0.74</v>
      </c>
      <c r="AA46" s="312">
        <f>Z46/$Z$50</f>
        <v>7.2146695681337783E-5</v>
      </c>
      <c r="AC46" s="311">
        <f t="shared" si="1"/>
        <v>0.74</v>
      </c>
      <c r="AD46" s="311">
        <f t="shared" si="2"/>
        <v>0</v>
      </c>
      <c r="AE46" s="311">
        <f t="shared" si="3"/>
        <v>0</v>
      </c>
      <c r="AF46" s="311">
        <f t="shared" si="4"/>
        <v>0.74</v>
      </c>
      <c r="AG46" s="312">
        <f t="shared" si="5"/>
        <v>0</v>
      </c>
    </row>
    <row r="47" spans="1:38" x14ac:dyDescent="0.35">
      <c r="A47" s="6" t="s">
        <v>23</v>
      </c>
      <c r="B47" s="12">
        <v>0</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0.74</v>
      </c>
      <c r="U47" s="12">
        <v>0</v>
      </c>
      <c r="V47" s="12">
        <v>0</v>
      </c>
      <c r="W47" s="12">
        <v>0</v>
      </c>
      <c r="X47" s="12">
        <v>0</v>
      </c>
      <c r="Y47" s="12">
        <v>0</v>
      </c>
      <c r="Z47" s="12">
        <f t="shared" si="8"/>
        <v>0.74</v>
      </c>
      <c r="AA47" s="208">
        <f t="shared" si="7"/>
        <v>7.2146695681337783E-5</v>
      </c>
      <c r="AC47" s="12">
        <f t="shared" si="1"/>
        <v>0.74</v>
      </c>
      <c r="AD47" s="12">
        <f t="shared" si="2"/>
        <v>0</v>
      </c>
      <c r="AE47" s="12">
        <f t="shared" si="3"/>
        <v>0</v>
      </c>
      <c r="AF47" s="12">
        <f t="shared" si="4"/>
        <v>0.74</v>
      </c>
      <c r="AG47" s="208">
        <f t="shared" si="5"/>
        <v>0</v>
      </c>
    </row>
    <row r="48" spans="1:38" x14ac:dyDescent="0.35">
      <c r="A48" s="310" t="s">
        <v>76</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0.15</v>
      </c>
      <c r="V48" s="311">
        <v>0.8</v>
      </c>
      <c r="W48" s="311">
        <v>1.02</v>
      </c>
      <c r="X48" s="311">
        <v>0</v>
      </c>
      <c r="Y48" s="311">
        <v>0</v>
      </c>
      <c r="Z48" s="311">
        <v>1.9700000000000002</v>
      </c>
      <c r="AA48" s="312">
        <f>Z48/$Z$50</f>
        <v>1.9206620336788575E-4</v>
      </c>
      <c r="AC48" s="311">
        <f t="shared" si="1"/>
        <v>0</v>
      </c>
      <c r="AD48" s="311">
        <f t="shared" si="2"/>
        <v>1.9700000000000002</v>
      </c>
      <c r="AE48" s="311">
        <f t="shared" si="3"/>
        <v>0</v>
      </c>
      <c r="AF48" s="311">
        <f t="shared" si="4"/>
        <v>1.9700000000000002</v>
      </c>
      <c r="AG48" s="312">
        <f t="shared" si="5"/>
        <v>1</v>
      </c>
    </row>
    <row r="49" spans="1:33" x14ac:dyDescent="0.35">
      <c r="A49" s="6" t="s">
        <v>73</v>
      </c>
      <c r="B49" s="12">
        <v>0</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0.15</v>
      </c>
      <c r="V49" s="12">
        <v>0.8</v>
      </c>
      <c r="W49" s="12">
        <v>1.02</v>
      </c>
      <c r="X49" s="12">
        <v>0</v>
      </c>
      <c r="Y49" s="12">
        <v>0</v>
      </c>
      <c r="Z49" s="12">
        <f t="shared" si="8"/>
        <v>1.9700000000000002</v>
      </c>
      <c r="AA49" s="208">
        <f t="shared" si="7"/>
        <v>1.9206620336788575E-4</v>
      </c>
      <c r="AC49" s="12">
        <f t="shared" si="1"/>
        <v>0</v>
      </c>
      <c r="AD49" s="12">
        <f t="shared" si="2"/>
        <v>1.9700000000000002</v>
      </c>
      <c r="AE49" s="12">
        <f t="shared" si="3"/>
        <v>0</v>
      </c>
      <c r="AF49" s="12">
        <f t="shared" si="4"/>
        <v>1.9700000000000002</v>
      </c>
      <c r="AG49" s="208">
        <f t="shared" si="5"/>
        <v>1</v>
      </c>
    </row>
    <row r="50" spans="1:33" x14ac:dyDescent="0.35">
      <c r="A50" s="313" t="s">
        <v>25</v>
      </c>
      <c r="B50" s="316">
        <f>SUM(B48,B46,B41,B38,B33,B31,B29,B23,B21,B19,B11)</f>
        <v>7888.3000000000011</v>
      </c>
      <c r="C50" s="316">
        <f t="shared" ref="C50:Z50" si="15">SUM(C48,C46,C41,C38,C33,C31,C29,C23,C21,C19,C11)</f>
        <v>372.84000000000003</v>
      </c>
      <c r="D50" s="316">
        <f t="shared" si="15"/>
        <v>21.22</v>
      </c>
      <c r="E50" s="316">
        <f t="shared" si="15"/>
        <v>24.639999999999997</v>
      </c>
      <c r="F50" s="316">
        <f t="shared" si="15"/>
        <v>50.230000000000004</v>
      </c>
      <c r="G50" s="316">
        <f t="shared" si="15"/>
        <v>34.369999999999997</v>
      </c>
      <c r="H50" s="316">
        <f t="shared" si="15"/>
        <v>94.66</v>
      </c>
      <c r="I50" s="316">
        <f t="shared" si="15"/>
        <v>39.539999999999992</v>
      </c>
      <c r="J50" s="316">
        <f t="shared" si="15"/>
        <v>38.400000000000006</v>
      </c>
      <c r="K50" s="316">
        <f t="shared" si="15"/>
        <v>38.54</v>
      </c>
      <c r="L50" s="316">
        <f t="shared" si="15"/>
        <v>46.26</v>
      </c>
      <c r="M50" s="316">
        <f t="shared" si="15"/>
        <v>148.60000000000002</v>
      </c>
      <c r="N50" s="316">
        <f t="shared" si="15"/>
        <v>24.419999999999998</v>
      </c>
      <c r="O50" s="316">
        <f t="shared" si="15"/>
        <v>97.12</v>
      </c>
      <c r="P50" s="316">
        <f t="shared" si="15"/>
        <v>71.009999999999991</v>
      </c>
      <c r="Q50" s="316">
        <f t="shared" si="15"/>
        <v>148.45999999999998</v>
      </c>
      <c r="R50" s="316">
        <f t="shared" si="15"/>
        <v>182.95999999999998</v>
      </c>
      <c r="S50" s="316">
        <f t="shared" si="15"/>
        <v>125.16999999999999</v>
      </c>
      <c r="T50" s="316">
        <f t="shared" si="15"/>
        <v>221.47</v>
      </c>
      <c r="U50" s="316">
        <f t="shared" si="15"/>
        <v>159.39999999999998</v>
      </c>
      <c r="V50" s="316">
        <f t="shared" si="15"/>
        <v>98.55</v>
      </c>
      <c r="W50" s="316">
        <f t="shared" si="15"/>
        <v>111.87999999999998</v>
      </c>
      <c r="X50" s="316">
        <f t="shared" si="15"/>
        <v>19.91</v>
      </c>
      <c r="Y50" s="316">
        <f t="shared" si="15"/>
        <v>198.93000000000004</v>
      </c>
      <c r="Z50" s="316">
        <f t="shared" si="15"/>
        <v>10256.880000000001</v>
      </c>
      <c r="AA50" s="411">
        <f>Z50/$Z$50</f>
        <v>1</v>
      </c>
      <c r="AC50" s="316">
        <f t="shared" si="1"/>
        <v>9668.2100000000009</v>
      </c>
      <c r="AD50" s="316">
        <f t="shared" si="2"/>
        <v>389.74</v>
      </c>
      <c r="AE50" s="316">
        <f t="shared" si="3"/>
        <v>198.93000000000004</v>
      </c>
      <c r="AF50" s="316">
        <f t="shared" si="4"/>
        <v>10256.880000000001</v>
      </c>
      <c r="AG50" s="315">
        <f t="shared" si="5"/>
        <v>3.7997909695735931E-2</v>
      </c>
    </row>
    <row r="51" spans="1:33" x14ac:dyDescent="0.35">
      <c r="A51" s="378" t="s">
        <v>253</v>
      </c>
      <c r="B51" s="379"/>
      <c r="C51" s="379">
        <f>C50+B50</f>
        <v>8261.1400000000012</v>
      </c>
      <c r="D51" s="379">
        <f>D50+C51</f>
        <v>8282.36</v>
      </c>
      <c r="E51" s="379">
        <f>E50+D51</f>
        <v>8307</v>
      </c>
      <c r="F51" s="379">
        <f t="shared" ref="F51:X51" si="16">F50+E51</f>
        <v>8357.23</v>
      </c>
      <c r="G51" s="379">
        <f t="shared" si="16"/>
        <v>8391.6</v>
      </c>
      <c r="H51" s="379">
        <f t="shared" si="16"/>
        <v>8486.26</v>
      </c>
      <c r="I51" s="379">
        <f t="shared" si="16"/>
        <v>8525.8000000000011</v>
      </c>
      <c r="J51" s="379">
        <f t="shared" si="16"/>
        <v>8564.2000000000007</v>
      </c>
      <c r="K51" s="379">
        <f t="shared" si="16"/>
        <v>8602.7400000000016</v>
      </c>
      <c r="L51" s="379">
        <f t="shared" si="16"/>
        <v>8649.0000000000018</v>
      </c>
      <c r="M51" s="379">
        <f t="shared" si="16"/>
        <v>8797.6000000000022</v>
      </c>
      <c r="N51" s="379">
        <f t="shared" si="16"/>
        <v>8822.0200000000023</v>
      </c>
      <c r="O51" s="379">
        <f t="shared" si="16"/>
        <v>8919.1400000000031</v>
      </c>
      <c r="P51" s="379">
        <f t="shared" si="16"/>
        <v>8990.1500000000033</v>
      </c>
      <c r="Q51" s="379">
        <f t="shared" si="16"/>
        <v>9138.6100000000024</v>
      </c>
      <c r="R51" s="379">
        <f t="shared" si="16"/>
        <v>9321.5700000000015</v>
      </c>
      <c r="S51" s="379">
        <f t="shared" si="16"/>
        <v>9446.7400000000016</v>
      </c>
      <c r="T51" s="379">
        <f t="shared" si="16"/>
        <v>9668.2100000000009</v>
      </c>
      <c r="U51" s="379">
        <f t="shared" si="16"/>
        <v>9827.61</v>
      </c>
      <c r="V51" s="379">
        <f t="shared" si="16"/>
        <v>9926.16</v>
      </c>
      <c r="W51" s="379">
        <f t="shared" si="16"/>
        <v>10038.039999999999</v>
      </c>
      <c r="X51" s="379">
        <f t="shared" si="16"/>
        <v>10057.949999999999</v>
      </c>
    </row>
    <row r="52" spans="1:33" x14ac:dyDescent="0.35">
      <c r="A52" s="380" t="s">
        <v>254</v>
      </c>
      <c r="B52" s="379"/>
      <c r="C52" s="381"/>
      <c r="D52" s="381">
        <f>D51/C51-1</f>
        <v>2.568652752525491E-3</v>
      </c>
      <c r="E52" s="381">
        <f t="shared" ref="E52:X52" si="17">E51/D51-1</f>
        <v>2.9749974644908139E-3</v>
      </c>
      <c r="F52" s="381">
        <f t="shared" si="17"/>
        <v>6.0467075960033423E-3</v>
      </c>
      <c r="G52" s="381">
        <f t="shared" si="17"/>
        <v>4.1126066890586621E-3</v>
      </c>
      <c r="H52" s="381">
        <f t="shared" si="17"/>
        <v>1.1280327946994628E-2</v>
      </c>
      <c r="I52" s="381">
        <f t="shared" si="17"/>
        <v>4.6592963213478722E-3</v>
      </c>
      <c r="J52" s="381">
        <f t="shared" si="17"/>
        <v>4.5039761664593669E-3</v>
      </c>
      <c r="K52" s="381">
        <f t="shared" si="17"/>
        <v>4.5001284416525955E-3</v>
      </c>
      <c r="L52" s="381">
        <f t="shared" si="17"/>
        <v>5.3773565166446158E-3</v>
      </c>
      <c r="M52" s="381">
        <f t="shared" si="17"/>
        <v>1.7181177014683913E-2</v>
      </c>
      <c r="N52" s="381">
        <f t="shared" si="17"/>
        <v>2.7757570246431662E-3</v>
      </c>
      <c r="O52" s="381">
        <f t="shared" si="17"/>
        <v>1.1008816574888725E-2</v>
      </c>
      <c r="P52" s="381">
        <f t="shared" si="17"/>
        <v>7.9615299232886905E-3</v>
      </c>
      <c r="Q52" s="381">
        <f t="shared" si="17"/>
        <v>1.6513628804858627E-2</v>
      </c>
      <c r="R52" s="381">
        <f t="shared" si="17"/>
        <v>2.0020550171196527E-2</v>
      </c>
      <c r="S52" s="381">
        <f t="shared" si="17"/>
        <v>1.3427995498612288E-2</v>
      </c>
      <c r="T52" s="381">
        <f t="shared" si="17"/>
        <v>2.344406641867991E-2</v>
      </c>
      <c r="U52" s="381">
        <f t="shared" si="17"/>
        <v>1.6487022933924678E-2</v>
      </c>
      <c r="V52" s="381">
        <f t="shared" si="17"/>
        <v>1.0027870458839905E-2</v>
      </c>
      <c r="W52" s="381">
        <f t="shared" si="17"/>
        <v>1.1271226738235107E-2</v>
      </c>
      <c r="X52" s="381">
        <f t="shared" si="17"/>
        <v>1.9834549374180277E-3</v>
      </c>
    </row>
    <row r="53" spans="1:33" ht="15.5" x14ac:dyDescent="0.35">
      <c r="A53" s="412" t="s">
        <v>99</v>
      </c>
      <c r="B53" s="413" t="s">
        <v>100</v>
      </c>
      <c r="C53" s="413">
        <v>2000</v>
      </c>
      <c r="D53" s="413">
        <v>2001</v>
      </c>
      <c r="E53" s="413">
        <v>2002</v>
      </c>
      <c r="F53" s="413">
        <v>2003</v>
      </c>
      <c r="G53" s="413">
        <v>2004</v>
      </c>
      <c r="H53" s="413">
        <v>2005</v>
      </c>
      <c r="I53" s="413">
        <v>2006</v>
      </c>
      <c r="J53" s="413">
        <v>2007</v>
      </c>
      <c r="K53" s="413">
        <v>2008</v>
      </c>
      <c r="L53" s="413">
        <v>2009</v>
      </c>
      <c r="M53" s="413">
        <v>2010</v>
      </c>
      <c r="N53" s="413">
        <v>2011</v>
      </c>
      <c r="O53" s="413">
        <v>2012</v>
      </c>
      <c r="P53" s="413">
        <v>2013</v>
      </c>
      <c r="Q53" s="413">
        <v>2014</v>
      </c>
      <c r="R53" s="413">
        <v>2015</v>
      </c>
      <c r="S53" s="413">
        <v>2016</v>
      </c>
      <c r="T53" s="413">
        <v>2017</v>
      </c>
      <c r="U53" s="413">
        <v>2018</v>
      </c>
      <c r="V53" s="413">
        <v>2019</v>
      </c>
      <c r="W53" s="413">
        <v>2020</v>
      </c>
      <c r="X53" s="414">
        <v>2021</v>
      </c>
      <c r="Y53" s="414" t="s">
        <v>90</v>
      </c>
    </row>
    <row r="54" spans="1:33" x14ac:dyDescent="0.35">
      <c r="A54" s="310" t="s">
        <v>5</v>
      </c>
      <c r="B54" s="22">
        <f>B11/$Z$11</f>
        <v>0.98249239647508391</v>
      </c>
      <c r="C54" s="22">
        <f t="shared" ref="C54:Y54" si="18">C11/$Z$11</f>
        <v>1.9158283293041149E-3</v>
      </c>
      <c r="D54" s="22">
        <f t="shared" si="18"/>
        <v>0</v>
      </c>
      <c r="E54" s="22">
        <f t="shared" si="18"/>
        <v>8.5003509319192061E-4</v>
      </c>
      <c r="F54" s="22">
        <f t="shared" si="18"/>
        <v>4.0292183316436607E-3</v>
      </c>
      <c r="G54" s="22">
        <f t="shared" si="18"/>
        <v>5.6669006212794711E-4</v>
      </c>
      <c r="H54" s="22">
        <f t="shared" si="18"/>
        <v>0</v>
      </c>
      <c r="I54" s="22">
        <f t="shared" si="18"/>
        <v>0</v>
      </c>
      <c r="J54" s="22">
        <f t="shared" si="18"/>
        <v>4.7830720840157006E-4</v>
      </c>
      <c r="K54" s="22">
        <f t="shared" si="18"/>
        <v>3.5613091060334291E-4</v>
      </c>
      <c r="L54" s="22">
        <f t="shared" si="18"/>
        <v>0</v>
      </c>
      <c r="M54" s="22">
        <f t="shared" si="18"/>
        <v>1.3881307026436869E-3</v>
      </c>
      <c r="N54" s="22">
        <f t="shared" si="18"/>
        <v>3.8212586758168909E-4</v>
      </c>
      <c r="O54" s="22">
        <f t="shared" si="18"/>
        <v>0</v>
      </c>
      <c r="P54" s="22">
        <f t="shared" si="18"/>
        <v>2.3707400764251731E-3</v>
      </c>
      <c r="Q54" s="22">
        <f t="shared" si="18"/>
        <v>1.2997478489173099E-3</v>
      </c>
      <c r="R54" s="22">
        <f t="shared" si="18"/>
        <v>1.128181132860225E-3</v>
      </c>
      <c r="S54" s="22">
        <f t="shared" si="18"/>
        <v>7.4345576958070121E-4</v>
      </c>
      <c r="T54" s="22">
        <f t="shared" si="18"/>
        <v>0</v>
      </c>
      <c r="U54" s="22">
        <f t="shared" si="18"/>
        <v>5.6669006212794711E-4</v>
      </c>
      <c r="V54" s="22">
        <f t="shared" si="18"/>
        <v>1.0709922275078635E-3</v>
      </c>
      <c r="W54" s="22">
        <f t="shared" si="18"/>
        <v>1.1957680210039252E-4</v>
      </c>
      <c r="X54" s="22">
        <f t="shared" si="18"/>
        <v>0</v>
      </c>
      <c r="Y54" s="384">
        <f t="shared" si="18"/>
        <v>2.4175309989861961E-4</v>
      </c>
    </row>
    <row r="55" spans="1:33" x14ac:dyDescent="0.35">
      <c r="A55" s="310" t="s">
        <v>69</v>
      </c>
      <c r="B55" s="22">
        <f>B19/$Z$19</f>
        <v>5.5188962207558485E-2</v>
      </c>
      <c r="C55" s="22">
        <f t="shared" ref="C55:Y55" si="19">C19/$Z$19</f>
        <v>0.85782843431313738</v>
      </c>
      <c r="D55" s="22">
        <f t="shared" si="19"/>
        <v>0</v>
      </c>
      <c r="E55" s="22">
        <f t="shared" si="19"/>
        <v>0</v>
      </c>
      <c r="F55" s="22">
        <f t="shared" si="19"/>
        <v>0</v>
      </c>
      <c r="G55" s="22">
        <f t="shared" si="19"/>
        <v>0</v>
      </c>
      <c r="H55" s="22">
        <f t="shared" si="19"/>
        <v>0</v>
      </c>
      <c r="I55" s="22">
        <f t="shared" si="19"/>
        <v>0</v>
      </c>
      <c r="J55" s="22">
        <f t="shared" si="19"/>
        <v>0</v>
      </c>
      <c r="K55" s="22">
        <f t="shared" si="19"/>
        <v>6.2987402519496093E-3</v>
      </c>
      <c r="L55" s="22">
        <f t="shared" si="19"/>
        <v>0</v>
      </c>
      <c r="M55" s="22">
        <f t="shared" si="19"/>
        <v>0</v>
      </c>
      <c r="N55" s="22">
        <f t="shared" si="19"/>
        <v>0</v>
      </c>
      <c r="O55" s="22">
        <f t="shared" si="19"/>
        <v>4.2891421715656859E-2</v>
      </c>
      <c r="P55" s="22">
        <f t="shared" si="19"/>
        <v>0</v>
      </c>
      <c r="Q55" s="22">
        <f t="shared" si="19"/>
        <v>0</v>
      </c>
      <c r="R55" s="22">
        <f t="shared" si="19"/>
        <v>0</v>
      </c>
      <c r="S55" s="22">
        <f t="shared" si="19"/>
        <v>0</v>
      </c>
      <c r="T55" s="22">
        <f t="shared" si="19"/>
        <v>4.1991601679664068E-3</v>
      </c>
      <c r="U55" s="22">
        <f t="shared" si="19"/>
        <v>5.6988602279544089E-3</v>
      </c>
      <c r="V55" s="22">
        <f t="shared" si="19"/>
        <v>2.5494901019796037E-2</v>
      </c>
      <c r="W55" s="22">
        <f t="shared" si="19"/>
        <v>0</v>
      </c>
      <c r="X55" s="22">
        <f t="shared" si="19"/>
        <v>0</v>
      </c>
      <c r="Y55" s="384">
        <f t="shared" si="19"/>
        <v>2.3995200959808036E-3</v>
      </c>
    </row>
    <row r="56" spans="1:33" x14ac:dyDescent="0.35">
      <c r="A56" s="310" t="s">
        <v>13</v>
      </c>
      <c r="B56" s="22">
        <f>B21/$Z$21</f>
        <v>0</v>
      </c>
      <c r="C56" s="22">
        <f t="shared" ref="C56:Y56" si="20">C21/$Z$21</f>
        <v>0</v>
      </c>
      <c r="D56" s="22">
        <f t="shared" si="20"/>
        <v>0</v>
      </c>
      <c r="E56" s="22">
        <f t="shared" si="20"/>
        <v>0</v>
      </c>
      <c r="F56" s="22">
        <f t="shared" si="20"/>
        <v>0</v>
      </c>
      <c r="G56" s="22">
        <f t="shared" si="20"/>
        <v>0</v>
      </c>
      <c r="H56" s="22">
        <f t="shared" si="20"/>
        <v>0</v>
      </c>
      <c r="I56" s="22">
        <f t="shared" si="20"/>
        <v>0</v>
      </c>
      <c r="J56" s="22">
        <f t="shared" si="20"/>
        <v>0</v>
      </c>
      <c r="K56" s="22">
        <f t="shared" si="20"/>
        <v>0</v>
      </c>
      <c r="L56" s="22">
        <f t="shared" si="20"/>
        <v>0</v>
      </c>
      <c r="M56" s="22">
        <f t="shared" si="20"/>
        <v>0</v>
      </c>
      <c r="N56" s="22">
        <f t="shared" si="20"/>
        <v>0</v>
      </c>
      <c r="O56" s="22">
        <f t="shared" si="20"/>
        <v>0</v>
      </c>
      <c r="P56" s="22">
        <f t="shared" si="20"/>
        <v>0</v>
      </c>
      <c r="Q56" s="22">
        <f t="shared" si="20"/>
        <v>0</v>
      </c>
      <c r="R56" s="22">
        <f t="shared" si="20"/>
        <v>0</v>
      </c>
      <c r="S56" s="22">
        <f t="shared" si="20"/>
        <v>0</v>
      </c>
      <c r="T56" s="22">
        <f t="shared" si="20"/>
        <v>0</v>
      </c>
      <c r="U56" s="22">
        <f t="shared" si="20"/>
        <v>0</v>
      </c>
      <c r="V56" s="22">
        <f t="shared" si="20"/>
        <v>0</v>
      </c>
      <c r="W56" s="22">
        <f t="shared" si="20"/>
        <v>0</v>
      </c>
      <c r="X56" s="22">
        <f t="shared" si="20"/>
        <v>0</v>
      </c>
      <c r="Y56" s="385">
        <f t="shared" si="20"/>
        <v>1</v>
      </c>
    </row>
    <row r="57" spans="1:33" x14ac:dyDescent="0.35">
      <c r="A57" s="310" t="s">
        <v>16</v>
      </c>
      <c r="B57" s="22">
        <f>B23/$Z$23</f>
        <v>0.32688186010261744</v>
      </c>
      <c r="C57" s="22">
        <f t="shared" ref="C57:Y57" si="21">C23/$Z$23</f>
        <v>0.10336429174514514</v>
      </c>
      <c r="D57" s="22">
        <f t="shared" si="21"/>
        <v>0</v>
      </c>
      <c r="E57" s="22">
        <f t="shared" si="21"/>
        <v>1.7535883613690978E-3</v>
      </c>
      <c r="F57" s="22">
        <f t="shared" si="21"/>
        <v>1.149574592453075E-2</v>
      </c>
      <c r="G57" s="22">
        <f t="shared" si="21"/>
        <v>1.8834837955445862E-3</v>
      </c>
      <c r="H57" s="22">
        <f t="shared" si="21"/>
        <v>6.6084302136779891E-2</v>
      </c>
      <c r="I57" s="22">
        <f t="shared" si="21"/>
        <v>1.1690589075793983E-3</v>
      </c>
      <c r="J57" s="22">
        <f t="shared" si="21"/>
        <v>5.2282912255634199E-3</v>
      </c>
      <c r="K57" s="22">
        <f t="shared" si="21"/>
        <v>2.3056439566149244E-3</v>
      </c>
      <c r="L57" s="22">
        <f t="shared" si="21"/>
        <v>1.5100344222900564E-2</v>
      </c>
      <c r="M57" s="22">
        <f t="shared" si="21"/>
        <v>3.6792881730207179E-2</v>
      </c>
      <c r="N57" s="22">
        <f t="shared" si="21"/>
        <v>0</v>
      </c>
      <c r="O57" s="22">
        <f t="shared" si="21"/>
        <v>1.8510099370007142E-3</v>
      </c>
      <c r="P57" s="22">
        <f t="shared" si="21"/>
        <v>2.0101318438656875E-2</v>
      </c>
      <c r="Q57" s="22">
        <f t="shared" si="21"/>
        <v>5.12437487822303E-2</v>
      </c>
      <c r="R57" s="22">
        <f t="shared" si="21"/>
        <v>4.2021172955770604E-2</v>
      </c>
      <c r="S57" s="22">
        <f t="shared" si="21"/>
        <v>3.1239851919205038E-2</v>
      </c>
      <c r="T57" s="22">
        <f t="shared" si="21"/>
        <v>0.14031954276807168</v>
      </c>
      <c r="U57" s="22">
        <f t="shared" si="21"/>
        <v>8.5276352536208327E-2</v>
      </c>
      <c r="V57" s="22">
        <f t="shared" si="21"/>
        <v>1.1203481197635902E-2</v>
      </c>
      <c r="W57" s="22">
        <f t="shared" si="21"/>
        <v>1.3509125154250826E-2</v>
      </c>
      <c r="X57" s="22">
        <f t="shared" si="21"/>
        <v>8.410729362862893E-3</v>
      </c>
      <c r="Y57" s="384">
        <f t="shared" si="21"/>
        <v>2.2764174839254393E-2</v>
      </c>
    </row>
    <row r="58" spans="1:33" x14ac:dyDescent="0.35">
      <c r="A58" s="310" t="s">
        <v>15</v>
      </c>
      <c r="B58" s="22">
        <f>B29/$Z$29</f>
        <v>0.27142857142857141</v>
      </c>
      <c r="C58" s="22">
        <f t="shared" ref="C58:Y58" si="22">C29/$Z$29</f>
        <v>0</v>
      </c>
      <c r="D58" s="22">
        <f t="shared" si="22"/>
        <v>0</v>
      </c>
      <c r="E58" s="22">
        <f t="shared" si="22"/>
        <v>0.55714285714285716</v>
      </c>
      <c r="F58" s="22">
        <f t="shared" si="22"/>
        <v>0</v>
      </c>
      <c r="G58" s="22">
        <f t="shared" si="22"/>
        <v>0</v>
      </c>
      <c r="H58" s="22">
        <f t="shared" si="22"/>
        <v>0</v>
      </c>
      <c r="I58" s="22">
        <f t="shared" si="22"/>
        <v>0</v>
      </c>
      <c r="J58" s="22">
        <f t="shared" si="22"/>
        <v>0</v>
      </c>
      <c r="K58" s="22">
        <f t="shared" si="22"/>
        <v>0</v>
      </c>
      <c r="L58" s="22">
        <f t="shared" si="22"/>
        <v>0</v>
      </c>
      <c r="M58" s="22">
        <f t="shared" si="22"/>
        <v>0</v>
      </c>
      <c r="N58" s="22">
        <f t="shared" si="22"/>
        <v>0</v>
      </c>
      <c r="O58" s="22">
        <f t="shared" si="22"/>
        <v>0</v>
      </c>
      <c r="P58" s="22">
        <f t="shared" si="22"/>
        <v>0</v>
      </c>
      <c r="Q58" s="22">
        <f t="shared" si="22"/>
        <v>0</v>
      </c>
      <c r="R58" s="22">
        <f t="shared" si="22"/>
        <v>0</v>
      </c>
      <c r="S58" s="22">
        <f t="shared" si="22"/>
        <v>0.1714285714285714</v>
      </c>
      <c r="T58" s="22">
        <f t="shared" si="22"/>
        <v>0</v>
      </c>
      <c r="U58" s="22">
        <f t="shared" si="22"/>
        <v>0</v>
      </c>
      <c r="V58" s="22">
        <f t="shared" si="22"/>
        <v>0</v>
      </c>
      <c r="W58" s="22">
        <f t="shared" si="22"/>
        <v>0</v>
      </c>
      <c r="X58" s="22">
        <f t="shared" si="22"/>
        <v>0</v>
      </c>
      <c r="Y58" s="384">
        <f t="shared" si="22"/>
        <v>0</v>
      </c>
    </row>
    <row r="59" spans="1:33" x14ac:dyDescent="0.35">
      <c r="A59" s="310" t="s">
        <v>70</v>
      </c>
      <c r="B59" s="22">
        <f>B31/$Z$31</f>
        <v>0</v>
      </c>
      <c r="C59" s="22">
        <f t="shared" ref="C59:Y59" si="23">C31/$Z$31</f>
        <v>0</v>
      </c>
      <c r="D59" s="22">
        <f t="shared" si="23"/>
        <v>0</v>
      </c>
      <c r="E59" s="22">
        <f t="shared" si="23"/>
        <v>0</v>
      </c>
      <c r="F59" s="22">
        <f t="shared" si="23"/>
        <v>0</v>
      </c>
      <c r="G59" s="22">
        <f t="shared" si="23"/>
        <v>0</v>
      </c>
      <c r="H59" s="22">
        <f t="shared" si="23"/>
        <v>0</v>
      </c>
      <c r="I59" s="22">
        <f t="shared" si="23"/>
        <v>0</v>
      </c>
      <c r="J59" s="22">
        <f t="shared" si="23"/>
        <v>0</v>
      </c>
      <c r="K59" s="22">
        <f t="shared" si="23"/>
        <v>0</v>
      </c>
      <c r="L59" s="22">
        <f t="shared" si="23"/>
        <v>0</v>
      </c>
      <c r="M59" s="22">
        <f t="shared" si="23"/>
        <v>0</v>
      </c>
      <c r="N59" s="22">
        <f t="shared" si="23"/>
        <v>0</v>
      </c>
      <c r="O59" s="22">
        <f t="shared" si="23"/>
        <v>0</v>
      </c>
      <c r="P59" s="22">
        <f t="shared" si="23"/>
        <v>0</v>
      </c>
      <c r="Q59" s="22">
        <f t="shared" si="23"/>
        <v>0</v>
      </c>
      <c r="R59" s="22">
        <f t="shared" si="23"/>
        <v>0</v>
      </c>
      <c r="S59" s="22">
        <f t="shared" si="23"/>
        <v>0</v>
      </c>
      <c r="T59" s="22">
        <f t="shared" si="23"/>
        <v>0</v>
      </c>
      <c r="U59" s="22">
        <f t="shared" si="23"/>
        <v>0</v>
      </c>
      <c r="V59" s="22">
        <f t="shared" si="23"/>
        <v>0</v>
      </c>
      <c r="W59" s="22">
        <f t="shared" si="23"/>
        <v>0</v>
      </c>
      <c r="X59" s="22">
        <f t="shared" si="23"/>
        <v>0</v>
      </c>
      <c r="Y59" s="385">
        <f t="shared" si="23"/>
        <v>1</v>
      </c>
    </row>
    <row r="60" spans="1:33" x14ac:dyDescent="0.35">
      <c r="A60" s="310" t="s">
        <v>14</v>
      </c>
      <c r="B60" s="22">
        <f>B33/$Z$33</f>
        <v>0</v>
      </c>
      <c r="C60" s="22">
        <f t="shared" ref="C60:Y60" si="24">C33/$Z$33</f>
        <v>0</v>
      </c>
      <c r="D60" s="22">
        <f t="shared" si="24"/>
        <v>0</v>
      </c>
      <c r="E60" s="22">
        <f t="shared" si="24"/>
        <v>0</v>
      </c>
      <c r="F60" s="22">
        <f t="shared" si="24"/>
        <v>0</v>
      </c>
      <c r="G60" s="22">
        <f t="shared" si="24"/>
        <v>0</v>
      </c>
      <c r="H60" s="22">
        <f t="shared" si="24"/>
        <v>0</v>
      </c>
      <c r="I60" s="22">
        <f t="shared" si="24"/>
        <v>0</v>
      </c>
      <c r="J60" s="22">
        <f t="shared" si="24"/>
        <v>0</v>
      </c>
      <c r="K60" s="22">
        <f t="shared" si="24"/>
        <v>0</v>
      </c>
      <c r="L60" s="22">
        <f t="shared" si="24"/>
        <v>0</v>
      </c>
      <c r="M60" s="22">
        <f t="shared" si="24"/>
        <v>0</v>
      </c>
      <c r="N60" s="22">
        <f t="shared" si="24"/>
        <v>0</v>
      </c>
      <c r="O60" s="22">
        <f t="shared" si="24"/>
        <v>0</v>
      </c>
      <c r="P60" s="22">
        <f t="shared" si="24"/>
        <v>0</v>
      </c>
      <c r="Q60" s="22">
        <f t="shared" si="24"/>
        <v>0</v>
      </c>
      <c r="R60" s="22">
        <f t="shared" si="24"/>
        <v>0</v>
      </c>
      <c r="S60" s="22">
        <f t="shared" si="24"/>
        <v>0</v>
      </c>
      <c r="T60" s="22">
        <f t="shared" si="24"/>
        <v>0</v>
      </c>
      <c r="U60" s="22">
        <f t="shared" si="24"/>
        <v>0</v>
      </c>
      <c r="V60" s="22">
        <f t="shared" si="24"/>
        <v>0</v>
      </c>
      <c r="W60" s="22">
        <f t="shared" si="24"/>
        <v>0</v>
      </c>
      <c r="X60" s="22">
        <f t="shared" si="24"/>
        <v>0</v>
      </c>
      <c r="Y60" s="385">
        <f t="shared" si="24"/>
        <v>1</v>
      </c>
    </row>
    <row r="61" spans="1:33" x14ac:dyDescent="0.35">
      <c r="A61" s="310" t="s">
        <v>17</v>
      </c>
      <c r="B61" s="22">
        <f>B38/$Z$38</f>
        <v>0.73216491661519456</v>
      </c>
      <c r="C61" s="22">
        <f t="shared" ref="C61:Y61" si="25">C38/$Z$38</f>
        <v>6.0939751904467793E-2</v>
      </c>
      <c r="D61" s="22">
        <f t="shared" si="25"/>
        <v>3.9826539015853412E-3</v>
      </c>
      <c r="E61" s="22">
        <f t="shared" si="25"/>
        <v>3.8282375952233892E-3</v>
      </c>
      <c r="F61" s="22">
        <f t="shared" si="25"/>
        <v>3.2556104591311519E-3</v>
      </c>
      <c r="G61" s="22">
        <f t="shared" si="25"/>
        <v>4.1692402717727001E-3</v>
      </c>
      <c r="H61" s="22">
        <f t="shared" si="25"/>
        <v>9.625283096561665E-3</v>
      </c>
      <c r="I61" s="22">
        <f t="shared" si="25"/>
        <v>1.0693329215565164E-2</v>
      </c>
      <c r="J61" s="22">
        <f t="shared" si="25"/>
        <v>9.5802450072060962E-3</v>
      </c>
      <c r="K61" s="22">
        <f t="shared" si="25"/>
        <v>4.3461756228124369E-3</v>
      </c>
      <c r="L61" s="22">
        <f t="shared" si="25"/>
        <v>6.6334671607988496E-3</v>
      </c>
      <c r="M61" s="22">
        <f t="shared" si="25"/>
        <v>2.2158739962940089E-2</v>
      </c>
      <c r="N61" s="22">
        <f t="shared" si="25"/>
        <v>3.8089355569281454E-3</v>
      </c>
      <c r="O61" s="22">
        <f t="shared" si="25"/>
        <v>1.2929148651430926E-2</v>
      </c>
      <c r="P61" s="22">
        <f t="shared" si="25"/>
        <v>6.9455167799052911E-3</v>
      </c>
      <c r="Q61" s="22">
        <f t="shared" si="25"/>
        <v>2.0251055178093471E-2</v>
      </c>
      <c r="R61" s="22">
        <f t="shared" si="25"/>
        <v>3.0748147004323656E-2</v>
      </c>
      <c r="S61" s="22">
        <f t="shared" si="25"/>
        <v>9.763614371010915E-3</v>
      </c>
      <c r="T61" s="22">
        <f t="shared" si="25"/>
        <v>7.3958976734609834E-3</v>
      </c>
      <c r="U61" s="22">
        <f t="shared" si="25"/>
        <v>1.2880893555692816E-2</v>
      </c>
      <c r="V61" s="22">
        <f t="shared" si="25"/>
        <v>7.0806310479719992E-3</v>
      </c>
      <c r="W61" s="22">
        <f t="shared" si="25"/>
        <v>1.0944255713403338E-2</v>
      </c>
      <c r="X61" s="22">
        <f t="shared" si="25"/>
        <v>2.1843473337451107E-3</v>
      </c>
      <c r="Y61" s="384">
        <f t="shared" si="25"/>
        <v>3.6899063207741405E-3</v>
      </c>
    </row>
    <row r="62" spans="1:33" x14ac:dyDescent="0.35">
      <c r="A62" s="310" t="s">
        <v>64</v>
      </c>
      <c r="B62" s="22">
        <f>B41/$Z$41</f>
        <v>0.58777860831747752</v>
      </c>
      <c r="C62" s="22">
        <f t="shared" ref="C62:Y62" si="26">C41/$Z$41</f>
        <v>3.9280375101929874E-2</v>
      </c>
      <c r="D62" s="22">
        <f t="shared" si="26"/>
        <v>3.0035335689045936E-3</v>
      </c>
      <c r="E62" s="22">
        <f t="shared" si="26"/>
        <v>2.7690948627344392E-3</v>
      </c>
      <c r="F62" s="22">
        <f t="shared" si="26"/>
        <v>7.1588746942103836E-3</v>
      </c>
      <c r="G62" s="22">
        <f t="shared" si="26"/>
        <v>6.3366403914107096E-3</v>
      </c>
      <c r="H62" s="22">
        <f t="shared" si="26"/>
        <v>1.5082223430279968E-2</v>
      </c>
      <c r="I62" s="22">
        <f t="shared" si="26"/>
        <v>2.0182114705082901E-3</v>
      </c>
      <c r="J62" s="22">
        <f t="shared" si="26"/>
        <v>1.7565914650720304E-3</v>
      </c>
      <c r="K62" s="22">
        <f t="shared" si="26"/>
        <v>7.7262843163903245E-3</v>
      </c>
      <c r="L62" s="22">
        <f t="shared" si="26"/>
        <v>7.1316933949442784E-3</v>
      </c>
      <c r="M62" s="22">
        <f t="shared" si="26"/>
        <v>2.1422261484098943E-2</v>
      </c>
      <c r="N62" s="22">
        <f t="shared" si="26"/>
        <v>3.774802935580321E-3</v>
      </c>
      <c r="O62" s="22">
        <f t="shared" si="26"/>
        <v>1.8663359608589291E-2</v>
      </c>
      <c r="P62" s="22">
        <f t="shared" si="26"/>
        <v>1.1589426474585485E-2</v>
      </c>
      <c r="Q62" s="22">
        <f t="shared" si="26"/>
        <v>2.1993068768687146E-2</v>
      </c>
      <c r="R62" s="22">
        <f t="shared" si="26"/>
        <v>2.3817613481924436E-2</v>
      </c>
      <c r="S62" s="22">
        <f t="shared" si="26"/>
        <v>2.789480837184017E-2</v>
      </c>
      <c r="T62" s="22">
        <f t="shared" si="26"/>
        <v>5.2456509921174239E-2</v>
      </c>
      <c r="U62" s="22">
        <f t="shared" si="26"/>
        <v>3.0776026094047292E-2</v>
      </c>
      <c r="V62" s="22">
        <f t="shared" si="26"/>
        <v>2.2873063332427293E-2</v>
      </c>
      <c r="W62" s="22">
        <f t="shared" si="26"/>
        <v>2.4537917912476219E-2</v>
      </c>
      <c r="X62" s="22">
        <f t="shared" si="26"/>
        <v>3.5777385159010602E-3</v>
      </c>
      <c r="Y62" s="384">
        <f t="shared" si="26"/>
        <v>5.6581272084805664E-2</v>
      </c>
    </row>
    <row r="63" spans="1:33" x14ac:dyDescent="0.35">
      <c r="A63" s="310" t="s">
        <v>23</v>
      </c>
      <c r="B63" s="22">
        <f>B46/$Z$46</f>
        <v>0</v>
      </c>
      <c r="C63" s="22">
        <f t="shared" ref="C63:Y63" si="27">C46/$Z$46</f>
        <v>0</v>
      </c>
      <c r="D63" s="22">
        <f t="shared" si="27"/>
        <v>0</v>
      </c>
      <c r="E63" s="22">
        <f t="shared" si="27"/>
        <v>0</v>
      </c>
      <c r="F63" s="22">
        <f t="shared" si="27"/>
        <v>0</v>
      </c>
      <c r="G63" s="22">
        <f t="shared" si="27"/>
        <v>0</v>
      </c>
      <c r="H63" s="22">
        <f t="shared" si="27"/>
        <v>0</v>
      </c>
      <c r="I63" s="22">
        <f t="shared" si="27"/>
        <v>0</v>
      </c>
      <c r="J63" s="22">
        <f t="shared" si="27"/>
        <v>0</v>
      </c>
      <c r="K63" s="22">
        <f t="shared" si="27"/>
        <v>0</v>
      </c>
      <c r="L63" s="22">
        <f t="shared" si="27"/>
        <v>0</v>
      </c>
      <c r="M63" s="22">
        <f t="shared" si="27"/>
        <v>0</v>
      </c>
      <c r="N63" s="22">
        <f t="shared" si="27"/>
        <v>0</v>
      </c>
      <c r="O63" s="22">
        <f t="shared" si="27"/>
        <v>0</v>
      </c>
      <c r="P63" s="22">
        <f t="shared" si="27"/>
        <v>0</v>
      </c>
      <c r="Q63" s="22">
        <f t="shared" si="27"/>
        <v>0</v>
      </c>
      <c r="R63" s="22">
        <f t="shared" si="27"/>
        <v>0</v>
      </c>
      <c r="S63" s="22">
        <f t="shared" si="27"/>
        <v>0</v>
      </c>
      <c r="T63" s="22">
        <f t="shared" si="27"/>
        <v>1</v>
      </c>
      <c r="U63" s="22">
        <f t="shared" si="27"/>
        <v>0</v>
      </c>
      <c r="V63" s="22">
        <f t="shared" si="27"/>
        <v>0</v>
      </c>
      <c r="W63" s="22">
        <f t="shared" si="27"/>
        <v>0</v>
      </c>
      <c r="X63" s="22">
        <f t="shared" si="27"/>
        <v>0</v>
      </c>
      <c r="Y63" s="384">
        <f t="shared" si="27"/>
        <v>0</v>
      </c>
    </row>
    <row r="64" spans="1:33" x14ac:dyDescent="0.35">
      <c r="A64" s="310" t="s">
        <v>76</v>
      </c>
      <c r="B64" s="22">
        <f>B48/$Z$48</f>
        <v>0</v>
      </c>
      <c r="C64" s="22">
        <f t="shared" ref="C64:Y64" si="28">C48/$Z$48</f>
        <v>0</v>
      </c>
      <c r="D64" s="22">
        <f t="shared" si="28"/>
        <v>0</v>
      </c>
      <c r="E64" s="22">
        <f t="shared" si="28"/>
        <v>0</v>
      </c>
      <c r="F64" s="22">
        <f t="shared" si="28"/>
        <v>0</v>
      </c>
      <c r="G64" s="22">
        <f t="shared" si="28"/>
        <v>0</v>
      </c>
      <c r="H64" s="22">
        <f t="shared" si="28"/>
        <v>0</v>
      </c>
      <c r="I64" s="22">
        <f t="shared" si="28"/>
        <v>0</v>
      </c>
      <c r="J64" s="22">
        <f t="shared" si="28"/>
        <v>0</v>
      </c>
      <c r="K64" s="22">
        <f t="shared" si="28"/>
        <v>0</v>
      </c>
      <c r="L64" s="22">
        <f t="shared" si="28"/>
        <v>0</v>
      </c>
      <c r="M64" s="22">
        <f t="shared" si="28"/>
        <v>0</v>
      </c>
      <c r="N64" s="22">
        <f t="shared" si="28"/>
        <v>0</v>
      </c>
      <c r="O64" s="22">
        <f t="shared" si="28"/>
        <v>0</v>
      </c>
      <c r="P64" s="22">
        <f t="shared" si="28"/>
        <v>0</v>
      </c>
      <c r="Q64" s="22">
        <f t="shared" si="28"/>
        <v>0</v>
      </c>
      <c r="R64" s="22">
        <f t="shared" si="28"/>
        <v>0</v>
      </c>
      <c r="S64" s="22">
        <f t="shared" si="28"/>
        <v>0</v>
      </c>
      <c r="T64" s="22">
        <f t="shared" si="28"/>
        <v>0</v>
      </c>
      <c r="U64" s="22">
        <f t="shared" si="28"/>
        <v>7.6142131979695424E-2</v>
      </c>
      <c r="V64" s="22">
        <f t="shared" si="28"/>
        <v>0.40609137055837563</v>
      </c>
      <c r="W64" s="22">
        <f t="shared" si="28"/>
        <v>0.51776649746192893</v>
      </c>
      <c r="X64" s="22">
        <f t="shared" si="28"/>
        <v>0</v>
      </c>
      <c r="Y64" s="384">
        <f t="shared" si="28"/>
        <v>0</v>
      </c>
    </row>
    <row r="65" spans="1:25" x14ac:dyDescent="0.35">
      <c r="A65" s="310" t="s">
        <v>25</v>
      </c>
      <c r="B65" s="22">
        <f>B50/$Z$50</f>
        <v>0.76907402640959044</v>
      </c>
      <c r="C65" s="22">
        <f t="shared" ref="C65:Y65" si="29">C50/$Z$50</f>
        <v>3.6350235159229707E-2</v>
      </c>
      <c r="D65" s="22">
        <f t="shared" si="29"/>
        <v>2.0688552464297131E-3</v>
      </c>
      <c r="E65" s="22">
        <f t="shared" si="29"/>
        <v>2.4022899751191388E-3</v>
      </c>
      <c r="F65" s="22">
        <f t="shared" si="29"/>
        <v>4.8972007082075638E-3</v>
      </c>
      <c r="G65" s="22">
        <f t="shared" si="29"/>
        <v>3.3509215277940266E-3</v>
      </c>
      <c r="H65" s="22">
        <f t="shared" si="29"/>
        <v>9.2289273151289659E-3</v>
      </c>
      <c r="I65" s="22">
        <f t="shared" si="29"/>
        <v>3.8549734422163454E-3</v>
      </c>
      <c r="J65" s="22">
        <f t="shared" si="29"/>
        <v>3.7438285326532048E-3</v>
      </c>
      <c r="K65" s="22">
        <f t="shared" si="29"/>
        <v>3.7574779075118356E-3</v>
      </c>
      <c r="L65" s="22">
        <f t="shared" si="29"/>
        <v>4.5101434354306563E-3</v>
      </c>
      <c r="M65" s="22">
        <f t="shared" si="29"/>
        <v>1.4487836457090265E-2</v>
      </c>
      <c r="N65" s="22">
        <f t="shared" si="29"/>
        <v>2.3808409574841466E-3</v>
      </c>
      <c r="O65" s="22">
        <f t="shared" si="29"/>
        <v>9.4687663305020632E-3</v>
      </c>
      <c r="P65" s="22">
        <f t="shared" si="29"/>
        <v>6.9231579193672916E-3</v>
      </c>
      <c r="Q65" s="22">
        <f t="shared" si="29"/>
        <v>1.4474187082231631E-2</v>
      </c>
      <c r="R65" s="22">
        <f t="shared" si="29"/>
        <v>1.7837783029537244E-2</v>
      </c>
      <c r="S65" s="22">
        <f t="shared" si="29"/>
        <v>1.2203516078963582E-2</v>
      </c>
      <c r="T65" s="22">
        <f t="shared" si="29"/>
        <v>2.1592336071007946E-2</v>
      </c>
      <c r="U65" s="22">
        <f t="shared" si="29"/>
        <v>1.5540788231898976E-2</v>
      </c>
      <c r="V65" s="22">
        <f t="shared" si="29"/>
        <v>9.6081849451295116E-3</v>
      </c>
      <c r="W65" s="22">
        <f t="shared" si="29"/>
        <v>1.0907800422740636E-2</v>
      </c>
      <c r="X65" s="22">
        <f t="shared" si="29"/>
        <v>1.9411360959668046E-3</v>
      </c>
      <c r="Y65" s="384">
        <f t="shared" si="29"/>
        <v>1.9394786718768282E-2</v>
      </c>
    </row>
  </sheetData>
  <hyperlinks>
    <hyperlink ref="B1" r:id="rId1" xr:uid="{00000000-0004-0000-1100-000000000000}"/>
    <hyperlink ref="M1" location="ÍNDICE!A1" display="ÍNDICE!A1" xr:uid="{00000000-0004-0000-1100-000001000000}"/>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AA191"/>
  <sheetViews>
    <sheetView topLeftCell="E7" zoomScale="55" zoomScaleNormal="55" workbookViewId="0">
      <selection activeCell="W23" sqref="W23:X23"/>
    </sheetView>
  </sheetViews>
  <sheetFormatPr baseColWidth="10" defaultRowHeight="14.5" x14ac:dyDescent="0.35"/>
  <cols>
    <col min="1" max="1" width="26" customWidth="1"/>
    <col min="2" max="3" width="11.453125" customWidth="1"/>
    <col min="4" max="5" width="16.90625" customWidth="1"/>
    <col min="6" max="6" width="14.90625" customWidth="1"/>
    <col min="7" max="7" width="15.6328125" customWidth="1"/>
    <col min="8" max="11" width="11.453125" customWidth="1"/>
    <col min="12" max="12" width="12.90625" customWidth="1"/>
    <col min="13" max="13" width="11.453125" customWidth="1"/>
    <col min="16" max="16" width="24.453125" bestFit="1" customWidth="1"/>
    <col min="17" max="17" width="18.81640625" customWidth="1"/>
    <col min="18" max="18" width="13" bestFit="1" customWidth="1"/>
    <col min="19" max="19" width="14.1796875" customWidth="1"/>
    <col min="20" max="20" width="17.08984375" customWidth="1"/>
    <col min="24" max="24" width="14.54296875" customWidth="1"/>
  </cols>
  <sheetData>
    <row r="1" spans="1:27" x14ac:dyDescent="0.35">
      <c r="A1" s="240" t="s">
        <v>10</v>
      </c>
      <c r="B1" s="2" t="s">
        <v>9</v>
      </c>
    </row>
    <row r="2" spans="1:27" x14ac:dyDescent="0.35">
      <c r="L2" t="s">
        <v>143</v>
      </c>
      <c r="M2" s="2" t="s">
        <v>144</v>
      </c>
    </row>
    <row r="4" spans="1:27" ht="17.5" x14ac:dyDescent="0.35">
      <c r="A4" s="234" t="s">
        <v>137</v>
      </c>
      <c r="C4" t="s">
        <v>243</v>
      </c>
    </row>
    <row r="5" spans="1:27" ht="18.5" x14ac:dyDescent="0.35">
      <c r="A5" s="235" t="s">
        <v>196</v>
      </c>
      <c r="B5" s="233"/>
      <c r="C5" s="336" t="s">
        <v>124</v>
      </c>
    </row>
    <row r="6" spans="1:27" ht="15.5" x14ac:dyDescent="0.35">
      <c r="A6" s="236" t="s">
        <v>197</v>
      </c>
      <c r="B6" s="230"/>
      <c r="C6" s="336" t="s">
        <v>213</v>
      </c>
    </row>
    <row r="7" spans="1:27" ht="15.5" x14ac:dyDescent="0.35">
      <c r="A7" s="236" t="s">
        <v>198</v>
      </c>
      <c r="B7" s="230"/>
      <c r="C7" s="336" t="s">
        <v>242</v>
      </c>
    </row>
    <row r="8" spans="1:27" x14ac:dyDescent="0.35">
      <c r="B8" s="136"/>
    </row>
    <row r="11" spans="1:27" ht="15.5" x14ac:dyDescent="0.35">
      <c r="A11" s="238" t="s">
        <v>136</v>
      </c>
    </row>
    <row r="12" spans="1:27" ht="15.75" customHeight="1" x14ac:dyDescent="0.35">
      <c r="A12" s="703" t="s">
        <v>88</v>
      </c>
      <c r="B12" s="705" t="s">
        <v>113</v>
      </c>
      <c r="C12" s="705"/>
      <c r="D12" s="705"/>
      <c r="E12" s="705"/>
      <c r="F12" s="705"/>
      <c r="G12" s="705"/>
      <c r="H12" s="705"/>
      <c r="I12" s="705"/>
      <c r="J12" s="705"/>
      <c r="K12" s="705"/>
      <c r="L12" s="705"/>
      <c r="M12" s="705"/>
    </row>
    <row r="13" spans="1:27" ht="30" customHeight="1" x14ac:dyDescent="0.35">
      <c r="A13" s="704"/>
      <c r="B13" s="532" t="s">
        <v>114</v>
      </c>
      <c r="C13" s="243" t="s">
        <v>115</v>
      </c>
      <c r="D13" s="243" t="s">
        <v>116</v>
      </c>
      <c r="E13" s="243" t="s">
        <v>117</v>
      </c>
      <c r="F13" s="533" t="s">
        <v>315</v>
      </c>
      <c r="G13" s="533" t="s">
        <v>118</v>
      </c>
      <c r="H13" s="532" t="s">
        <v>119</v>
      </c>
      <c r="I13" s="243" t="s">
        <v>120</v>
      </c>
      <c r="J13" s="243" t="s">
        <v>121</v>
      </c>
      <c r="K13" s="243" t="s">
        <v>122</v>
      </c>
      <c r="L13" s="243" t="s">
        <v>123</v>
      </c>
      <c r="M13" s="226" t="s">
        <v>124</v>
      </c>
      <c r="P13" s="706" t="s">
        <v>131</v>
      </c>
      <c r="Q13" s="707"/>
      <c r="R13" s="708"/>
      <c r="S13" s="699" t="s">
        <v>133</v>
      </c>
      <c r="T13" s="700"/>
      <c r="U13" s="701" t="s">
        <v>132</v>
      </c>
      <c r="V13" s="702"/>
    </row>
    <row r="14" spans="1:27" ht="15" customHeight="1" x14ac:dyDescent="0.35">
      <c r="A14" s="245" t="s">
        <v>5</v>
      </c>
      <c r="B14" s="246">
        <f t="shared" ref="B14:L14" si="0">SUM(B15:B22)</f>
        <v>54495.880000000012</v>
      </c>
      <c r="C14" s="246">
        <f t="shared" si="0"/>
        <v>29155.450000000063</v>
      </c>
      <c r="D14" s="246">
        <f>SUM(D15:D22)</f>
        <v>8532.5700000000033</v>
      </c>
      <c r="E14" s="246">
        <f t="shared" si="0"/>
        <v>13076.98</v>
      </c>
      <c r="F14" s="246">
        <v>15096.37</v>
      </c>
      <c r="G14" s="246">
        <f t="shared" si="0"/>
        <v>7645.1100000000006</v>
      </c>
      <c r="H14" s="246">
        <f>SUM(H15:H22)</f>
        <v>1951.0399999999995</v>
      </c>
      <c r="I14" s="246">
        <f t="shared" si="0"/>
        <v>2232.3099999999986</v>
      </c>
      <c r="J14" s="246">
        <f t="shared" si="0"/>
        <v>839.63999999999976</v>
      </c>
      <c r="K14" s="246"/>
      <c r="L14" s="246">
        <f t="shared" si="0"/>
        <v>14690.19</v>
      </c>
      <c r="M14" s="246">
        <f t="shared" ref="M14:M45" si="1">SUM(B14:L14)</f>
        <v>147715.5400000001</v>
      </c>
      <c r="P14" s="31" t="s">
        <v>114</v>
      </c>
      <c r="Q14" s="262">
        <f>B67</f>
        <v>149350.46000000008</v>
      </c>
      <c r="R14" s="261">
        <f>Q14/$Q$25</f>
        <v>0.29826444577534134</v>
      </c>
      <c r="S14" s="262">
        <f>B187</f>
        <v>110147.82000000007</v>
      </c>
      <c r="T14" s="261">
        <f>S14/$S$25</f>
        <v>0.28172030029957834</v>
      </c>
      <c r="U14" s="262">
        <f>B127</f>
        <v>39202.640000000007</v>
      </c>
      <c r="V14" s="261">
        <f>U14/$U$25</f>
        <v>0.35720339149069441</v>
      </c>
      <c r="W14">
        <f>S14/Q14</f>
        <v>0.73751242547227513</v>
      </c>
      <c r="X14">
        <f>U14/Q14</f>
        <v>0.26248757452772481</v>
      </c>
      <c r="Y14" s="141"/>
      <c r="Z14" s="141"/>
      <c r="AA14" s="141"/>
    </row>
    <row r="15" spans="1:27" x14ac:dyDescent="0.35">
      <c r="A15" s="5" t="s">
        <v>6</v>
      </c>
      <c r="B15" s="12">
        <v>16021.010000000049</v>
      </c>
      <c r="C15" s="12">
        <v>10455.810000000005</v>
      </c>
      <c r="D15" s="12">
        <v>2501.3899999999994</v>
      </c>
      <c r="E15" s="12">
        <v>7020.6900000000005</v>
      </c>
      <c r="F15" s="12">
        <v>2539.2999999999997</v>
      </c>
      <c r="G15" s="12">
        <v>1735.8100000000009</v>
      </c>
      <c r="H15" s="12">
        <v>354.66</v>
      </c>
      <c r="I15" s="12">
        <v>691.3599999999999</v>
      </c>
      <c r="J15" s="12">
        <v>97.24</v>
      </c>
      <c r="K15" s="12"/>
      <c r="L15" s="12">
        <v>2681.0099999999984</v>
      </c>
      <c r="M15" s="12">
        <f t="shared" si="1"/>
        <v>44098.280000000057</v>
      </c>
      <c r="P15" s="246" t="s">
        <v>115</v>
      </c>
      <c r="Q15" s="263">
        <f>C67</f>
        <v>87026.340000000084</v>
      </c>
      <c r="R15" s="261">
        <f t="shared" ref="R15:R24" si="2">Q15/$Q$25</f>
        <v>0.17379834697500382</v>
      </c>
      <c r="S15" s="263">
        <f>C187</f>
        <v>69004.530000000086</v>
      </c>
      <c r="T15" s="261">
        <f t="shared" ref="T15:T25" si="3">S15/$S$25</f>
        <v>0.17648989252471156</v>
      </c>
      <c r="U15" s="263">
        <f>C127</f>
        <v>18021.810000000001</v>
      </c>
      <c r="V15" s="261">
        <f t="shared" ref="V15:V25" si="4">U15/$U$25</f>
        <v>0.16420964641159144</v>
      </c>
      <c r="W15">
        <f t="shared" ref="W15:W24" si="5">S15/Q15</f>
        <v>0.79291545525182394</v>
      </c>
      <c r="X15">
        <f t="shared" ref="X15:X24" si="6">U15/Q15</f>
        <v>0.20708454474817606</v>
      </c>
      <c r="Y15" s="141"/>
      <c r="Z15" s="141"/>
      <c r="AA15" s="141"/>
    </row>
    <row r="16" spans="1:27" x14ac:dyDescent="0.35">
      <c r="A16" s="6" t="s">
        <v>7</v>
      </c>
      <c r="B16" s="12">
        <v>105.48</v>
      </c>
      <c r="C16" s="12">
        <v>0.05</v>
      </c>
      <c r="D16" s="12"/>
      <c r="E16" s="12">
        <v>21.26</v>
      </c>
      <c r="F16" s="12">
        <v>757.49000000000024</v>
      </c>
      <c r="G16" s="12">
        <v>5.23</v>
      </c>
      <c r="H16" s="12">
        <f>24.38+0.27</f>
        <v>24.65</v>
      </c>
      <c r="I16" s="12">
        <v>7.82</v>
      </c>
      <c r="J16" s="12"/>
      <c r="K16" s="12"/>
      <c r="L16" s="12">
        <v>240.89</v>
      </c>
      <c r="M16" s="12">
        <f t="shared" si="1"/>
        <v>1162.8700000000003</v>
      </c>
      <c r="P16" s="246" t="s">
        <v>116</v>
      </c>
      <c r="Q16" s="264">
        <f>D67</f>
        <v>56768.260000000009</v>
      </c>
      <c r="R16" s="261">
        <f t="shared" si="2"/>
        <v>0.11337061570838464</v>
      </c>
      <c r="S16" s="264">
        <f>D187</f>
        <v>48091.400000000009</v>
      </c>
      <c r="T16" s="261">
        <f t="shared" si="3"/>
        <v>0.12300128726857359</v>
      </c>
      <c r="U16" s="264">
        <f>D127</f>
        <v>8676.8599999999969</v>
      </c>
      <c r="V16" s="261">
        <f t="shared" si="4"/>
        <v>7.9061099443556479E-2</v>
      </c>
      <c r="W16">
        <f t="shared" si="5"/>
        <v>0.84715296893017333</v>
      </c>
      <c r="X16">
        <f t="shared" si="6"/>
        <v>0.15284703106982661</v>
      </c>
      <c r="Y16" s="141"/>
      <c r="Z16" s="141"/>
      <c r="AA16" s="141"/>
    </row>
    <row r="17" spans="1:27" x14ac:dyDescent="0.35">
      <c r="A17" s="6" t="s">
        <v>8</v>
      </c>
      <c r="B17" s="12">
        <v>346.63999999999987</v>
      </c>
      <c r="C17" s="12">
        <v>27.21</v>
      </c>
      <c r="D17" s="12">
        <v>104</v>
      </c>
      <c r="E17" s="12">
        <v>145.13</v>
      </c>
      <c r="F17" s="12">
        <v>3094.45</v>
      </c>
      <c r="G17" s="12">
        <v>5.99</v>
      </c>
      <c r="H17" s="12">
        <f>0.25+5.71</f>
        <v>5.96</v>
      </c>
      <c r="I17" s="12">
        <v>12.88</v>
      </c>
      <c r="J17" s="12">
        <v>1.44</v>
      </c>
      <c r="K17" s="12"/>
      <c r="L17" s="12">
        <v>1273.71</v>
      </c>
      <c r="M17" s="12">
        <f t="shared" si="1"/>
        <v>5017.41</v>
      </c>
      <c r="P17" s="534" t="s">
        <v>315</v>
      </c>
      <c r="Q17" s="265">
        <f>F67</f>
        <v>48530.249999999985</v>
      </c>
      <c r="R17" s="261">
        <f t="shared" si="2"/>
        <v>9.6918671155005132E-2</v>
      </c>
      <c r="S17" s="265">
        <f>F187</f>
        <v>36518.609999999993</v>
      </c>
      <c r="T17" s="261">
        <f t="shared" si="3"/>
        <v>9.3402064386959055E-2</v>
      </c>
      <c r="U17" s="265">
        <f>F127</f>
        <v>12011.639999999998</v>
      </c>
      <c r="V17" s="261">
        <f t="shared" si="4"/>
        <v>0.10944667362619669</v>
      </c>
      <c r="W17">
        <f t="shared" si="5"/>
        <v>0.7524916933252972</v>
      </c>
      <c r="X17">
        <f t="shared" si="6"/>
        <v>0.24750830667470292</v>
      </c>
      <c r="Y17" s="141"/>
      <c r="Z17" s="141"/>
      <c r="AA17" s="141"/>
    </row>
    <row r="18" spans="1:27" x14ac:dyDescent="0.35">
      <c r="A18" s="6" t="s">
        <v>26</v>
      </c>
      <c r="B18" s="12">
        <v>36128.399999999965</v>
      </c>
      <c r="C18" s="12">
        <v>14605.830000000054</v>
      </c>
      <c r="D18" s="12">
        <v>5651.8600000000024</v>
      </c>
      <c r="E18" s="12">
        <v>3553.92</v>
      </c>
      <c r="F18" s="12">
        <v>4985.340000000002</v>
      </c>
      <c r="G18" s="12">
        <v>5519.42</v>
      </c>
      <c r="H18" s="12">
        <v>1263.5399999999995</v>
      </c>
      <c r="I18" s="12">
        <v>1390.9199999999989</v>
      </c>
      <c r="J18" s="12">
        <v>653.04999999999984</v>
      </c>
      <c r="K18" s="12"/>
      <c r="L18" s="12">
        <v>8772.94</v>
      </c>
      <c r="M18" s="12">
        <f t="shared" si="1"/>
        <v>82525.220000000016</v>
      </c>
      <c r="P18" s="246" t="s">
        <v>117</v>
      </c>
      <c r="Q18" s="265">
        <f>E67</f>
        <v>43941.249999999993</v>
      </c>
      <c r="R18" s="261">
        <f t="shared" si="2"/>
        <v>8.7754082430852295E-2</v>
      </c>
      <c r="S18" s="265">
        <f>E187</f>
        <v>37859.709999999992</v>
      </c>
      <c r="T18" s="261">
        <f t="shared" si="3"/>
        <v>9.6832137671493998E-2</v>
      </c>
      <c r="U18" s="265">
        <f>E127</f>
        <v>6081.5399999999991</v>
      </c>
      <c r="V18" s="261">
        <f t="shared" si="4"/>
        <v>5.5413276082588239E-2</v>
      </c>
      <c r="W18">
        <f t="shared" si="5"/>
        <v>0.8615983842061844</v>
      </c>
      <c r="X18">
        <f t="shared" si="6"/>
        <v>0.1384016157938156</v>
      </c>
      <c r="Y18" s="141"/>
      <c r="Z18" s="141"/>
      <c r="AA18" s="141"/>
    </row>
    <row r="19" spans="1:27" x14ac:dyDescent="0.35">
      <c r="A19" s="6" t="s">
        <v>27</v>
      </c>
      <c r="B19" s="12">
        <v>5.5100000000000007</v>
      </c>
      <c r="C19" s="12">
        <v>25.990000000000002</v>
      </c>
      <c r="D19" s="12">
        <v>0.37</v>
      </c>
      <c r="E19" s="12">
        <v>55.63</v>
      </c>
      <c r="F19" s="12">
        <v>266.36</v>
      </c>
      <c r="G19" s="12">
        <v>3.66</v>
      </c>
      <c r="H19" s="12">
        <v>22.22</v>
      </c>
      <c r="I19" s="12">
        <v>0.86</v>
      </c>
      <c r="J19" s="12">
        <v>0.77</v>
      </c>
      <c r="K19" s="12"/>
      <c r="L19" s="12">
        <v>268.58</v>
      </c>
      <c r="M19" s="12">
        <f t="shared" si="1"/>
        <v>649.95000000000005</v>
      </c>
      <c r="P19" s="534" t="s">
        <v>118</v>
      </c>
      <c r="Q19" s="265">
        <f>G67</f>
        <v>18497.130000000005</v>
      </c>
      <c r="R19" s="261">
        <f t="shared" si="2"/>
        <v>3.6940202446543773E-2</v>
      </c>
      <c r="S19" s="265">
        <f>G187</f>
        <v>13925.650000000005</v>
      </c>
      <c r="T19" s="261">
        <f t="shared" si="3"/>
        <v>3.5617030821552549E-2</v>
      </c>
      <c r="U19" s="265">
        <f>G127</f>
        <v>4571.4799999999996</v>
      </c>
      <c r="V19" s="261">
        <f t="shared" si="4"/>
        <v>4.1654035547909002E-2</v>
      </c>
      <c r="W19">
        <f t="shared" si="5"/>
        <v>0.75285463204291703</v>
      </c>
      <c r="X19">
        <f t="shared" si="6"/>
        <v>0.24714536795708297</v>
      </c>
    </row>
    <row r="20" spans="1:27" x14ac:dyDescent="0.35">
      <c r="A20" s="6" t="s">
        <v>28</v>
      </c>
      <c r="B20" s="12">
        <v>1378.46</v>
      </c>
      <c r="C20" s="12">
        <v>330.30999999999983</v>
      </c>
      <c r="D20" s="12">
        <v>152.84999999999997</v>
      </c>
      <c r="E20" s="12">
        <v>234.02</v>
      </c>
      <c r="F20" s="12">
        <v>508.75</v>
      </c>
      <c r="G20" s="12">
        <v>62.99</v>
      </c>
      <c r="H20" s="12">
        <v>44.91</v>
      </c>
      <c r="I20" s="12">
        <v>100.18</v>
      </c>
      <c r="J20" s="12">
        <v>36.380000000000003</v>
      </c>
      <c r="K20" s="12"/>
      <c r="L20" s="12">
        <v>392.17999999999984</v>
      </c>
      <c r="M20" s="12">
        <f t="shared" si="1"/>
        <v>3241.0299999999993</v>
      </c>
      <c r="P20" s="31" t="s">
        <v>119</v>
      </c>
      <c r="Q20" s="265">
        <f>H67</f>
        <v>14076.579999999998</v>
      </c>
      <c r="R20" s="261">
        <f t="shared" si="2"/>
        <v>2.8112021430079636E-2</v>
      </c>
      <c r="S20" s="265">
        <f>H187</f>
        <v>10992.209999999997</v>
      </c>
      <c r="T20" s="261">
        <f t="shared" si="3"/>
        <v>2.8114298604875024E-2</v>
      </c>
      <c r="U20" s="265">
        <f>H127</f>
        <v>3084.3700000000003</v>
      </c>
      <c r="V20" s="261">
        <f t="shared" si="4"/>
        <v>2.8103908936034743E-2</v>
      </c>
      <c r="W20">
        <f t="shared" si="5"/>
        <v>0.78088640848842539</v>
      </c>
      <c r="X20">
        <f t="shared" si="6"/>
        <v>0.21911359151157458</v>
      </c>
    </row>
    <row r="21" spans="1:27" x14ac:dyDescent="0.35">
      <c r="A21" s="6" t="s">
        <v>29</v>
      </c>
      <c r="B21" s="12">
        <v>266.09000000000003</v>
      </c>
      <c r="C21" s="12">
        <v>3703.9099999999994</v>
      </c>
      <c r="D21" s="12">
        <v>91.240000000000009</v>
      </c>
      <c r="E21" s="12">
        <v>1989.85</v>
      </c>
      <c r="F21" s="12">
        <v>426.12</v>
      </c>
      <c r="G21" s="12">
        <v>102.93</v>
      </c>
      <c r="H21" s="12">
        <v>21.46</v>
      </c>
      <c r="I21" s="12">
        <v>28.27</v>
      </c>
      <c r="J21" s="12">
        <v>49.98</v>
      </c>
      <c r="K21" s="12"/>
      <c r="L21" s="12">
        <v>335.12</v>
      </c>
      <c r="M21" s="12">
        <f t="shared" si="1"/>
        <v>7014.97</v>
      </c>
      <c r="P21" s="246" t="s">
        <v>121</v>
      </c>
      <c r="Q21" s="265">
        <f>J67</f>
        <v>9722.41</v>
      </c>
      <c r="R21" s="261">
        <f t="shared" si="2"/>
        <v>1.94164064191743E-2</v>
      </c>
      <c r="S21" s="265">
        <f>J187</f>
        <v>7853.03</v>
      </c>
      <c r="T21" s="261">
        <f t="shared" si="3"/>
        <v>2.0085354116509944E-2</v>
      </c>
      <c r="U21" s="265">
        <f>J127</f>
        <v>1869.38</v>
      </c>
      <c r="V21" s="261">
        <f t="shared" si="4"/>
        <v>1.7033262963537004E-2</v>
      </c>
      <c r="W21">
        <f t="shared" si="5"/>
        <v>0.80772462794718591</v>
      </c>
      <c r="X21">
        <f t="shared" si="6"/>
        <v>0.19227537205281409</v>
      </c>
    </row>
    <row r="22" spans="1:27" x14ac:dyDescent="0.35">
      <c r="A22" s="6" t="s">
        <v>30</v>
      </c>
      <c r="B22" s="12">
        <v>244.28999999999996</v>
      </c>
      <c r="C22" s="12">
        <v>6.34</v>
      </c>
      <c r="D22" s="12">
        <v>30.86</v>
      </c>
      <c r="E22" s="12">
        <v>56.48</v>
      </c>
      <c r="F22" s="12">
        <v>2518.5600000000004</v>
      </c>
      <c r="G22" s="12">
        <v>209.08</v>
      </c>
      <c r="H22" s="12">
        <v>213.64</v>
      </c>
      <c r="I22" s="12">
        <v>0.02</v>
      </c>
      <c r="J22" s="12">
        <f>0.46+0.32</f>
        <v>0.78</v>
      </c>
      <c r="K22" s="12"/>
      <c r="L22" s="12">
        <v>725.76000000000033</v>
      </c>
      <c r="M22" s="12">
        <f t="shared" si="1"/>
        <v>4005.8100000000004</v>
      </c>
      <c r="P22" s="246" t="s">
        <v>120</v>
      </c>
      <c r="Q22" s="265">
        <f>I67</f>
        <v>8678.6499999999942</v>
      </c>
      <c r="R22" s="261">
        <f t="shared" si="2"/>
        <v>1.7331936790339734E-2</v>
      </c>
      <c r="S22" s="265">
        <f>I187</f>
        <v>6833.2199999999939</v>
      </c>
      <c r="T22" s="261">
        <f t="shared" si="3"/>
        <v>1.7477030325367147E-2</v>
      </c>
      <c r="U22" s="265">
        <f>I127</f>
        <v>1845.43</v>
      </c>
      <c r="V22" s="261">
        <f t="shared" si="4"/>
        <v>1.6815037322962741E-2</v>
      </c>
      <c r="W22">
        <f t="shared" si="5"/>
        <v>0.78735978522005134</v>
      </c>
      <c r="X22">
        <f t="shared" si="6"/>
        <v>0.21264021477994866</v>
      </c>
      <c r="Y22" s="141"/>
      <c r="Z22" s="141"/>
      <c r="AA22" s="141"/>
    </row>
    <row r="23" spans="1:27" x14ac:dyDescent="0.35">
      <c r="A23" s="245" t="s">
        <v>12</v>
      </c>
      <c r="B23" s="246">
        <f t="shared" ref="B23:L23" si="7">SUM(B24:B26)</f>
        <v>19331.930000000044</v>
      </c>
      <c r="C23" s="246">
        <f t="shared" si="7"/>
        <v>9908.8300000000072</v>
      </c>
      <c r="D23" s="246">
        <f t="shared" si="7"/>
        <v>14816.39</v>
      </c>
      <c r="E23" s="246">
        <f t="shared" si="7"/>
        <v>2850.46</v>
      </c>
      <c r="F23" s="246">
        <v>1459.37</v>
      </c>
      <c r="G23" s="246">
        <f t="shared" si="7"/>
        <v>2196.41</v>
      </c>
      <c r="H23" s="246">
        <f t="shared" si="7"/>
        <v>1057.1099999999999</v>
      </c>
      <c r="I23" s="246">
        <f t="shared" si="7"/>
        <v>680.62</v>
      </c>
      <c r="J23" s="246">
        <f t="shared" si="7"/>
        <v>1347.31</v>
      </c>
      <c r="K23" s="246">
        <f t="shared" si="7"/>
        <v>1.67</v>
      </c>
      <c r="L23" s="246">
        <f t="shared" si="7"/>
        <v>4876.5900000000038</v>
      </c>
      <c r="M23" s="246">
        <f t="shared" si="1"/>
        <v>58526.690000000061</v>
      </c>
      <c r="P23" s="246" t="s">
        <v>122</v>
      </c>
      <c r="Q23" s="265">
        <f>K67</f>
        <v>2.0299999999999998</v>
      </c>
      <c r="R23" s="261">
        <f t="shared" si="2"/>
        <v>4.0540673589083186E-6</v>
      </c>
      <c r="S23" s="265">
        <f>K187</f>
        <v>2.0299999999999998</v>
      </c>
      <c r="T23" s="261">
        <f t="shared" si="3"/>
        <v>5.1920429256624748E-6</v>
      </c>
      <c r="U23" s="265">
        <f>K127</f>
        <v>0</v>
      </c>
      <c r="V23" s="261">
        <f t="shared" si="4"/>
        <v>0</v>
      </c>
    </row>
    <row r="24" spans="1:27" x14ac:dyDescent="0.35">
      <c r="A24" s="6" t="s">
        <v>31</v>
      </c>
      <c r="B24" s="12">
        <v>1420.04</v>
      </c>
      <c r="C24" s="12">
        <v>325.82</v>
      </c>
      <c r="D24" s="12">
        <v>3162.94</v>
      </c>
      <c r="E24" s="12">
        <v>750.89</v>
      </c>
      <c r="F24" s="12">
        <v>364.17</v>
      </c>
      <c r="G24" s="12">
        <v>782.4</v>
      </c>
      <c r="H24" s="12">
        <v>548.14</v>
      </c>
      <c r="I24" s="12">
        <v>199.21</v>
      </c>
      <c r="J24" s="12">
        <v>103.36000000000001</v>
      </c>
      <c r="K24" s="12">
        <v>0.51</v>
      </c>
      <c r="L24" s="12">
        <v>1182.0300000000007</v>
      </c>
      <c r="M24" s="12">
        <f t="shared" si="1"/>
        <v>8839.510000000002</v>
      </c>
      <c r="P24" s="246" t="s">
        <v>123</v>
      </c>
      <c r="Q24" s="266">
        <f>L67</f>
        <v>64138.330000000067</v>
      </c>
      <c r="R24" s="261">
        <f t="shared" si="2"/>
        <v>0.12808921680191651</v>
      </c>
      <c r="S24" s="266">
        <f>L187</f>
        <v>49754.690000000068</v>
      </c>
      <c r="T24" s="261">
        <f t="shared" si="3"/>
        <v>0.12725541193745313</v>
      </c>
      <c r="U24" s="266">
        <f>L127</f>
        <v>14383.639999999998</v>
      </c>
      <c r="V24" s="261">
        <f t="shared" si="4"/>
        <v>0.13105966817492928</v>
      </c>
      <c r="W24">
        <f t="shared" si="5"/>
        <v>0.77574034122809277</v>
      </c>
      <c r="X24">
        <f t="shared" si="6"/>
        <v>0.22425965877190726</v>
      </c>
    </row>
    <row r="25" spans="1:27" x14ac:dyDescent="0.35">
      <c r="A25" s="6" t="s">
        <v>32</v>
      </c>
      <c r="B25" s="12">
        <v>2963.1000000000035</v>
      </c>
      <c r="C25" s="12">
        <v>6098.1900000000078</v>
      </c>
      <c r="D25" s="12">
        <v>5822.11</v>
      </c>
      <c r="E25" s="12">
        <v>1226.92</v>
      </c>
      <c r="F25" s="12">
        <v>104.15</v>
      </c>
      <c r="G25" s="12">
        <v>414.8</v>
      </c>
      <c r="H25" s="12">
        <v>227.43</v>
      </c>
      <c r="I25" s="12">
        <v>66.52</v>
      </c>
      <c r="J25" s="12">
        <v>341.95999999999987</v>
      </c>
      <c r="K25" s="12"/>
      <c r="L25" s="12">
        <v>846.16</v>
      </c>
      <c r="M25" s="12">
        <f t="shared" si="1"/>
        <v>18111.340000000011</v>
      </c>
      <c r="N25" s="141"/>
      <c r="P25" s="243" t="s">
        <v>130</v>
      </c>
      <c r="Q25" s="259">
        <v>500731.69000000018</v>
      </c>
      <c r="R25" s="260">
        <f>Q25/$Q$25</f>
        <v>1</v>
      </c>
      <c r="S25" s="535">
        <f>M187</f>
        <v>390982.9000000002</v>
      </c>
      <c r="T25" s="536">
        <f t="shared" si="3"/>
        <v>1</v>
      </c>
      <c r="U25" s="537">
        <f>M127</f>
        <v>109748.79</v>
      </c>
      <c r="V25" s="538">
        <f t="shared" si="4"/>
        <v>1</v>
      </c>
    </row>
    <row r="26" spans="1:27" x14ac:dyDescent="0.35">
      <c r="A26" s="6" t="s">
        <v>33</v>
      </c>
      <c r="B26" s="12">
        <v>14948.790000000043</v>
      </c>
      <c r="C26" s="12">
        <v>3484.82</v>
      </c>
      <c r="D26" s="12">
        <v>5831.34</v>
      </c>
      <c r="E26" s="12">
        <v>872.65</v>
      </c>
      <c r="F26" s="12">
        <v>991.05</v>
      </c>
      <c r="G26" s="12">
        <v>999.21</v>
      </c>
      <c r="H26" s="12">
        <v>281.54000000000002</v>
      </c>
      <c r="I26" s="12">
        <v>414.89</v>
      </c>
      <c r="J26" s="12">
        <v>901.99000000000012</v>
      </c>
      <c r="K26" s="12">
        <v>1.1599999999999999</v>
      </c>
      <c r="L26" s="12">
        <v>2848.4000000000033</v>
      </c>
      <c r="M26" s="12">
        <f t="shared" si="1"/>
        <v>31575.840000000047</v>
      </c>
    </row>
    <row r="27" spans="1:27" x14ac:dyDescent="0.35">
      <c r="A27" s="245" t="s">
        <v>13</v>
      </c>
      <c r="B27" s="246">
        <f t="shared" ref="B27:L27" si="8">SUM(B28:B30)</f>
        <v>5519.0600000000049</v>
      </c>
      <c r="C27" s="246">
        <f t="shared" si="8"/>
        <v>8978.4</v>
      </c>
      <c r="D27" s="246">
        <f t="shared" si="8"/>
        <v>7424.9800000000005</v>
      </c>
      <c r="E27" s="246">
        <f t="shared" si="8"/>
        <v>16522.649999999994</v>
      </c>
      <c r="F27" s="246">
        <v>2412.6999999999994</v>
      </c>
      <c r="G27" s="246">
        <f t="shared" si="8"/>
        <v>1754.9000000000005</v>
      </c>
      <c r="H27" s="246">
        <f t="shared" si="8"/>
        <v>1306.1599999999999</v>
      </c>
      <c r="I27" s="246">
        <f t="shared" si="8"/>
        <v>771.22</v>
      </c>
      <c r="J27" s="246">
        <f t="shared" si="8"/>
        <v>2947.3300000000027</v>
      </c>
      <c r="K27" s="246"/>
      <c r="L27" s="246">
        <f t="shared" si="8"/>
        <v>4590.58</v>
      </c>
      <c r="M27" s="246">
        <f t="shared" si="1"/>
        <v>52227.979999999996</v>
      </c>
    </row>
    <row r="28" spans="1:27" x14ac:dyDescent="0.35">
      <c r="A28" s="6" t="s">
        <v>34</v>
      </c>
      <c r="B28" s="12">
        <v>2907.3200000000038</v>
      </c>
      <c r="C28" s="12">
        <v>4658.45</v>
      </c>
      <c r="D28" s="12">
        <v>225.66</v>
      </c>
      <c r="E28" s="12">
        <v>1533.57</v>
      </c>
      <c r="F28" s="12">
        <v>194.97000000000003</v>
      </c>
      <c r="G28" s="12">
        <v>236.08</v>
      </c>
      <c r="H28" s="12">
        <v>84.45</v>
      </c>
      <c r="I28" s="12">
        <v>92.81</v>
      </c>
      <c r="J28" s="12">
        <v>449.50000000000028</v>
      </c>
      <c r="K28" s="12"/>
      <c r="L28" s="12">
        <v>1402.4699999999998</v>
      </c>
      <c r="M28" s="12">
        <f t="shared" si="1"/>
        <v>11785.280000000002</v>
      </c>
    </row>
    <row r="29" spans="1:27" x14ac:dyDescent="0.35">
      <c r="A29" s="6" t="s">
        <v>35</v>
      </c>
      <c r="B29" s="12">
        <v>152.70000000000016</v>
      </c>
      <c r="C29" s="12">
        <v>2267.4299999999998</v>
      </c>
      <c r="D29" s="12">
        <v>113.18</v>
      </c>
      <c r="E29" s="12">
        <v>10985.589999999995</v>
      </c>
      <c r="F29" s="12">
        <v>140.34</v>
      </c>
      <c r="G29" s="12">
        <v>108.77</v>
      </c>
      <c r="H29" s="12">
        <v>156.59</v>
      </c>
      <c r="I29" s="12">
        <v>116.33</v>
      </c>
      <c r="J29" s="12">
        <v>897.23000000000081</v>
      </c>
      <c r="K29" s="12"/>
      <c r="L29" s="12">
        <v>1997.9900000000005</v>
      </c>
      <c r="M29" s="12">
        <f t="shared" si="1"/>
        <v>16936.149999999998</v>
      </c>
    </row>
    <row r="30" spans="1:27" x14ac:dyDescent="0.35">
      <c r="A30" s="6" t="s">
        <v>36</v>
      </c>
      <c r="B30" s="12">
        <v>2459.0400000000009</v>
      </c>
      <c r="C30" s="12">
        <v>2052.52</v>
      </c>
      <c r="D30" s="12">
        <v>7086.14</v>
      </c>
      <c r="E30" s="12">
        <v>4003.49</v>
      </c>
      <c r="F30" s="12">
        <v>2077.3899999999994</v>
      </c>
      <c r="G30" s="12">
        <v>1410.0500000000006</v>
      </c>
      <c r="H30" s="12">
        <v>1065.1199999999999</v>
      </c>
      <c r="I30" s="12">
        <v>562.08000000000004</v>
      </c>
      <c r="J30" s="12">
        <v>1600.6000000000015</v>
      </c>
      <c r="K30" s="12"/>
      <c r="L30" s="12">
        <v>1190.1199999999994</v>
      </c>
      <c r="M30" s="12">
        <f t="shared" si="1"/>
        <v>23506.550000000003</v>
      </c>
    </row>
    <row r="31" spans="1:27" x14ac:dyDescent="0.35">
      <c r="A31" s="245" t="s">
        <v>14</v>
      </c>
      <c r="B31" s="246">
        <f t="shared" ref="B31:L31" si="9">SUM(B32:B35)</f>
        <v>323.8599999999999</v>
      </c>
      <c r="C31" s="246">
        <f t="shared" si="9"/>
        <v>10015.299999999999</v>
      </c>
      <c r="D31" s="246">
        <f t="shared" si="9"/>
        <v>6162.0700000000006</v>
      </c>
      <c r="E31" s="246">
        <f t="shared" si="9"/>
        <v>2499.2799999999997</v>
      </c>
      <c r="F31" s="246">
        <v>95</v>
      </c>
      <c r="G31" s="246">
        <f t="shared" si="9"/>
        <v>849.37999999999988</v>
      </c>
      <c r="H31" s="246">
        <f t="shared" si="9"/>
        <v>439.21999999999997</v>
      </c>
      <c r="I31" s="246">
        <f t="shared" si="9"/>
        <v>137.96999999999997</v>
      </c>
      <c r="J31" s="246">
        <f t="shared" si="9"/>
        <v>414.13</v>
      </c>
      <c r="K31" s="246"/>
      <c r="L31" s="246">
        <f t="shared" si="9"/>
        <v>1075.0900000000004</v>
      </c>
      <c r="M31" s="246">
        <f t="shared" si="1"/>
        <v>22011.300000000003</v>
      </c>
    </row>
    <row r="32" spans="1:27" x14ac:dyDescent="0.35">
      <c r="A32" s="6" t="s">
        <v>37</v>
      </c>
      <c r="B32" s="12">
        <v>5.39</v>
      </c>
      <c r="C32" s="12">
        <v>83.59</v>
      </c>
      <c r="D32" s="12">
        <v>325.20999999999998</v>
      </c>
      <c r="E32" s="12">
        <v>51.66</v>
      </c>
      <c r="F32" s="12">
        <v>0</v>
      </c>
      <c r="G32" s="12">
        <v>15.86</v>
      </c>
      <c r="H32" s="12">
        <v>3.72</v>
      </c>
      <c r="I32" s="12">
        <v>6.92</v>
      </c>
      <c r="J32" s="12">
        <v>3.53</v>
      </c>
      <c r="K32" s="12"/>
      <c r="L32" s="12">
        <v>18.12</v>
      </c>
      <c r="M32" s="12">
        <f t="shared" si="1"/>
        <v>514</v>
      </c>
    </row>
    <row r="33" spans="1:13" x14ac:dyDescent="0.35">
      <c r="A33" s="6" t="s">
        <v>38</v>
      </c>
      <c r="B33" s="12">
        <v>0.71</v>
      </c>
      <c r="C33" s="12">
        <v>1.45</v>
      </c>
      <c r="D33" s="12">
        <v>0.35</v>
      </c>
      <c r="E33" s="12">
        <v>3.44</v>
      </c>
      <c r="F33" s="12">
        <v>0.25</v>
      </c>
      <c r="G33" s="12">
        <v>0.18</v>
      </c>
      <c r="H33" s="12">
        <f>0.15+0.21+0.96</f>
        <v>1.3199999999999998</v>
      </c>
      <c r="I33" s="12"/>
      <c r="J33" s="12"/>
      <c r="K33" s="12"/>
      <c r="L33" s="12">
        <v>1.17</v>
      </c>
      <c r="M33" s="12">
        <f t="shared" si="1"/>
        <v>8.8699999999999992</v>
      </c>
    </row>
    <row r="34" spans="1:13" x14ac:dyDescent="0.35">
      <c r="A34" s="6" t="s">
        <v>39</v>
      </c>
      <c r="B34" s="12">
        <v>162.62999999999991</v>
      </c>
      <c r="C34" s="12">
        <v>4005.43</v>
      </c>
      <c r="D34" s="12">
        <v>4786.1400000000003</v>
      </c>
      <c r="E34" s="12">
        <v>504.45</v>
      </c>
      <c r="F34" s="12">
        <v>66.27</v>
      </c>
      <c r="G34" s="12">
        <v>253.79</v>
      </c>
      <c r="H34" s="12">
        <v>168.73</v>
      </c>
      <c r="I34" s="12">
        <v>113.83999999999997</v>
      </c>
      <c r="J34" s="12">
        <v>100.67000000000004</v>
      </c>
      <c r="K34" s="12"/>
      <c r="L34" s="12">
        <v>281.71000000000015</v>
      </c>
      <c r="M34" s="12">
        <f t="shared" si="1"/>
        <v>10443.660000000003</v>
      </c>
    </row>
    <row r="35" spans="1:13" x14ac:dyDescent="0.35">
      <c r="A35" s="6" t="s">
        <v>40</v>
      </c>
      <c r="B35" s="12">
        <v>155.12999999999997</v>
      </c>
      <c r="C35" s="12">
        <v>5924.83</v>
      </c>
      <c r="D35" s="12">
        <v>1050.3699999999999</v>
      </c>
      <c r="E35" s="12">
        <v>1939.73</v>
      </c>
      <c r="F35" s="12">
        <v>28.48</v>
      </c>
      <c r="G35" s="12">
        <v>579.54999999999995</v>
      </c>
      <c r="H35" s="12">
        <v>265.45</v>
      </c>
      <c r="I35" s="12">
        <v>17.21</v>
      </c>
      <c r="J35" s="12">
        <v>309.92999999999995</v>
      </c>
      <c r="K35" s="12"/>
      <c r="L35" s="12">
        <v>774.09000000000026</v>
      </c>
      <c r="M35" s="12">
        <f t="shared" si="1"/>
        <v>11044.769999999999</v>
      </c>
    </row>
    <row r="36" spans="1:13" x14ac:dyDescent="0.35">
      <c r="A36" s="245" t="s">
        <v>15</v>
      </c>
      <c r="B36" s="246">
        <f t="shared" ref="B36:L36" si="10">SUM(B37:B41)</f>
        <v>46598.87000000001</v>
      </c>
      <c r="C36" s="246">
        <f t="shared" si="10"/>
        <v>8934.2199999999993</v>
      </c>
      <c r="D36" s="246">
        <f t="shared" si="10"/>
        <v>10718.550000000003</v>
      </c>
      <c r="E36" s="246">
        <f t="shared" si="10"/>
        <v>3062.7799999999997</v>
      </c>
      <c r="F36" s="246">
        <v>24386.149999999987</v>
      </c>
      <c r="G36" s="246">
        <f t="shared" si="10"/>
        <v>2100.2200000000003</v>
      </c>
      <c r="H36" s="246">
        <f t="shared" si="10"/>
        <v>8182.1099999999988</v>
      </c>
      <c r="I36" s="246">
        <f t="shared" si="10"/>
        <v>2202.3799999999992</v>
      </c>
      <c r="J36" s="246">
        <f t="shared" si="10"/>
        <v>2384.7199999999993</v>
      </c>
      <c r="K36" s="246"/>
      <c r="L36" s="246">
        <f t="shared" si="10"/>
        <v>20169.54</v>
      </c>
      <c r="M36" s="246">
        <f t="shared" si="1"/>
        <v>128739.54000000001</v>
      </c>
    </row>
    <row r="37" spans="1:13" x14ac:dyDescent="0.35">
      <c r="A37" s="6" t="s">
        <v>41</v>
      </c>
      <c r="B37" s="12">
        <v>25643.960000000003</v>
      </c>
      <c r="C37" s="12">
        <v>5975.44</v>
      </c>
      <c r="D37" s="12">
        <v>5281.97</v>
      </c>
      <c r="E37" s="12">
        <v>2152.08</v>
      </c>
      <c r="F37" s="12">
        <v>13024.489999999993</v>
      </c>
      <c r="G37" s="12">
        <v>1525.16</v>
      </c>
      <c r="H37" s="12">
        <v>1603.24</v>
      </c>
      <c r="I37" s="12">
        <v>1091.2700000000002</v>
      </c>
      <c r="J37" s="12">
        <v>1282.8399999999995</v>
      </c>
      <c r="K37" s="12"/>
      <c r="L37" s="12">
        <v>8355.0299999999952</v>
      </c>
      <c r="M37" s="12">
        <f t="shared" si="1"/>
        <v>65935.479999999981</v>
      </c>
    </row>
    <row r="38" spans="1:13" x14ac:dyDescent="0.35">
      <c r="A38" s="6" t="s">
        <v>42</v>
      </c>
      <c r="B38" s="12">
        <v>6139.96</v>
      </c>
      <c r="C38" s="12">
        <v>831.25</v>
      </c>
      <c r="D38" s="12">
        <v>314.93</v>
      </c>
      <c r="E38" s="12">
        <v>257.64999999999998</v>
      </c>
      <c r="F38" s="12">
        <v>3244.5399999999986</v>
      </c>
      <c r="G38" s="12">
        <v>67.680000000000007</v>
      </c>
      <c r="H38" s="12">
        <v>1141.83</v>
      </c>
      <c r="I38" s="12">
        <v>33.78</v>
      </c>
      <c r="J38" s="12">
        <v>130.16000000000003</v>
      </c>
      <c r="K38" s="12"/>
      <c r="L38" s="12">
        <v>3096.43</v>
      </c>
      <c r="M38" s="12">
        <f t="shared" si="1"/>
        <v>15258.21</v>
      </c>
    </row>
    <row r="39" spans="1:13" x14ac:dyDescent="0.35">
      <c r="A39" s="6" t="s">
        <v>43</v>
      </c>
      <c r="B39" s="12">
        <v>5872.2999999999975</v>
      </c>
      <c r="C39" s="12">
        <v>1408.29</v>
      </c>
      <c r="D39" s="12">
        <v>4571.66</v>
      </c>
      <c r="E39" s="12">
        <v>257.92</v>
      </c>
      <c r="F39" s="12">
        <v>5303.4999999999936</v>
      </c>
      <c r="G39" s="12">
        <v>265.88</v>
      </c>
      <c r="H39" s="12">
        <v>2800.98</v>
      </c>
      <c r="I39" s="12">
        <v>988.27999999999918</v>
      </c>
      <c r="J39" s="12">
        <v>468.0899999999998</v>
      </c>
      <c r="K39" s="12"/>
      <c r="L39" s="12">
        <v>5039.8499999999985</v>
      </c>
      <c r="M39" s="12">
        <f t="shared" si="1"/>
        <v>26976.749999999989</v>
      </c>
    </row>
    <row r="40" spans="1:13" x14ac:dyDescent="0.35">
      <c r="A40" s="6" t="s">
        <v>44</v>
      </c>
      <c r="B40" s="12">
        <v>119.33999999999999</v>
      </c>
      <c r="C40" s="12">
        <v>42.8</v>
      </c>
      <c r="D40" s="12">
        <v>11.87</v>
      </c>
      <c r="E40" s="12">
        <v>42.74</v>
      </c>
      <c r="F40" s="12">
        <v>48.89</v>
      </c>
      <c r="G40" s="12">
        <v>0.82</v>
      </c>
      <c r="H40" s="12">
        <v>3.99</v>
      </c>
      <c r="I40" s="12">
        <v>5.47</v>
      </c>
      <c r="J40" s="12">
        <v>7.4</v>
      </c>
      <c r="K40" s="12"/>
      <c r="L40" s="12">
        <v>179.64</v>
      </c>
      <c r="M40" s="12">
        <f t="shared" si="1"/>
        <v>462.96</v>
      </c>
    </row>
    <row r="41" spans="1:13" x14ac:dyDescent="0.35">
      <c r="A41" s="6" t="s">
        <v>45</v>
      </c>
      <c r="B41" s="12">
        <v>8823.3100000000104</v>
      </c>
      <c r="C41" s="12">
        <v>676.44</v>
      </c>
      <c r="D41" s="12">
        <v>538.12</v>
      </c>
      <c r="E41" s="12">
        <v>352.39</v>
      </c>
      <c r="F41" s="12">
        <v>2764.7300000000014</v>
      </c>
      <c r="G41" s="12">
        <v>240.68</v>
      </c>
      <c r="H41" s="12">
        <v>2632.07</v>
      </c>
      <c r="I41" s="12">
        <v>83.58</v>
      </c>
      <c r="J41" s="12">
        <v>496.22999999999979</v>
      </c>
      <c r="K41" s="12"/>
      <c r="L41" s="12">
        <v>3498.590000000007</v>
      </c>
      <c r="M41" s="12">
        <f t="shared" si="1"/>
        <v>20106.140000000021</v>
      </c>
    </row>
    <row r="42" spans="1:13" x14ac:dyDescent="0.35">
      <c r="A42" s="245" t="s">
        <v>16</v>
      </c>
      <c r="B42" s="246">
        <f t="shared" ref="B42:L42" si="11">SUM(B43:B51)</f>
        <v>460.66</v>
      </c>
      <c r="C42" s="246">
        <f t="shared" si="11"/>
        <v>363.31000000000006</v>
      </c>
      <c r="D42" s="246">
        <f t="shared" si="11"/>
        <v>176.72</v>
      </c>
      <c r="E42" s="246">
        <f t="shared" si="11"/>
        <v>175.92000000000002</v>
      </c>
      <c r="F42" s="246">
        <v>68.330000000000013</v>
      </c>
      <c r="G42" s="246">
        <f t="shared" si="11"/>
        <v>74.67</v>
      </c>
      <c r="H42" s="246">
        <f t="shared" si="11"/>
        <v>213.04000000000002</v>
      </c>
      <c r="I42" s="246">
        <f t="shared" si="11"/>
        <v>10.77</v>
      </c>
      <c r="J42" s="246">
        <f t="shared" si="11"/>
        <v>6.36</v>
      </c>
      <c r="K42" s="246"/>
      <c r="L42" s="246">
        <f t="shared" si="11"/>
        <v>1076.75</v>
      </c>
      <c r="M42" s="246">
        <f t="shared" si="1"/>
        <v>2626.5299999999997</v>
      </c>
    </row>
    <row r="43" spans="1:13" x14ac:dyDescent="0.35">
      <c r="A43" s="6" t="s">
        <v>46</v>
      </c>
      <c r="B43" s="12">
        <v>8.26</v>
      </c>
      <c r="C43" s="12">
        <v>0.56000000000000005</v>
      </c>
      <c r="D43" s="12"/>
      <c r="E43" s="12">
        <v>4.5599999999999996</v>
      </c>
      <c r="F43" s="12">
        <v>2.6</v>
      </c>
      <c r="G43" s="12"/>
      <c r="H43" s="12"/>
      <c r="I43" s="12"/>
      <c r="J43" s="12"/>
      <c r="K43" s="12"/>
      <c r="L43" s="12">
        <v>36.79</v>
      </c>
      <c r="M43" s="12">
        <f t="shared" si="1"/>
        <v>52.769999999999996</v>
      </c>
    </row>
    <row r="44" spans="1:13" x14ac:dyDescent="0.35">
      <c r="A44" s="6" t="s">
        <v>47</v>
      </c>
      <c r="B44" s="12">
        <v>3.25</v>
      </c>
      <c r="C44" s="12">
        <v>13.25</v>
      </c>
      <c r="D44" s="12">
        <v>5.42</v>
      </c>
      <c r="E44" s="12">
        <v>15.74</v>
      </c>
      <c r="F44" s="12">
        <v>0</v>
      </c>
      <c r="G44" s="12">
        <f>0.06+0.58+0.08</f>
        <v>0.71999999999999986</v>
      </c>
      <c r="H44" s="12">
        <v>1.76</v>
      </c>
      <c r="I44" s="12">
        <f>0.02+0.13</f>
        <v>0.15</v>
      </c>
      <c r="J44" s="12">
        <f>0.05+0.06+0.03</f>
        <v>0.14000000000000001</v>
      </c>
      <c r="K44" s="12"/>
      <c r="L44" s="12">
        <v>96.159999999999954</v>
      </c>
      <c r="M44" s="12">
        <f t="shared" si="1"/>
        <v>136.58999999999995</v>
      </c>
    </row>
    <row r="45" spans="1:13" x14ac:dyDescent="0.35">
      <c r="A45" s="6" t="s">
        <v>48</v>
      </c>
      <c r="B45" s="12">
        <v>14.180000000000001</v>
      </c>
      <c r="C45" s="12">
        <f>0.13+0.22</f>
        <v>0.35</v>
      </c>
      <c r="D45" s="12">
        <f>0.31+0.1</f>
        <v>0.41000000000000003</v>
      </c>
      <c r="E45" s="12">
        <v>3.19</v>
      </c>
      <c r="F45" s="12">
        <v>22.040000000000003</v>
      </c>
      <c r="G45" s="12">
        <v>0.28000000000000003</v>
      </c>
      <c r="H45" s="12">
        <v>11.68</v>
      </c>
      <c r="I45" s="12"/>
      <c r="J45" s="12"/>
      <c r="K45" s="12"/>
      <c r="L45" s="12">
        <v>40.43</v>
      </c>
      <c r="M45" s="12">
        <f t="shared" si="1"/>
        <v>92.56</v>
      </c>
    </row>
    <row r="46" spans="1:13" x14ac:dyDescent="0.35">
      <c r="A46" s="6" t="s">
        <v>49</v>
      </c>
      <c r="B46" s="12">
        <v>0.64</v>
      </c>
      <c r="C46" s="12">
        <v>2.08</v>
      </c>
      <c r="D46" s="12">
        <f>0.87+0.16</f>
        <v>1.03</v>
      </c>
      <c r="E46" s="12">
        <v>1.56</v>
      </c>
      <c r="F46" s="12">
        <v>7.0000000000000007E-2</v>
      </c>
      <c r="G46" s="12"/>
      <c r="H46" s="12">
        <v>1.2</v>
      </c>
      <c r="I46" s="12"/>
      <c r="J46" s="12">
        <v>2.9</v>
      </c>
      <c r="K46" s="12"/>
      <c r="L46" s="12">
        <v>24.31</v>
      </c>
      <c r="M46" s="12">
        <f t="shared" ref="M46:M66" si="12">SUM(B46:L46)</f>
        <v>33.79</v>
      </c>
    </row>
    <row r="47" spans="1:13" x14ac:dyDescent="0.35">
      <c r="A47" s="6" t="s">
        <v>50</v>
      </c>
      <c r="B47" s="12">
        <f>0.94+3.74+0.37+0.12</f>
        <v>5.17</v>
      </c>
      <c r="C47" s="12">
        <v>281.79000000000002</v>
      </c>
      <c r="D47" s="12">
        <v>74.2</v>
      </c>
      <c r="E47" s="12">
        <v>96.46</v>
      </c>
      <c r="F47" s="12">
        <v>3.99</v>
      </c>
      <c r="G47" s="12">
        <v>6.83</v>
      </c>
      <c r="H47" s="12">
        <v>43.52</v>
      </c>
      <c r="I47" s="12">
        <f>0.18+4.18</f>
        <v>4.3599999999999994</v>
      </c>
      <c r="J47" s="12"/>
      <c r="K47" s="12"/>
      <c r="L47" s="12">
        <v>94.58</v>
      </c>
      <c r="M47" s="12">
        <f t="shared" si="12"/>
        <v>610.9</v>
      </c>
    </row>
    <row r="48" spans="1:13" x14ac:dyDescent="0.35">
      <c r="A48" s="6" t="s">
        <v>51</v>
      </c>
      <c r="B48" s="12">
        <v>1.6</v>
      </c>
      <c r="C48" s="12">
        <f>0.1+0.14</f>
        <v>0.24000000000000002</v>
      </c>
      <c r="D48" s="12">
        <v>0.51</v>
      </c>
      <c r="E48" s="12">
        <v>0.43</v>
      </c>
      <c r="F48" s="12">
        <v>0</v>
      </c>
      <c r="G48" s="12"/>
      <c r="H48" s="12"/>
      <c r="I48" s="12">
        <v>0.09</v>
      </c>
      <c r="J48" s="12"/>
      <c r="K48" s="12"/>
      <c r="L48" s="12">
        <v>5.01</v>
      </c>
      <c r="M48" s="12">
        <f t="shared" si="12"/>
        <v>7.88</v>
      </c>
    </row>
    <row r="49" spans="1:15" x14ac:dyDescent="0.35">
      <c r="A49" s="6" t="s">
        <v>52</v>
      </c>
      <c r="B49" s="12">
        <v>152.79000000000005</v>
      </c>
      <c r="C49" s="12">
        <v>46.54</v>
      </c>
      <c r="D49" s="12">
        <v>77.709999999999994</v>
      </c>
      <c r="E49" s="12">
        <v>34.020000000000003</v>
      </c>
      <c r="F49" s="12">
        <v>0</v>
      </c>
      <c r="G49" s="12">
        <v>61.62</v>
      </c>
      <c r="H49" s="12"/>
      <c r="I49" s="12">
        <v>3.9</v>
      </c>
      <c r="J49" s="12"/>
      <c r="K49" s="12"/>
      <c r="L49" s="12">
        <v>31.09</v>
      </c>
      <c r="M49" s="12">
        <f t="shared" si="12"/>
        <v>407.66999999999996</v>
      </c>
    </row>
    <row r="50" spans="1:15" x14ac:dyDescent="0.35">
      <c r="A50" s="6" t="s">
        <v>53</v>
      </c>
      <c r="B50" s="12">
        <v>186.10999999999999</v>
      </c>
      <c r="C50" s="12">
        <v>10.19</v>
      </c>
      <c r="D50" s="12">
        <v>9.2100000000000009</v>
      </c>
      <c r="E50" s="12">
        <v>5.27</v>
      </c>
      <c r="F50" s="12">
        <v>36.82</v>
      </c>
      <c r="G50" s="12"/>
      <c r="H50" s="12">
        <v>39.04</v>
      </c>
      <c r="I50" s="12">
        <f>0.17+1.64+0.32</f>
        <v>2.13</v>
      </c>
      <c r="J50" s="12">
        <f>0.24+1.03+0.25</f>
        <v>1.52</v>
      </c>
      <c r="K50" s="12"/>
      <c r="L50" s="12">
        <v>422.75000000000017</v>
      </c>
      <c r="M50" s="12">
        <f t="shared" si="12"/>
        <v>713.04000000000019</v>
      </c>
    </row>
    <row r="51" spans="1:15" x14ac:dyDescent="0.35">
      <c r="A51" s="6" t="s">
        <v>54</v>
      </c>
      <c r="B51" s="12">
        <v>88.660000000000011</v>
      </c>
      <c r="C51" s="12">
        <v>8.31</v>
      </c>
      <c r="D51" s="12">
        <f>0.37+0.13+7.73</f>
        <v>8.23</v>
      </c>
      <c r="E51" s="12">
        <v>14.69</v>
      </c>
      <c r="F51" s="12">
        <v>2.81</v>
      </c>
      <c r="G51" s="12">
        <v>5.22</v>
      </c>
      <c r="H51" s="12">
        <v>115.84</v>
      </c>
      <c r="I51" s="12">
        <v>0.14000000000000001</v>
      </c>
      <c r="J51" s="12">
        <f>0.3+1.5</f>
        <v>1.8</v>
      </c>
      <c r="K51" s="12"/>
      <c r="L51" s="12">
        <v>325.63</v>
      </c>
      <c r="M51" s="12">
        <f t="shared" si="12"/>
        <v>571.33000000000004</v>
      </c>
    </row>
    <row r="52" spans="1:15" x14ac:dyDescent="0.35">
      <c r="A52" s="245" t="s">
        <v>17</v>
      </c>
      <c r="B52" s="246">
        <f t="shared" ref="B52:L52" si="13">SUM(B53:B54)</f>
        <v>2481.08</v>
      </c>
      <c r="C52" s="246">
        <f t="shared" si="13"/>
        <v>166.57</v>
      </c>
      <c r="D52" s="246">
        <f t="shared" si="13"/>
        <v>138.54</v>
      </c>
      <c r="E52" s="246">
        <f t="shared" si="13"/>
        <v>218.72</v>
      </c>
      <c r="F52" s="246">
        <v>1481.4600000000003</v>
      </c>
      <c r="G52" s="246">
        <f t="shared" si="13"/>
        <v>42.830000000000005</v>
      </c>
      <c r="H52" s="246">
        <f t="shared" si="13"/>
        <v>124.24000000000001</v>
      </c>
      <c r="I52" s="246">
        <f t="shared" si="13"/>
        <v>39.28</v>
      </c>
      <c r="J52" s="246">
        <f t="shared" si="13"/>
        <v>24.03</v>
      </c>
      <c r="K52" s="246"/>
      <c r="L52" s="246">
        <f t="shared" si="13"/>
        <v>1115.93</v>
      </c>
      <c r="M52" s="246">
        <f t="shared" si="12"/>
        <v>5832.6799999999994</v>
      </c>
    </row>
    <row r="53" spans="1:15" x14ac:dyDescent="0.35">
      <c r="A53" s="6" t="s">
        <v>55</v>
      </c>
      <c r="B53" s="12">
        <v>2419.91</v>
      </c>
      <c r="C53" s="12">
        <v>158.44</v>
      </c>
      <c r="D53" s="12">
        <v>131.79</v>
      </c>
      <c r="E53" s="12">
        <v>81.94</v>
      </c>
      <c r="F53" s="12">
        <v>1243.0900000000001</v>
      </c>
      <c r="G53" s="12">
        <v>41.84</v>
      </c>
      <c r="H53" s="12">
        <v>112.65</v>
      </c>
      <c r="I53" s="12">
        <v>36.840000000000003</v>
      </c>
      <c r="J53" s="12">
        <v>23.07</v>
      </c>
      <c r="K53" s="12"/>
      <c r="L53" s="12">
        <v>1015.0000000000001</v>
      </c>
      <c r="M53" s="12">
        <f t="shared" si="12"/>
        <v>5264.57</v>
      </c>
    </row>
    <row r="54" spans="1:15" x14ac:dyDescent="0.35">
      <c r="A54" s="6" t="s">
        <v>56</v>
      </c>
      <c r="B54" s="12">
        <v>61.17</v>
      </c>
      <c r="C54" s="12">
        <v>8.1300000000000008</v>
      </c>
      <c r="D54" s="12">
        <f>0.02+0.24+6.49</f>
        <v>6.75</v>
      </c>
      <c r="E54" s="12">
        <v>136.78</v>
      </c>
      <c r="F54" s="12">
        <v>238.37</v>
      </c>
      <c r="G54" s="12">
        <f>0.73+0.26</f>
        <v>0.99</v>
      </c>
      <c r="H54" s="12">
        <v>11.59</v>
      </c>
      <c r="I54" s="12">
        <v>2.44</v>
      </c>
      <c r="J54" s="12">
        <v>0.96</v>
      </c>
      <c r="K54" s="12"/>
      <c r="L54" s="12">
        <v>100.93000000000002</v>
      </c>
      <c r="M54" s="12">
        <f t="shared" si="12"/>
        <v>568.11</v>
      </c>
    </row>
    <row r="55" spans="1:15" x14ac:dyDescent="0.35">
      <c r="A55" s="245" t="s">
        <v>18</v>
      </c>
      <c r="B55" s="246">
        <v>138.25</v>
      </c>
      <c r="C55" s="246">
        <f t="shared" ref="C55:L55" si="14">SUM(C56)</f>
        <v>58.66</v>
      </c>
      <c r="D55" s="246">
        <f t="shared" si="14"/>
        <v>12.3</v>
      </c>
      <c r="E55" s="246">
        <f t="shared" si="14"/>
        <v>66.34</v>
      </c>
      <c r="F55" s="246">
        <v>0</v>
      </c>
      <c r="G55" s="246">
        <f t="shared" si="14"/>
        <v>109.36</v>
      </c>
      <c r="H55" s="246">
        <f t="shared" si="14"/>
        <v>16.34</v>
      </c>
      <c r="I55" s="246">
        <f t="shared" si="14"/>
        <v>0.28000000000000003</v>
      </c>
      <c r="J55" s="246">
        <f t="shared" si="14"/>
        <v>31.08</v>
      </c>
      <c r="K55" s="246"/>
      <c r="L55" s="246">
        <f t="shared" si="14"/>
        <v>1421.5499999999986</v>
      </c>
      <c r="M55" s="246">
        <f t="shared" si="12"/>
        <v>1854.1599999999985</v>
      </c>
    </row>
    <row r="56" spans="1:15" x14ac:dyDescent="0.35">
      <c r="A56" s="6" t="s">
        <v>18</v>
      </c>
      <c r="B56" s="12">
        <v>138.25</v>
      </c>
      <c r="C56" s="12">
        <v>58.66</v>
      </c>
      <c r="D56" s="12">
        <v>12.3</v>
      </c>
      <c r="E56" s="12">
        <v>66.34</v>
      </c>
      <c r="F56" s="12">
        <v>0</v>
      </c>
      <c r="G56" s="12">
        <v>109.36</v>
      </c>
      <c r="H56" s="12">
        <v>16.34</v>
      </c>
      <c r="I56" s="12">
        <v>0.28000000000000003</v>
      </c>
      <c r="J56" s="12">
        <v>31.08</v>
      </c>
      <c r="K56" s="12"/>
      <c r="L56" s="12">
        <v>1421.5499999999986</v>
      </c>
      <c r="M56" s="12">
        <f t="shared" si="12"/>
        <v>1854.1599999999985</v>
      </c>
    </row>
    <row r="57" spans="1:15" x14ac:dyDescent="0.35">
      <c r="A57" s="245" t="s">
        <v>20</v>
      </c>
      <c r="B57" s="246">
        <v>870.15</v>
      </c>
      <c r="C57" s="246">
        <f>SUM(C58)</f>
        <v>341.22</v>
      </c>
      <c r="D57" s="246">
        <f>SUM(D58)</f>
        <v>2208.65</v>
      </c>
      <c r="E57" s="246">
        <f>SUM(E58)</f>
        <v>316.66000000000003</v>
      </c>
      <c r="F57" s="246">
        <v>393.48999999999995</v>
      </c>
      <c r="G57" s="246">
        <f>SUM(G58)</f>
        <v>213.8</v>
      </c>
      <c r="H57" s="246">
        <v>269.75</v>
      </c>
      <c r="I57" s="246">
        <v>46.049999999999976</v>
      </c>
      <c r="J57" s="246">
        <f>J58</f>
        <v>140.39999999999992</v>
      </c>
      <c r="K57" s="246"/>
      <c r="L57" s="246">
        <f>L58</f>
        <v>544.97</v>
      </c>
      <c r="M57" s="246">
        <f t="shared" si="12"/>
        <v>5345.14</v>
      </c>
    </row>
    <row r="58" spans="1:15" x14ac:dyDescent="0.35">
      <c r="A58" s="6" t="s">
        <v>20</v>
      </c>
      <c r="B58" s="12">
        <v>870.15</v>
      </c>
      <c r="C58" s="12">
        <v>341.22</v>
      </c>
      <c r="D58" s="12">
        <v>2208.65</v>
      </c>
      <c r="E58" s="12">
        <v>316.66000000000003</v>
      </c>
      <c r="F58" s="12">
        <v>393.48999999999995</v>
      </c>
      <c r="G58" s="12">
        <v>213.8</v>
      </c>
      <c r="H58" s="12">
        <v>269.75</v>
      </c>
      <c r="I58" s="12">
        <v>46.049999999999976</v>
      </c>
      <c r="J58" s="12">
        <v>140.39999999999992</v>
      </c>
      <c r="K58" s="12"/>
      <c r="L58" s="12">
        <v>544.97</v>
      </c>
      <c r="M58" s="12">
        <f t="shared" si="12"/>
        <v>5345.14</v>
      </c>
    </row>
    <row r="59" spans="1:15" x14ac:dyDescent="0.35">
      <c r="A59" s="245" t="s">
        <v>21</v>
      </c>
      <c r="B59" s="246">
        <v>124.53</v>
      </c>
      <c r="C59" s="246">
        <v>3.18</v>
      </c>
      <c r="D59" s="246">
        <v>10.27</v>
      </c>
      <c r="E59" s="246">
        <v>49.22</v>
      </c>
      <c r="F59" s="246">
        <v>27.08</v>
      </c>
      <c r="G59" s="246"/>
      <c r="H59" s="246">
        <f>0.03+1.95</f>
        <v>1.98</v>
      </c>
      <c r="I59" s="246">
        <v>0.62</v>
      </c>
      <c r="J59" s="246"/>
      <c r="K59" s="246"/>
      <c r="L59" s="246">
        <f>L60</f>
        <v>155.46</v>
      </c>
      <c r="M59" s="246">
        <f t="shared" si="12"/>
        <v>372.34000000000003</v>
      </c>
    </row>
    <row r="60" spans="1:15" x14ac:dyDescent="0.35">
      <c r="A60" s="6" t="s">
        <v>21</v>
      </c>
      <c r="B60" s="12">
        <v>124.53</v>
      </c>
      <c r="C60" s="12">
        <v>3.18</v>
      </c>
      <c r="D60" s="12">
        <v>10.27</v>
      </c>
      <c r="E60" s="12">
        <v>49.22</v>
      </c>
      <c r="F60" s="12">
        <v>27.08</v>
      </c>
      <c r="G60" s="12"/>
      <c r="H60" s="12">
        <f>0.03+1.95</f>
        <v>1.98</v>
      </c>
      <c r="I60" s="12">
        <v>0.62</v>
      </c>
      <c r="J60" s="12"/>
      <c r="K60" s="12"/>
      <c r="L60" s="12">
        <v>155.46</v>
      </c>
      <c r="M60" s="12">
        <f t="shared" si="12"/>
        <v>372.34000000000003</v>
      </c>
    </row>
    <row r="61" spans="1:15" x14ac:dyDescent="0.35">
      <c r="A61" s="245" t="s">
        <v>22</v>
      </c>
      <c r="B61" s="246">
        <v>18822.32</v>
      </c>
      <c r="C61" s="246">
        <v>19039.810000000001</v>
      </c>
      <c r="D61" s="246">
        <v>6026.62</v>
      </c>
      <c r="E61" s="246">
        <v>5006.0500000000011</v>
      </c>
      <c r="F61" s="246">
        <v>2949.9700000000012</v>
      </c>
      <c r="G61" s="246">
        <v>3448.9200000000019</v>
      </c>
      <c r="H61" s="246">
        <v>487.43</v>
      </c>
      <c r="I61" s="246">
        <v>2556.9899999999957</v>
      </c>
      <c r="J61" s="246">
        <f>J62</f>
        <v>1507.2699999999988</v>
      </c>
      <c r="K61" s="246"/>
      <c r="L61" s="246">
        <f>L62</f>
        <v>14292.790000000059</v>
      </c>
      <c r="M61" s="246">
        <f t="shared" si="12"/>
        <v>74138.170000000071</v>
      </c>
    </row>
    <row r="62" spans="1:15" x14ac:dyDescent="0.35">
      <c r="A62" s="6" t="s">
        <v>22</v>
      </c>
      <c r="B62" s="12">
        <v>18822.32</v>
      </c>
      <c r="C62" s="12">
        <v>19039.810000000001</v>
      </c>
      <c r="D62" s="12">
        <v>6026.62</v>
      </c>
      <c r="E62" s="12">
        <v>5006.0500000000011</v>
      </c>
      <c r="F62" s="12">
        <v>2949.9700000000012</v>
      </c>
      <c r="G62" s="12">
        <v>3448.9200000000019</v>
      </c>
      <c r="H62" s="12">
        <v>487.43</v>
      </c>
      <c r="I62" s="12">
        <v>2556.9899999999957</v>
      </c>
      <c r="J62" s="12">
        <v>1507.2699999999988</v>
      </c>
      <c r="K62" s="12"/>
      <c r="L62" s="12">
        <v>14292.790000000059</v>
      </c>
      <c r="M62" s="12">
        <f t="shared" si="12"/>
        <v>74138.170000000071</v>
      </c>
    </row>
    <row r="63" spans="1:15" x14ac:dyDescent="0.35">
      <c r="A63" s="245" t="s">
        <v>23</v>
      </c>
      <c r="B63" s="246">
        <v>183.87</v>
      </c>
      <c r="C63" s="246">
        <v>61.39</v>
      </c>
      <c r="D63" s="246">
        <v>538.52</v>
      </c>
      <c r="E63" s="246">
        <v>88.54</v>
      </c>
      <c r="F63" s="246">
        <v>160.32999999999996</v>
      </c>
      <c r="G63" s="246">
        <v>61.36</v>
      </c>
      <c r="H63" s="246">
        <v>28.16</v>
      </c>
      <c r="I63" s="246">
        <f>0.14+0.02</f>
        <v>0.16</v>
      </c>
      <c r="J63" s="246">
        <f>J64</f>
        <v>80.14</v>
      </c>
      <c r="K63" s="246"/>
      <c r="L63" s="246">
        <f>L64</f>
        <v>128.69</v>
      </c>
      <c r="M63" s="246">
        <f t="shared" si="12"/>
        <v>1331.16</v>
      </c>
      <c r="O63" s="141"/>
    </row>
    <row r="64" spans="1:15" x14ac:dyDescent="0.35">
      <c r="A64" s="6" t="s">
        <v>23</v>
      </c>
      <c r="B64" s="12">
        <v>183.87</v>
      </c>
      <c r="C64" s="12">
        <v>61.39</v>
      </c>
      <c r="D64" s="12">
        <v>538.52</v>
      </c>
      <c r="E64" s="12">
        <v>88.54</v>
      </c>
      <c r="F64" s="12">
        <v>160.32999999999996</v>
      </c>
      <c r="G64" s="12">
        <v>61.36</v>
      </c>
      <c r="H64" s="12">
        <v>28.16</v>
      </c>
      <c r="I64" s="12">
        <f>0.14+0.02</f>
        <v>0.16</v>
      </c>
      <c r="J64" s="12">
        <v>80.14</v>
      </c>
      <c r="K64" s="12"/>
      <c r="L64" s="12">
        <v>128.69</v>
      </c>
      <c r="M64" s="12">
        <f t="shared" si="12"/>
        <v>1331.16</v>
      </c>
      <c r="O64" s="190"/>
    </row>
    <row r="65" spans="1:14" x14ac:dyDescent="0.35">
      <c r="A65" s="245" t="s">
        <v>76</v>
      </c>
      <c r="B65" s="246"/>
      <c r="C65" s="246"/>
      <c r="D65" s="246">
        <v>2.08</v>
      </c>
      <c r="E65" s="246">
        <v>7.65</v>
      </c>
      <c r="F65" s="246">
        <v>0</v>
      </c>
      <c r="G65" s="246">
        <v>0.17</v>
      </c>
      <c r="H65" s="246"/>
      <c r="I65" s="246"/>
      <c r="J65" s="246"/>
      <c r="K65" s="246">
        <v>0.36</v>
      </c>
      <c r="L65" s="246">
        <v>0.2</v>
      </c>
      <c r="M65" s="246">
        <f t="shared" si="12"/>
        <v>10.459999999999999</v>
      </c>
    </row>
    <row r="66" spans="1:14" x14ac:dyDescent="0.35">
      <c r="A66" s="257" t="s">
        <v>59</v>
      </c>
      <c r="B66" s="252"/>
      <c r="C66" s="252"/>
      <c r="D66" s="252">
        <v>2.08</v>
      </c>
      <c r="E66" s="252">
        <v>7.65</v>
      </c>
      <c r="F66" s="252">
        <v>0</v>
      </c>
      <c r="G66" s="252">
        <v>0.17</v>
      </c>
      <c r="H66" s="247"/>
      <c r="I66" s="247"/>
      <c r="J66" s="247"/>
      <c r="K66" s="252">
        <v>0.36</v>
      </c>
      <c r="L66" s="252">
        <v>0.2</v>
      </c>
      <c r="M66" s="252">
        <f t="shared" si="12"/>
        <v>10.459999999999999</v>
      </c>
    </row>
    <row r="67" spans="1:14" ht="15.5" x14ac:dyDescent="0.35">
      <c r="A67" s="258" t="s">
        <v>25</v>
      </c>
      <c r="B67" s="251">
        <f>SUM(B65,B63,B61,B59,B57,B55,B52,B42,B36,B31,B27,B23,B14)</f>
        <v>149350.46000000008</v>
      </c>
      <c r="C67" s="251">
        <f t="shared" ref="C67:M67" si="15">SUM(C65,C63,C61,C59,C57,C55,C52,C42,C36,C31,C27,C23,C14)</f>
        <v>87026.340000000084</v>
      </c>
      <c r="D67" s="253">
        <f t="shared" si="15"/>
        <v>56768.260000000009</v>
      </c>
      <c r="E67" s="255">
        <f t="shared" si="15"/>
        <v>43941.249999999993</v>
      </c>
      <c r="F67" s="251">
        <v>48530.249999999985</v>
      </c>
      <c r="G67" s="256">
        <f t="shared" si="15"/>
        <v>18497.130000000005</v>
      </c>
      <c r="H67" s="249">
        <f t="shared" si="15"/>
        <v>14076.579999999998</v>
      </c>
      <c r="I67" s="248">
        <f t="shared" si="15"/>
        <v>8678.6499999999942</v>
      </c>
      <c r="J67" s="250">
        <f t="shared" si="15"/>
        <v>9722.41</v>
      </c>
      <c r="K67" s="251">
        <f t="shared" si="15"/>
        <v>2.0299999999999998</v>
      </c>
      <c r="L67" s="253">
        <f t="shared" si="15"/>
        <v>64138.330000000067</v>
      </c>
      <c r="M67" s="254">
        <f t="shared" si="15"/>
        <v>500731.69000000018</v>
      </c>
      <c r="N67" s="39"/>
    </row>
    <row r="68" spans="1:14" x14ac:dyDescent="0.35">
      <c r="F68" s="531"/>
      <c r="K68" s="388"/>
      <c r="L68" s="190"/>
    </row>
    <row r="71" spans="1:14" ht="15.5" x14ac:dyDescent="0.35">
      <c r="A71" s="238" t="s">
        <v>128</v>
      </c>
    </row>
    <row r="72" spans="1:14" ht="15" customHeight="1" x14ac:dyDescent="0.35">
      <c r="A72" s="703" t="s">
        <v>88</v>
      </c>
      <c r="B72" s="705" t="s">
        <v>113</v>
      </c>
      <c r="C72" s="705"/>
      <c r="D72" s="705"/>
      <c r="E72" s="705"/>
      <c r="F72" s="705"/>
      <c r="G72" s="705"/>
      <c r="H72" s="705"/>
      <c r="I72" s="705"/>
      <c r="J72" s="705"/>
      <c r="K72" s="705"/>
      <c r="L72" s="705"/>
      <c r="M72" s="705"/>
    </row>
    <row r="73" spans="1:14" ht="30" customHeight="1" x14ac:dyDescent="0.35">
      <c r="A73" s="704"/>
      <c r="B73" s="244" t="s">
        <v>114</v>
      </c>
      <c r="C73" s="244" t="s">
        <v>115</v>
      </c>
      <c r="D73" s="244" t="s">
        <v>116</v>
      </c>
      <c r="E73" s="244" t="s">
        <v>117</v>
      </c>
      <c r="F73" s="243" t="s">
        <v>315</v>
      </c>
      <c r="G73" s="244" t="s">
        <v>118</v>
      </c>
      <c r="H73" s="244" t="s">
        <v>119</v>
      </c>
      <c r="I73" s="244" t="s">
        <v>120</v>
      </c>
      <c r="J73" s="244" t="s">
        <v>121</v>
      </c>
      <c r="K73" s="244" t="s">
        <v>122</v>
      </c>
      <c r="L73" s="244" t="s">
        <v>123</v>
      </c>
      <c r="M73" s="244" t="s">
        <v>124</v>
      </c>
    </row>
    <row r="74" spans="1:14" x14ac:dyDescent="0.35">
      <c r="A74" s="245" t="s">
        <v>5</v>
      </c>
      <c r="B74" s="246">
        <f t="shared" ref="B74:L74" si="16">SUM(B75:B82)</f>
        <v>18279.790000000008</v>
      </c>
      <c r="C74" s="246">
        <f t="shared" si="16"/>
        <v>4000.9999999999991</v>
      </c>
      <c r="D74" s="246">
        <f t="shared" si="16"/>
        <v>1747.8699999999988</v>
      </c>
      <c r="E74" s="246">
        <f t="shared" si="16"/>
        <v>2283.17</v>
      </c>
      <c r="F74" s="246">
        <v>3812.6400000000003</v>
      </c>
      <c r="G74" s="246">
        <f t="shared" si="16"/>
        <v>1591.2800000000002</v>
      </c>
      <c r="H74" s="246">
        <f t="shared" si="16"/>
        <v>457.6099999999999</v>
      </c>
      <c r="I74" s="246">
        <f t="shared" si="16"/>
        <v>584.74999999999989</v>
      </c>
      <c r="J74" s="246">
        <f t="shared" si="16"/>
        <v>184.05999999999997</v>
      </c>
      <c r="K74" s="246"/>
      <c r="L74" s="246">
        <f t="shared" si="16"/>
        <v>4191.5799999999981</v>
      </c>
      <c r="M74" s="246">
        <f t="shared" ref="M74:M105" si="17">SUM(B74:L74)</f>
        <v>37133.75</v>
      </c>
    </row>
    <row r="75" spans="1:14" ht="15.75" customHeight="1" x14ac:dyDescent="0.35">
      <c r="A75" s="5" t="s">
        <v>6</v>
      </c>
      <c r="B75" s="12">
        <v>4106.3500000000004</v>
      </c>
      <c r="C75" s="12">
        <v>1347.91</v>
      </c>
      <c r="D75" s="12">
        <v>364.22999999999996</v>
      </c>
      <c r="E75" s="12">
        <v>1064.0400000000004</v>
      </c>
      <c r="F75" s="12">
        <v>790.29</v>
      </c>
      <c r="G75" s="12">
        <v>333.82000000000005</v>
      </c>
      <c r="H75" s="12">
        <v>40.630000000000003</v>
      </c>
      <c r="I75" s="12">
        <v>157.83999999999995</v>
      </c>
      <c r="J75" s="12">
        <v>18.88</v>
      </c>
      <c r="K75" s="12"/>
      <c r="L75" s="12">
        <v>512.55999999999995</v>
      </c>
      <c r="M75" s="12">
        <f t="shared" si="17"/>
        <v>8736.5499999999993</v>
      </c>
    </row>
    <row r="76" spans="1:14" x14ac:dyDescent="0.35">
      <c r="A76" s="6" t="s">
        <v>7</v>
      </c>
      <c r="B76" s="12">
        <v>28.049999999999997</v>
      </c>
      <c r="C76" s="12"/>
      <c r="D76" s="12"/>
      <c r="E76" s="12">
        <v>4.83</v>
      </c>
      <c r="F76" s="12">
        <v>47.97</v>
      </c>
      <c r="G76" s="12"/>
      <c r="H76" s="12">
        <v>24.38</v>
      </c>
      <c r="I76" s="12"/>
      <c r="J76" s="12"/>
      <c r="K76" s="12"/>
      <c r="L76" s="12">
        <v>39.14</v>
      </c>
      <c r="M76" s="12">
        <f t="shared" si="17"/>
        <v>144.37</v>
      </c>
    </row>
    <row r="77" spans="1:14" x14ac:dyDescent="0.35">
      <c r="A77" s="6" t="s">
        <v>8</v>
      </c>
      <c r="B77" s="12">
        <v>7</v>
      </c>
      <c r="C77" s="12">
        <v>16.299999999999997</v>
      </c>
      <c r="D77" s="12"/>
      <c r="E77" s="12">
        <v>16.29</v>
      </c>
      <c r="F77" s="12">
        <v>164.62</v>
      </c>
      <c r="G77" s="12">
        <f>1.29+3.1</f>
        <v>4.3900000000000006</v>
      </c>
      <c r="H77" s="12"/>
      <c r="I77" s="12">
        <f>2.16+2.85</f>
        <v>5.01</v>
      </c>
      <c r="J77" s="12"/>
      <c r="K77" s="12"/>
      <c r="L77" s="12">
        <v>22.56</v>
      </c>
      <c r="M77" s="12">
        <f t="shared" si="17"/>
        <v>236.17000000000002</v>
      </c>
    </row>
    <row r="78" spans="1:14" x14ac:dyDescent="0.35">
      <c r="A78" s="6" t="s">
        <v>26</v>
      </c>
      <c r="B78" s="12">
        <v>13949.460000000012</v>
      </c>
      <c r="C78" s="12">
        <v>2021.6999999999987</v>
      </c>
      <c r="D78" s="12">
        <v>1342.109999999999</v>
      </c>
      <c r="E78" s="12">
        <v>811.9</v>
      </c>
      <c r="F78" s="12">
        <v>2444.83</v>
      </c>
      <c r="G78" s="12">
        <v>1195.68</v>
      </c>
      <c r="H78" s="12">
        <v>363.8599999999999</v>
      </c>
      <c r="I78" s="12">
        <v>419.36</v>
      </c>
      <c r="J78" s="12">
        <v>157.54</v>
      </c>
      <c r="K78" s="12"/>
      <c r="L78" s="12">
        <v>3501.6899999999978</v>
      </c>
      <c r="M78" s="12">
        <f t="shared" si="17"/>
        <v>26208.130000000016</v>
      </c>
    </row>
    <row r="79" spans="1:14" x14ac:dyDescent="0.35">
      <c r="A79" s="6" t="s">
        <v>27</v>
      </c>
      <c r="B79" s="12"/>
      <c r="C79" s="12"/>
      <c r="D79" s="12"/>
      <c r="E79" s="12"/>
      <c r="F79" s="12">
        <v>0</v>
      </c>
      <c r="G79" s="12"/>
      <c r="H79" s="12"/>
      <c r="I79" s="12"/>
      <c r="J79" s="12"/>
      <c r="K79" s="12"/>
      <c r="L79" s="12">
        <v>0.09</v>
      </c>
      <c r="M79" s="12">
        <f t="shared" si="17"/>
        <v>0.09</v>
      </c>
    </row>
    <row r="80" spans="1:14" x14ac:dyDescent="0.35">
      <c r="A80" s="6" t="s">
        <v>28</v>
      </c>
      <c r="B80" s="12">
        <v>129.97999999999999</v>
      </c>
      <c r="C80" s="12">
        <v>7</v>
      </c>
      <c r="D80" s="12">
        <v>1.31</v>
      </c>
      <c r="E80" s="12">
        <v>24.32</v>
      </c>
      <c r="F80" s="12">
        <v>145.26</v>
      </c>
      <c r="G80" s="12">
        <f>4.1+13.8</f>
        <v>17.899999999999999</v>
      </c>
      <c r="H80" s="12">
        <f>23.98+4.76</f>
        <v>28.740000000000002</v>
      </c>
      <c r="I80" s="12">
        <v>2.54</v>
      </c>
      <c r="J80" s="12"/>
      <c r="K80" s="12"/>
      <c r="L80" s="12">
        <v>66.489999999999995</v>
      </c>
      <c r="M80" s="12">
        <f t="shared" si="17"/>
        <v>423.54</v>
      </c>
    </row>
    <row r="81" spans="1:13" x14ac:dyDescent="0.35">
      <c r="A81" s="6" t="s">
        <v>29</v>
      </c>
      <c r="B81" s="12">
        <v>15.939999999999998</v>
      </c>
      <c r="C81" s="12">
        <v>608.09</v>
      </c>
      <c r="D81" s="12">
        <f>7.93+1.43</f>
        <v>9.36</v>
      </c>
      <c r="E81" s="12">
        <v>346.05</v>
      </c>
      <c r="F81" s="12">
        <v>7.1400000000000006</v>
      </c>
      <c r="G81" s="12">
        <f>38.88+0.61</f>
        <v>39.49</v>
      </c>
      <c r="H81" s="12"/>
      <c r="I81" s="12"/>
      <c r="J81" s="12">
        <v>7.64</v>
      </c>
      <c r="K81" s="12"/>
      <c r="L81" s="12"/>
      <c r="M81" s="12">
        <f t="shared" si="17"/>
        <v>1033.71</v>
      </c>
    </row>
    <row r="82" spans="1:13" x14ac:dyDescent="0.35">
      <c r="A82" s="6" t="s">
        <v>30</v>
      </c>
      <c r="B82" s="12">
        <v>43.010000000000005</v>
      </c>
      <c r="C82" s="12"/>
      <c r="D82" s="12">
        <v>30.86</v>
      </c>
      <c r="E82" s="12">
        <v>15.74</v>
      </c>
      <c r="F82" s="12">
        <v>212.53</v>
      </c>
      <c r="G82" s="12"/>
      <c r="H82" s="12"/>
      <c r="I82" s="12"/>
      <c r="J82" s="12"/>
      <c r="K82" s="12"/>
      <c r="L82" s="12">
        <v>49.05</v>
      </c>
      <c r="M82" s="12">
        <f t="shared" si="17"/>
        <v>351.19</v>
      </c>
    </row>
    <row r="83" spans="1:13" x14ac:dyDescent="0.35">
      <c r="A83" s="245" t="s">
        <v>12</v>
      </c>
      <c r="B83" s="246">
        <f t="shared" ref="B83:L83" si="18">SUM(B84:B86)</f>
        <v>1831.8500000000004</v>
      </c>
      <c r="C83" s="246">
        <f t="shared" si="18"/>
        <v>1500.3</v>
      </c>
      <c r="D83" s="246">
        <f t="shared" si="18"/>
        <v>1394.77</v>
      </c>
      <c r="E83" s="246">
        <f t="shared" si="18"/>
        <v>305.54000000000002</v>
      </c>
      <c r="F83" s="246">
        <v>107.32999999999998</v>
      </c>
      <c r="G83" s="246">
        <f t="shared" si="18"/>
        <v>221.62</v>
      </c>
      <c r="H83" s="246">
        <f t="shared" si="18"/>
        <v>103.44</v>
      </c>
      <c r="I83" s="246">
        <f t="shared" si="18"/>
        <v>45.93</v>
      </c>
      <c r="J83" s="246">
        <f t="shared" si="18"/>
        <v>147.57</v>
      </c>
      <c r="K83" s="246"/>
      <c r="L83" s="246">
        <f t="shared" si="18"/>
        <v>516.81999999999994</v>
      </c>
      <c r="M83" s="246">
        <f t="shared" si="17"/>
        <v>6175.1699999999992</v>
      </c>
    </row>
    <row r="84" spans="1:13" x14ac:dyDescent="0.35">
      <c r="A84" s="6" t="s">
        <v>31</v>
      </c>
      <c r="B84" s="12">
        <v>48.870000000000012</v>
      </c>
      <c r="C84" s="12">
        <v>18.46</v>
      </c>
      <c r="D84" s="12">
        <v>106.26</v>
      </c>
      <c r="E84" s="12">
        <v>23.06</v>
      </c>
      <c r="F84" s="12">
        <v>11.05</v>
      </c>
      <c r="G84" s="12">
        <v>43.88</v>
      </c>
      <c r="H84" s="12">
        <v>27.25</v>
      </c>
      <c r="I84" s="12">
        <v>0.04</v>
      </c>
      <c r="J84" s="12">
        <f>0.75+1.31</f>
        <v>2.06</v>
      </c>
      <c r="K84" s="12"/>
      <c r="L84" s="12">
        <v>106.32</v>
      </c>
      <c r="M84" s="12">
        <f t="shared" si="17"/>
        <v>387.25000000000006</v>
      </c>
    </row>
    <row r="85" spans="1:13" x14ac:dyDescent="0.35">
      <c r="A85" s="6" t="s">
        <v>32</v>
      </c>
      <c r="B85" s="12">
        <v>516.28</v>
      </c>
      <c r="C85" s="12">
        <v>1288.0999999999999</v>
      </c>
      <c r="D85" s="12">
        <v>1029.0899999999999</v>
      </c>
      <c r="E85" s="12">
        <v>225.59</v>
      </c>
      <c r="F85" s="12">
        <v>29.939999999999998</v>
      </c>
      <c r="G85" s="12">
        <v>111.2</v>
      </c>
      <c r="H85" s="12">
        <v>46.19</v>
      </c>
      <c r="I85" s="12">
        <v>6.13</v>
      </c>
      <c r="J85" s="12">
        <v>88.15</v>
      </c>
      <c r="K85" s="12"/>
      <c r="L85" s="12">
        <v>119.2</v>
      </c>
      <c r="M85" s="12">
        <f t="shared" si="17"/>
        <v>3459.87</v>
      </c>
    </row>
    <row r="86" spans="1:13" x14ac:dyDescent="0.35">
      <c r="A86" s="6" t="s">
        <v>33</v>
      </c>
      <c r="B86" s="12">
        <v>1266.7000000000005</v>
      </c>
      <c r="C86" s="12">
        <v>193.74</v>
      </c>
      <c r="D86" s="12">
        <v>259.42</v>
      </c>
      <c r="E86" s="12">
        <v>56.89</v>
      </c>
      <c r="F86" s="12">
        <v>66.34</v>
      </c>
      <c r="G86" s="12">
        <v>66.540000000000006</v>
      </c>
      <c r="H86" s="12">
        <v>30</v>
      </c>
      <c r="I86" s="12">
        <v>39.76</v>
      </c>
      <c r="J86" s="12">
        <v>57.36</v>
      </c>
      <c r="K86" s="12"/>
      <c r="L86" s="12">
        <v>291.29999999999995</v>
      </c>
      <c r="M86" s="12">
        <f t="shared" si="17"/>
        <v>2328.0500000000002</v>
      </c>
    </row>
    <row r="87" spans="1:13" x14ac:dyDescent="0.35">
      <c r="A87" s="245" t="s">
        <v>13</v>
      </c>
      <c r="B87" s="246">
        <f t="shared" ref="B87:L87" si="19">SUM(B88:B90)</f>
        <v>1929.38</v>
      </c>
      <c r="C87" s="246">
        <f t="shared" si="19"/>
        <v>1441.21</v>
      </c>
      <c r="D87" s="246">
        <f t="shared" si="19"/>
        <v>1736.04</v>
      </c>
      <c r="E87" s="246">
        <f t="shared" si="19"/>
        <v>972.81999999999994</v>
      </c>
      <c r="F87" s="246">
        <v>741.92999999999984</v>
      </c>
      <c r="G87" s="246">
        <f t="shared" si="19"/>
        <v>468.83000000000004</v>
      </c>
      <c r="H87" s="246">
        <f t="shared" si="19"/>
        <v>386.44</v>
      </c>
      <c r="I87" s="246">
        <f t="shared" si="19"/>
        <v>114.91</v>
      </c>
      <c r="J87" s="246">
        <f t="shared" si="19"/>
        <v>313.89</v>
      </c>
      <c r="K87" s="246"/>
      <c r="L87" s="246">
        <f t="shared" si="19"/>
        <v>583.9899999999999</v>
      </c>
      <c r="M87" s="246">
        <f t="shared" si="17"/>
        <v>8689.4399999999987</v>
      </c>
    </row>
    <row r="88" spans="1:13" x14ac:dyDescent="0.35">
      <c r="A88" s="6" t="s">
        <v>34</v>
      </c>
      <c r="B88" s="12">
        <v>1473.13</v>
      </c>
      <c r="C88" s="12">
        <v>977.86</v>
      </c>
      <c r="D88" s="12">
        <v>42.38</v>
      </c>
      <c r="E88" s="12">
        <v>250.88</v>
      </c>
      <c r="F88" s="12">
        <v>133.06</v>
      </c>
      <c r="G88" s="12">
        <v>20.14</v>
      </c>
      <c r="H88" s="12">
        <v>22.92</v>
      </c>
      <c r="I88" s="12">
        <v>17.04</v>
      </c>
      <c r="J88" s="12">
        <v>110.26</v>
      </c>
      <c r="K88" s="12"/>
      <c r="L88" s="12">
        <v>238.55000000000004</v>
      </c>
      <c r="M88" s="12">
        <f t="shared" si="17"/>
        <v>3286.2200000000007</v>
      </c>
    </row>
    <row r="89" spans="1:13" x14ac:dyDescent="0.35">
      <c r="A89" s="6" t="s">
        <v>35</v>
      </c>
      <c r="B89" s="12">
        <v>5.63</v>
      </c>
      <c r="C89" s="12">
        <v>58.75</v>
      </c>
      <c r="D89" s="12">
        <v>0.99</v>
      </c>
      <c r="E89" s="12">
        <v>552.51</v>
      </c>
      <c r="F89" s="12">
        <v>3.22</v>
      </c>
      <c r="G89" s="12">
        <v>23.09</v>
      </c>
      <c r="H89" s="12">
        <v>0.69</v>
      </c>
      <c r="I89" s="12"/>
      <c r="J89" s="12">
        <v>26.26</v>
      </c>
      <c r="K89" s="12"/>
      <c r="L89" s="12">
        <v>80.42</v>
      </c>
      <c r="M89" s="12">
        <f t="shared" si="17"/>
        <v>751.56000000000006</v>
      </c>
    </row>
    <row r="90" spans="1:13" x14ac:dyDescent="0.35">
      <c r="A90" s="6" t="s">
        <v>36</v>
      </c>
      <c r="B90" s="12">
        <v>450.62</v>
      </c>
      <c r="C90" s="12">
        <v>404.6</v>
      </c>
      <c r="D90" s="12">
        <v>1692.67</v>
      </c>
      <c r="E90" s="12">
        <v>169.43</v>
      </c>
      <c r="F90" s="12">
        <v>605.64999999999986</v>
      </c>
      <c r="G90" s="12">
        <v>425.6</v>
      </c>
      <c r="H90" s="12">
        <v>362.83</v>
      </c>
      <c r="I90" s="12">
        <v>97.87</v>
      </c>
      <c r="J90" s="12">
        <v>177.36999999999995</v>
      </c>
      <c r="K90" s="12"/>
      <c r="L90" s="12">
        <v>265.01999999999987</v>
      </c>
      <c r="M90" s="12">
        <f t="shared" si="17"/>
        <v>4651.66</v>
      </c>
    </row>
    <row r="91" spans="1:13" x14ac:dyDescent="0.35">
      <c r="A91" s="245" t="s">
        <v>14</v>
      </c>
      <c r="B91" s="246">
        <f t="shared" ref="B91:L91" si="20">SUM(B92:B95)</f>
        <v>24.880000000000003</v>
      </c>
      <c r="C91" s="246">
        <f t="shared" si="20"/>
        <v>851.1</v>
      </c>
      <c r="D91" s="246">
        <f t="shared" si="20"/>
        <v>413.95</v>
      </c>
      <c r="E91" s="246">
        <f t="shared" si="20"/>
        <v>195.28</v>
      </c>
      <c r="F91" s="246">
        <v>1.0900000000000001</v>
      </c>
      <c r="G91" s="246">
        <f t="shared" si="20"/>
        <v>96.02000000000001</v>
      </c>
      <c r="H91" s="246">
        <f t="shared" si="20"/>
        <v>41.11</v>
      </c>
      <c r="I91" s="246">
        <f t="shared" si="20"/>
        <v>7.6900000000000013</v>
      </c>
      <c r="J91" s="246">
        <f t="shared" si="20"/>
        <v>66.73</v>
      </c>
      <c r="K91" s="246"/>
      <c r="L91" s="246">
        <f t="shared" si="20"/>
        <v>130.08999999999997</v>
      </c>
      <c r="M91" s="246">
        <f t="shared" si="17"/>
        <v>1827.9399999999998</v>
      </c>
    </row>
    <row r="92" spans="1:13" x14ac:dyDescent="0.35">
      <c r="A92" s="6" t="s">
        <v>37</v>
      </c>
      <c r="B92" s="12">
        <v>1.03</v>
      </c>
      <c r="C92" s="12">
        <v>2.97</v>
      </c>
      <c r="D92" s="12">
        <v>72.180000000000007</v>
      </c>
      <c r="E92" s="12">
        <v>8.77</v>
      </c>
      <c r="F92" s="12">
        <v>0</v>
      </c>
      <c r="G92" s="12">
        <v>2.48</v>
      </c>
      <c r="H92" s="12">
        <f>0.03+1.34+1.23</f>
        <v>2.6</v>
      </c>
      <c r="I92" s="12">
        <v>0.91</v>
      </c>
      <c r="J92" s="12">
        <v>0.45</v>
      </c>
      <c r="K92" s="12"/>
      <c r="L92" s="12">
        <v>6.5</v>
      </c>
      <c r="M92" s="12">
        <f t="shared" si="17"/>
        <v>97.89</v>
      </c>
    </row>
    <row r="93" spans="1:13" x14ac:dyDescent="0.35">
      <c r="A93" s="6" t="s">
        <v>38</v>
      </c>
      <c r="B93" s="12"/>
      <c r="C93" s="12">
        <v>0.08</v>
      </c>
      <c r="D93" s="12"/>
      <c r="E93" s="12">
        <v>0.32</v>
      </c>
      <c r="F93" s="12">
        <v>0.16</v>
      </c>
      <c r="G93" s="12"/>
      <c r="H93" s="12">
        <v>0.96</v>
      </c>
      <c r="I93" s="12"/>
      <c r="J93" s="12"/>
      <c r="K93" s="12"/>
      <c r="L93" s="12">
        <f>0.36+0.31</f>
        <v>0.66999999999999993</v>
      </c>
      <c r="M93" s="12">
        <f t="shared" si="17"/>
        <v>2.19</v>
      </c>
    </row>
    <row r="94" spans="1:13" x14ac:dyDescent="0.35">
      <c r="A94" s="6" t="s">
        <v>39</v>
      </c>
      <c r="B94" s="12">
        <v>8.3300000000000018</v>
      </c>
      <c r="C94" s="12">
        <v>339.39</v>
      </c>
      <c r="D94" s="12">
        <v>260.33</v>
      </c>
      <c r="E94" s="12">
        <v>39.25</v>
      </c>
      <c r="F94" s="12">
        <v>0</v>
      </c>
      <c r="G94" s="12">
        <v>15.73</v>
      </c>
      <c r="H94" s="12">
        <v>3.02</v>
      </c>
      <c r="I94" s="12">
        <f>0.21+1.84</f>
        <v>2.0500000000000003</v>
      </c>
      <c r="J94" s="12">
        <v>8.25</v>
      </c>
      <c r="K94" s="12"/>
      <c r="L94" s="12">
        <v>9.25</v>
      </c>
      <c r="M94" s="12">
        <f t="shared" si="17"/>
        <v>685.59999999999991</v>
      </c>
    </row>
    <row r="95" spans="1:13" x14ac:dyDescent="0.35">
      <c r="A95" s="6" t="s">
        <v>40</v>
      </c>
      <c r="B95" s="12">
        <v>15.520000000000001</v>
      </c>
      <c r="C95" s="12">
        <v>508.66</v>
      </c>
      <c r="D95" s="12">
        <v>81.44</v>
      </c>
      <c r="E95" s="12">
        <v>146.94</v>
      </c>
      <c r="F95" s="12">
        <v>0.93</v>
      </c>
      <c r="G95" s="12">
        <v>77.81</v>
      </c>
      <c r="H95" s="12">
        <v>34.53</v>
      </c>
      <c r="I95" s="12">
        <f>4.44+0.29</f>
        <v>4.7300000000000004</v>
      </c>
      <c r="J95" s="12">
        <v>58.03</v>
      </c>
      <c r="K95" s="12"/>
      <c r="L95" s="12">
        <v>113.66999999999996</v>
      </c>
      <c r="M95" s="12">
        <f t="shared" si="17"/>
        <v>1042.2600000000002</v>
      </c>
    </row>
    <row r="96" spans="1:13" x14ac:dyDescent="0.35">
      <c r="A96" s="245" t="s">
        <v>15</v>
      </c>
      <c r="B96" s="246">
        <f t="shared" ref="B96:L96" si="21">SUM(B97:B101)</f>
        <v>8208.5000000000036</v>
      </c>
      <c r="C96" s="246">
        <f t="shared" si="21"/>
        <v>2284.39</v>
      </c>
      <c r="D96" s="246">
        <f t="shared" si="21"/>
        <v>1684.9999999999998</v>
      </c>
      <c r="E96" s="246">
        <f t="shared" si="21"/>
        <v>406.82</v>
      </c>
      <c r="F96" s="246">
        <v>5516.5099999999984</v>
      </c>
      <c r="G96" s="246">
        <f t="shared" si="21"/>
        <v>638.4</v>
      </c>
      <c r="H96" s="246">
        <f t="shared" si="21"/>
        <v>1867.27</v>
      </c>
      <c r="I96" s="246">
        <f t="shared" si="21"/>
        <v>270.83000000000004</v>
      </c>
      <c r="J96" s="246">
        <f t="shared" si="21"/>
        <v>518.84</v>
      </c>
      <c r="K96" s="246"/>
      <c r="L96" s="246">
        <f t="shared" si="21"/>
        <v>4122.1299999999992</v>
      </c>
      <c r="M96" s="246">
        <f t="shared" si="17"/>
        <v>25518.690000000002</v>
      </c>
    </row>
    <row r="97" spans="1:13" x14ac:dyDescent="0.35">
      <c r="A97" s="6" t="s">
        <v>41</v>
      </c>
      <c r="B97" s="12">
        <v>4437.4400000000041</v>
      </c>
      <c r="C97" s="12">
        <v>1949.62</v>
      </c>
      <c r="D97" s="12">
        <v>823.08</v>
      </c>
      <c r="E97" s="12">
        <v>303.62</v>
      </c>
      <c r="F97" s="12">
        <v>2815.01</v>
      </c>
      <c r="G97" s="12">
        <v>442.69</v>
      </c>
      <c r="H97" s="12">
        <v>191.5</v>
      </c>
      <c r="I97" s="12">
        <v>95.62</v>
      </c>
      <c r="J97" s="12">
        <v>323.65999999999997</v>
      </c>
      <c r="K97" s="12"/>
      <c r="L97" s="12">
        <v>1474.6799999999994</v>
      </c>
      <c r="M97" s="12">
        <f t="shared" si="17"/>
        <v>12856.920000000006</v>
      </c>
    </row>
    <row r="98" spans="1:13" x14ac:dyDescent="0.35">
      <c r="A98" s="6" t="s">
        <v>42</v>
      </c>
      <c r="B98" s="12">
        <v>1080.4999999999998</v>
      </c>
      <c r="C98" s="12">
        <v>45.71</v>
      </c>
      <c r="D98" s="12">
        <v>32.159999999999997</v>
      </c>
      <c r="E98" s="12">
        <v>41.89</v>
      </c>
      <c r="F98" s="12">
        <v>797.04999999999973</v>
      </c>
      <c r="G98" s="12">
        <v>6.87</v>
      </c>
      <c r="H98" s="12">
        <v>361.44</v>
      </c>
      <c r="I98" s="12">
        <v>0</v>
      </c>
      <c r="J98" s="12">
        <f>11.46+10.2+1.53</f>
        <v>23.19</v>
      </c>
      <c r="K98" s="12"/>
      <c r="L98" s="12">
        <v>756.37000000000012</v>
      </c>
      <c r="M98" s="12">
        <f t="shared" si="17"/>
        <v>3145.1799999999994</v>
      </c>
    </row>
    <row r="99" spans="1:13" x14ac:dyDescent="0.35">
      <c r="A99" s="6" t="s">
        <v>43</v>
      </c>
      <c r="B99" s="12">
        <v>942.73000000000013</v>
      </c>
      <c r="C99" s="12">
        <v>225.96</v>
      </c>
      <c r="D99" s="12">
        <v>772.4</v>
      </c>
      <c r="E99" s="12">
        <v>52.03</v>
      </c>
      <c r="F99" s="12">
        <v>1269.4499999999998</v>
      </c>
      <c r="G99" s="12">
        <v>94.32</v>
      </c>
      <c r="H99" s="12">
        <v>827.05</v>
      </c>
      <c r="I99" s="12">
        <v>166.46000000000004</v>
      </c>
      <c r="J99" s="12">
        <v>58.74</v>
      </c>
      <c r="K99" s="12"/>
      <c r="L99" s="12">
        <v>1175.1700000000003</v>
      </c>
      <c r="M99" s="12">
        <f t="shared" si="17"/>
        <v>5584.3099999999995</v>
      </c>
    </row>
    <row r="100" spans="1:13" x14ac:dyDescent="0.35">
      <c r="A100" s="6" t="s">
        <v>44</v>
      </c>
      <c r="B100" s="12">
        <v>31.16</v>
      </c>
      <c r="C100" s="12">
        <v>16.440000000000001</v>
      </c>
      <c r="D100" s="12">
        <f>2.78+0.3</f>
        <v>3.0799999999999996</v>
      </c>
      <c r="E100" s="12">
        <v>2.93</v>
      </c>
      <c r="F100" s="12">
        <v>3.99</v>
      </c>
      <c r="G100" s="12"/>
      <c r="H100" s="12"/>
      <c r="I100" s="12">
        <v>2.68</v>
      </c>
      <c r="J100" s="12">
        <v>5.98</v>
      </c>
      <c r="K100" s="12"/>
      <c r="L100" s="12">
        <v>19.73</v>
      </c>
      <c r="M100" s="12">
        <f t="shared" si="17"/>
        <v>85.990000000000009</v>
      </c>
    </row>
    <row r="101" spans="1:13" x14ac:dyDescent="0.35">
      <c r="A101" s="6" t="s">
        <v>45</v>
      </c>
      <c r="B101" s="12">
        <v>1716.6699999999985</v>
      </c>
      <c r="C101" s="12">
        <v>46.66</v>
      </c>
      <c r="D101" s="12">
        <v>54.28</v>
      </c>
      <c r="E101" s="12">
        <v>6.35</v>
      </c>
      <c r="F101" s="12">
        <v>631.00999999999988</v>
      </c>
      <c r="G101" s="12">
        <v>94.52</v>
      </c>
      <c r="H101" s="12">
        <v>487.28</v>
      </c>
      <c r="I101" s="12">
        <v>6.07</v>
      </c>
      <c r="J101" s="12">
        <v>107.27</v>
      </c>
      <c r="K101" s="12"/>
      <c r="L101" s="12">
        <v>696.18</v>
      </c>
      <c r="M101" s="12">
        <f t="shared" si="17"/>
        <v>3846.2899999999986</v>
      </c>
    </row>
    <row r="102" spans="1:13" x14ac:dyDescent="0.35">
      <c r="A102" s="245" t="s">
        <v>16</v>
      </c>
      <c r="B102" s="246">
        <f t="shared" ref="B102:L102" si="22">SUM(B103:B111)</f>
        <v>138.40999999999997</v>
      </c>
      <c r="C102" s="246">
        <f t="shared" si="22"/>
        <v>43.149999999999991</v>
      </c>
      <c r="D102" s="246">
        <f t="shared" si="22"/>
        <v>19.119999999999997</v>
      </c>
      <c r="E102" s="246">
        <f t="shared" si="22"/>
        <v>12.860000000000001</v>
      </c>
      <c r="F102" s="246">
        <v>17.399999999999999</v>
      </c>
      <c r="G102" s="246"/>
      <c r="H102" s="246">
        <f t="shared" si="22"/>
        <v>26.19</v>
      </c>
      <c r="I102" s="246">
        <f t="shared" si="22"/>
        <v>0.14000000000000001</v>
      </c>
      <c r="J102" s="246">
        <f t="shared" si="22"/>
        <v>0.25</v>
      </c>
      <c r="K102" s="246"/>
      <c r="L102" s="246">
        <f t="shared" si="22"/>
        <v>192.76999999999998</v>
      </c>
      <c r="M102" s="246">
        <f t="shared" si="17"/>
        <v>450.28999999999996</v>
      </c>
    </row>
    <row r="103" spans="1:13" x14ac:dyDescent="0.35">
      <c r="A103" s="6" t="s">
        <v>46</v>
      </c>
      <c r="B103" s="12">
        <v>1.61</v>
      </c>
      <c r="C103" s="12"/>
      <c r="D103" s="12"/>
      <c r="E103" s="12"/>
      <c r="F103" s="12">
        <v>2.6</v>
      </c>
      <c r="G103" s="12"/>
      <c r="H103" s="12"/>
      <c r="I103" s="12"/>
      <c r="J103" s="12"/>
      <c r="K103" s="12"/>
      <c r="L103" s="12">
        <v>10.86</v>
      </c>
      <c r="M103" s="12">
        <f t="shared" si="17"/>
        <v>15.07</v>
      </c>
    </row>
    <row r="104" spans="1:13" x14ac:dyDescent="0.35">
      <c r="A104" s="6" t="s">
        <v>47</v>
      </c>
      <c r="B104" s="12"/>
      <c r="C104" s="12">
        <v>0.04</v>
      </c>
      <c r="D104" s="12"/>
      <c r="E104" s="12"/>
      <c r="F104" s="12">
        <v>0</v>
      </c>
      <c r="G104" s="12"/>
      <c r="H104" s="12"/>
      <c r="I104" s="12"/>
      <c r="J104" s="12"/>
      <c r="K104" s="12"/>
      <c r="L104" s="12">
        <v>33.65</v>
      </c>
      <c r="M104" s="12">
        <f t="shared" si="17"/>
        <v>33.69</v>
      </c>
    </row>
    <row r="105" spans="1:13" x14ac:dyDescent="0.35">
      <c r="A105" s="6" t="s">
        <v>48</v>
      </c>
      <c r="B105" s="12"/>
      <c r="C105" s="12"/>
      <c r="D105" s="12"/>
      <c r="E105" s="12"/>
      <c r="F105" s="12">
        <v>0</v>
      </c>
      <c r="G105" s="12"/>
      <c r="H105" s="12"/>
      <c r="I105" s="12"/>
      <c r="J105" s="12"/>
      <c r="K105" s="12"/>
      <c r="L105" s="12">
        <v>4.7300000000000004</v>
      </c>
      <c r="M105" s="12">
        <f t="shared" si="17"/>
        <v>4.7300000000000004</v>
      </c>
    </row>
    <row r="106" spans="1:13" x14ac:dyDescent="0.35">
      <c r="A106" s="6" t="s">
        <v>49</v>
      </c>
      <c r="B106" s="12"/>
      <c r="C106" s="12">
        <v>2.08</v>
      </c>
      <c r="D106" s="12"/>
      <c r="E106" s="12"/>
      <c r="F106" s="12">
        <v>0</v>
      </c>
      <c r="G106" s="12"/>
      <c r="H106" s="12"/>
      <c r="I106" s="12"/>
      <c r="J106" s="12"/>
      <c r="K106" s="12"/>
      <c r="L106" s="12">
        <v>1.76</v>
      </c>
      <c r="M106" s="12">
        <f t="shared" ref="M106:M126" si="23">SUM(B106:L106)</f>
        <v>3.84</v>
      </c>
    </row>
    <row r="107" spans="1:13" x14ac:dyDescent="0.35">
      <c r="A107" s="6" t="s">
        <v>50</v>
      </c>
      <c r="B107" s="12">
        <v>0.94</v>
      </c>
      <c r="C107" s="12">
        <v>30.54</v>
      </c>
      <c r="D107" s="12">
        <v>11.08</v>
      </c>
      <c r="E107" s="12">
        <v>12.47</v>
      </c>
      <c r="F107" s="12">
        <v>3.99</v>
      </c>
      <c r="G107" s="12"/>
      <c r="H107" s="12">
        <v>22.66</v>
      </c>
      <c r="I107" s="12"/>
      <c r="J107" s="12"/>
      <c r="K107" s="12"/>
      <c r="L107" s="12">
        <v>18.600000000000001</v>
      </c>
      <c r="M107" s="12">
        <f t="shared" si="23"/>
        <v>100.28</v>
      </c>
    </row>
    <row r="108" spans="1:13" x14ac:dyDescent="0.35">
      <c r="A108" s="6" t="s">
        <v>51</v>
      </c>
      <c r="B108" s="12"/>
      <c r="C108" s="12"/>
      <c r="D108" s="12"/>
      <c r="E108" s="12"/>
      <c r="F108" s="12">
        <v>0</v>
      </c>
      <c r="G108" s="12"/>
      <c r="H108" s="12"/>
      <c r="I108" s="12"/>
      <c r="J108" s="12"/>
      <c r="K108" s="12"/>
      <c r="L108" s="12"/>
      <c r="M108" s="12">
        <f t="shared" si="23"/>
        <v>0</v>
      </c>
    </row>
    <row r="109" spans="1:13" x14ac:dyDescent="0.35">
      <c r="A109" s="6" t="s">
        <v>52</v>
      </c>
      <c r="B109" s="12"/>
      <c r="C109" s="12"/>
      <c r="D109" s="12"/>
      <c r="E109" s="12"/>
      <c r="F109" s="12">
        <v>0</v>
      </c>
      <c r="G109" s="12"/>
      <c r="H109" s="12"/>
      <c r="I109" s="12"/>
      <c r="J109" s="12"/>
      <c r="K109" s="12"/>
      <c r="L109" s="12">
        <f>0.52+1.56</f>
        <v>2.08</v>
      </c>
      <c r="M109" s="12">
        <f t="shared" si="23"/>
        <v>2.08</v>
      </c>
    </row>
    <row r="110" spans="1:13" x14ac:dyDescent="0.35">
      <c r="A110" s="6" t="s">
        <v>53</v>
      </c>
      <c r="B110" s="12">
        <v>113.22999999999998</v>
      </c>
      <c r="C110" s="12">
        <v>9.08</v>
      </c>
      <c r="D110" s="12">
        <f>2.59+5.45</f>
        <v>8.0399999999999991</v>
      </c>
      <c r="E110" s="12"/>
      <c r="F110" s="12">
        <v>10.81</v>
      </c>
      <c r="G110" s="12"/>
      <c r="H110" s="12">
        <v>2.14</v>
      </c>
      <c r="I110" s="12"/>
      <c r="J110" s="12">
        <v>0.25</v>
      </c>
      <c r="K110" s="12"/>
      <c r="L110" s="12">
        <v>80.790000000000006</v>
      </c>
      <c r="M110" s="12">
        <f t="shared" si="23"/>
        <v>224.33999999999997</v>
      </c>
    </row>
    <row r="111" spans="1:13" x14ac:dyDescent="0.35">
      <c r="A111" s="6" t="s">
        <v>54</v>
      </c>
      <c r="B111" s="12">
        <v>22.63</v>
      </c>
      <c r="C111" s="12">
        <v>1.41</v>
      </c>
      <c r="D111" s="12"/>
      <c r="E111" s="12">
        <v>0.39</v>
      </c>
      <c r="F111" s="12">
        <v>0</v>
      </c>
      <c r="G111" s="12"/>
      <c r="H111" s="12">
        <f>0.2+1.19</f>
        <v>1.39</v>
      </c>
      <c r="I111" s="12">
        <v>0.14000000000000001</v>
      </c>
      <c r="J111" s="12"/>
      <c r="K111" s="12"/>
      <c r="L111" s="12">
        <v>40.299999999999997</v>
      </c>
      <c r="M111" s="12">
        <f t="shared" si="23"/>
        <v>66.259999999999991</v>
      </c>
    </row>
    <row r="112" spans="1:13" x14ac:dyDescent="0.35">
      <c r="A112" s="245" t="s">
        <v>17</v>
      </c>
      <c r="B112" s="246">
        <f t="shared" ref="B112:L112" si="24">SUM(B113:B114)</f>
        <v>556.75</v>
      </c>
      <c r="C112" s="246">
        <f t="shared" si="24"/>
        <v>58.41</v>
      </c>
      <c r="D112" s="246">
        <f t="shared" si="24"/>
        <v>3.37</v>
      </c>
      <c r="E112" s="246">
        <f t="shared" si="24"/>
        <v>36.159999999999997</v>
      </c>
      <c r="F112" s="246">
        <v>121.91</v>
      </c>
      <c r="G112" s="246">
        <f t="shared" si="24"/>
        <v>23.36</v>
      </c>
      <c r="H112" s="246">
        <f t="shared" si="24"/>
        <v>44.309999999999995</v>
      </c>
      <c r="I112" s="246">
        <f t="shared" si="24"/>
        <v>5.1400000000000006</v>
      </c>
      <c r="J112" s="246"/>
      <c r="K112" s="246"/>
      <c r="L112" s="246">
        <f t="shared" si="24"/>
        <v>84.03</v>
      </c>
      <c r="M112" s="246">
        <f t="shared" si="23"/>
        <v>933.43999999999983</v>
      </c>
    </row>
    <row r="113" spans="1:15" x14ac:dyDescent="0.35">
      <c r="A113" s="6" t="s">
        <v>55</v>
      </c>
      <c r="B113" s="12">
        <v>537.82000000000005</v>
      </c>
      <c r="C113" s="12">
        <v>58.01</v>
      </c>
      <c r="D113" s="12">
        <v>3.37</v>
      </c>
      <c r="E113" s="12">
        <v>0.79</v>
      </c>
      <c r="F113" s="12">
        <v>110.10000000000001</v>
      </c>
      <c r="G113" s="12">
        <f>11.88+11.48</f>
        <v>23.36</v>
      </c>
      <c r="H113" s="12">
        <f>15.6+27.24</f>
        <v>42.839999999999996</v>
      </c>
      <c r="I113" s="12">
        <v>2.7</v>
      </c>
      <c r="J113" s="12"/>
      <c r="K113" s="12"/>
      <c r="L113" s="12">
        <v>66.81</v>
      </c>
      <c r="M113" s="12">
        <f t="shared" si="23"/>
        <v>845.80000000000018</v>
      </c>
    </row>
    <row r="114" spans="1:15" x14ac:dyDescent="0.35">
      <c r="A114" s="6" t="s">
        <v>56</v>
      </c>
      <c r="B114" s="12">
        <v>18.93</v>
      </c>
      <c r="C114" s="12">
        <f>0.39+0.01</f>
        <v>0.4</v>
      </c>
      <c r="D114" s="12"/>
      <c r="E114" s="12">
        <v>35.369999999999997</v>
      </c>
      <c r="F114" s="12">
        <v>11.809999999999999</v>
      </c>
      <c r="G114" s="12"/>
      <c r="H114" s="12">
        <f>0.08+0.27+1.12</f>
        <v>1.4700000000000002</v>
      </c>
      <c r="I114" s="12">
        <v>2.44</v>
      </c>
      <c r="J114" s="12"/>
      <c r="K114" s="12"/>
      <c r="L114" s="12">
        <v>17.220000000000002</v>
      </c>
      <c r="M114" s="12">
        <f t="shared" si="23"/>
        <v>87.639999999999986</v>
      </c>
    </row>
    <row r="115" spans="1:15" x14ac:dyDescent="0.35">
      <c r="A115" s="245" t="s">
        <v>18</v>
      </c>
      <c r="B115" s="246">
        <v>2.63</v>
      </c>
      <c r="C115" s="246">
        <v>1.91</v>
      </c>
      <c r="D115" s="246">
        <v>0.71</v>
      </c>
      <c r="E115" s="246">
        <v>4.66</v>
      </c>
      <c r="F115" s="246">
        <v>0</v>
      </c>
      <c r="G115" s="246"/>
      <c r="H115" s="246">
        <v>4.78</v>
      </c>
      <c r="I115" s="246">
        <v>0</v>
      </c>
      <c r="J115" s="246">
        <f>J116</f>
        <v>0.61</v>
      </c>
      <c r="K115" s="246"/>
      <c r="L115" s="246">
        <f>L116</f>
        <v>137.71</v>
      </c>
      <c r="M115" s="246">
        <f t="shared" si="23"/>
        <v>153.01000000000002</v>
      </c>
    </row>
    <row r="116" spans="1:15" x14ac:dyDescent="0.35">
      <c r="A116" s="6" t="s">
        <v>18</v>
      </c>
      <c r="B116" s="12">
        <v>2.63</v>
      </c>
      <c r="C116" s="12">
        <v>1.91</v>
      </c>
      <c r="D116" s="12">
        <v>0.71</v>
      </c>
      <c r="E116" s="12">
        <v>4.66</v>
      </c>
      <c r="F116" s="12">
        <v>0</v>
      </c>
      <c r="G116" s="12"/>
      <c r="H116" s="12">
        <v>4.78</v>
      </c>
      <c r="I116" s="12"/>
      <c r="J116" s="12">
        <v>0.61</v>
      </c>
      <c r="K116" s="12"/>
      <c r="L116" s="12">
        <v>137.71</v>
      </c>
      <c r="M116" s="12">
        <f t="shared" si="23"/>
        <v>153.01000000000002</v>
      </c>
    </row>
    <row r="117" spans="1:15" x14ac:dyDescent="0.35">
      <c r="A117" s="245" t="s">
        <v>20</v>
      </c>
      <c r="B117" s="246">
        <v>23.44</v>
      </c>
      <c r="C117" s="246">
        <v>4.62</v>
      </c>
      <c r="D117" s="246">
        <v>76.569999999999993</v>
      </c>
      <c r="E117" s="246">
        <v>2.76</v>
      </c>
      <c r="F117" s="246">
        <v>0.06</v>
      </c>
      <c r="G117" s="246">
        <f>2.11+1.03</f>
        <v>3.1399999999999997</v>
      </c>
      <c r="H117" s="246">
        <v>2.0699999999999998</v>
      </c>
      <c r="I117" s="246">
        <f>0.34+0.06+1.07</f>
        <v>1.4700000000000002</v>
      </c>
      <c r="J117" s="246"/>
      <c r="K117" s="246"/>
      <c r="L117" s="246">
        <f>L118</f>
        <v>7.49</v>
      </c>
      <c r="M117" s="246">
        <f t="shared" si="23"/>
        <v>121.61999999999999</v>
      </c>
    </row>
    <row r="118" spans="1:15" x14ac:dyDescent="0.35">
      <c r="A118" s="6" t="s">
        <v>20</v>
      </c>
      <c r="B118" s="12">
        <v>23.44</v>
      </c>
      <c r="C118" s="12">
        <v>4.62</v>
      </c>
      <c r="D118" s="12">
        <v>76.569999999999993</v>
      </c>
      <c r="E118" s="12">
        <v>2.76</v>
      </c>
      <c r="F118" s="12">
        <v>0.06</v>
      </c>
      <c r="G118" s="12">
        <f>2.11+1.03</f>
        <v>3.1399999999999997</v>
      </c>
      <c r="H118" s="12">
        <v>2.0699999999999998</v>
      </c>
      <c r="I118" s="12">
        <f>0.34+0.06+1.07</f>
        <v>1.4700000000000002</v>
      </c>
      <c r="J118" s="12"/>
      <c r="K118" s="12"/>
      <c r="L118" s="12">
        <v>7.49</v>
      </c>
      <c r="M118" s="12">
        <f t="shared" si="23"/>
        <v>121.61999999999999</v>
      </c>
    </row>
    <row r="119" spans="1:15" x14ac:dyDescent="0.35">
      <c r="A119" s="245" t="s">
        <v>21</v>
      </c>
      <c r="B119" s="246">
        <v>13.26</v>
      </c>
      <c r="C119" s="246">
        <v>2.04</v>
      </c>
      <c r="D119" s="246">
        <f>5.24+1.15</f>
        <v>6.3900000000000006</v>
      </c>
      <c r="E119" s="246">
        <f>0.74+0.79</f>
        <v>1.53</v>
      </c>
      <c r="F119" s="246">
        <v>16.16</v>
      </c>
      <c r="G119" s="246"/>
      <c r="H119" s="246"/>
      <c r="I119" s="246"/>
      <c r="J119" s="246"/>
      <c r="K119" s="246"/>
      <c r="L119" s="246">
        <f>L120</f>
        <v>10.82</v>
      </c>
      <c r="M119" s="246">
        <f t="shared" si="23"/>
        <v>50.2</v>
      </c>
    </row>
    <row r="120" spans="1:15" x14ac:dyDescent="0.35">
      <c r="A120" s="6" t="s">
        <v>21</v>
      </c>
      <c r="B120" s="12">
        <v>13.26</v>
      </c>
      <c r="C120" s="12">
        <v>2.04</v>
      </c>
      <c r="D120" s="12">
        <f>5.24+1.15</f>
        <v>6.3900000000000006</v>
      </c>
      <c r="E120" s="12">
        <f>0.74+0.79</f>
        <v>1.53</v>
      </c>
      <c r="F120" s="12">
        <v>16.16</v>
      </c>
      <c r="G120" s="12"/>
      <c r="H120" s="12"/>
      <c r="I120" s="12"/>
      <c r="J120" s="12"/>
      <c r="K120" s="12"/>
      <c r="L120" s="12">
        <f>9.68+1.14</f>
        <v>10.82</v>
      </c>
      <c r="M120" s="12">
        <f t="shared" si="23"/>
        <v>50.2</v>
      </c>
    </row>
    <row r="121" spans="1:15" x14ac:dyDescent="0.35">
      <c r="A121" s="245" t="s">
        <v>22</v>
      </c>
      <c r="B121" s="246">
        <v>8185.66</v>
      </c>
      <c r="C121" s="246">
        <v>7833.43</v>
      </c>
      <c r="D121" s="246">
        <v>1541.84</v>
      </c>
      <c r="E121" s="246">
        <v>1846.3799999999994</v>
      </c>
      <c r="F121" s="246">
        <v>1662.5400000000004</v>
      </c>
      <c r="G121" s="246">
        <v>1505.7299999999996</v>
      </c>
      <c r="H121" s="246">
        <v>151.15</v>
      </c>
      <c r="I121" s="246">
        <v>814.42999999999972</v>
      </c>
      <c r="J121" s="246">
        <f>J122</f>
        <v>605.93000000000006</v>
      </c>
      <c r="K121" s="246"/>
      <c r="L121" s="246">
        <f>L122</f>
        <v>4396.92</v>
      </c>
      <c r="M121" s="246">
        <f t="shared" si="23"/>
        <v>28544.010000000002</v>
      </c>
    </row>
    <row r="122" spans="1:15" x14ac:dyDescent="0.35">
      <c r="A122" s="6" t="s">
        <v>22</v>
      </c>
      <c r="B122" s="12">
        <v>8185.66</v>
      </c>
      <c r="C122" s="12">
        <v>7833.43</v>
      </c>
      <c r="D122" s="12">
        <v>1541.84</v>
      </c>
      <c r="E122" s="12">
        <v>1846.3799999999994</v>
      </c>
      <c r="F122" s="12">
        <v>1662.5400000000004</v>
      </c>
      <c r="G122" s="12">
        <v>1505.7299999999996</v>
      </c>
      <c r="H122" s="12">
        <v>151.15</v>
      </c>
      <c r="I122" s="12">
        <v>814.42999999999972</v>
      </c>
      <c r="J122" s="12">
        <v>605.93000000000006</v>
      </c>
      <c r="K122" s="12"/>
      <c r="L122" s="12">
        <v>4396.92</v>
      </c>
      <c r="M122" s="12">
        <f t="shared" si="23"/>
        <v>28544.010000000002</v>
      </c>
    </row>
    <row r="123" spans="1:15" x14ac:dyDescent="0.35">
      <c r="A123" s="245" t="s">
        <v>23</v>
      </c>
      <c r="B123" s="246">
        <v>8.09</v>
      </c>
      <c r="C123" s="246">
        <v>0.25</v>
      </c>
      <c r="D123" s="246">
        <v>51.23</v>
      </c>
      <c r="E123" s="246">
        <v>13.56</v>
      </c>
      <c r="F123" s="246">
        <v>14.07</v>
      </c>
      <c r="G123" s="246">
        <v>23.1</v>
      </c>
      <c r="H123" s="246"/>
      <c r="I123" s="246">
        <v>0.14000000000000001</v>
      </c>
      <c r="J123" s="246">
        <f>J124</f>
        <v>31.5</v>
      </c>
      <c r="K123" s="246"/>
      <c r="L123" s="246">
        <f>L124</f>
        <v>9.2899999999999991</v>
      </c>
      <c r="M123" s="246">
        <f t="shared" si="23"/>
        <v>151.22999999999999</v>
      </c>
    </row>
    <row r="124" spans="1:15" x14ac:dyDescent="0.35">
      <c r="A124" s="6" t="s">
        <v>23</v>
      </c>
      <c r="B124" s="12">
        <v>8.09</v>
      </c>
      <c r="C124" s="12">
        <v>0.25</v>
      </c>
      <c r="D124" s="12">
        <v>51.23</v>
      </c>
      <c r="E124" s="12">
        <v>13.56</v>
      </c>
      <c r="F124" s="12">
        <v>14.07</v>
      </c>
      <c r="G124" s="12">
        <v>23.1</v>
      </c>
      <c r="H124" s="12"/>
      <c r="I124" s="12">
        <v>0.14000000000000001</v>
      </c>
      <c r="J124" s="12">
        <v>31.5</v>
      </c>
      <c r="K124" s="12"/>
      <c r="L124" s="12">
        <v>9.2899999999999991</v>
      </c>
      <c r="M124" s="12">
        <f t="shared" si="23"/>
        <v>151.22999999999999</v>
      </c>
      <c r="O124" s="141"/>
    </row>
    <row r="125" spans="1:15" x14ac:dyDescent="0.35">
      <c r="A125" s="245" t="s">
        <v>76</v>
      </c>
      <c r="B125" s="246"/>
      <c r="C125" s="246"/>
      <c r="D125" s="246"/>
      <c r="E125" s="246"/>
      <c r="F125" s="246">
        <v>0</v>
      </c>
      <c r="G125" s="246"/>
      <c r="H125" s="246"/>
      <c r="I125" s="246"/>
      <c r="J125" s="246"/>
      <c r="K125" s="246"/>
      <c r="L125" s="246"/>
      <c r="M125" s="246">
        <f t="shared" si="23"/>
        <v>0</v>
      </c>
    </row>
    <row r="126" spans="1:15" x14ac:dyDescent="0.35">
      <c r="A126" s="257" t="s">
        <v>59</v>
      </c>
      <c r="B126" s="252"/>
      <c r="C126" s="252"/>
      <c r="D126" s="252"/>
      <c r="E126" s="252"/>
      <c r="F126" s="252">
        <v>0</v>
      </c>
      <c r="G126" s="252"/>
      <c r="H126" s="247"/>
      <c r="I126" s="247"/>
      <c r="J126" s="247"/>
      <c r="K126" s="252"/>
      <c r="L126" s="252"/>
      <c r="M126" s="252">
        <f t="shared" si="23"/>
        <v>0</v>
      </c>
    </row>
    <row r="127" spans="1:15" ht="15.5" x14ac:dyDescent="0.35">
      <c r="A127" s="258" t="s">
        <v>25</v>
      </c>
      <c r="B127" s="251">
        <f>SUM(B74,B83,B87,B91,B96,B102,B112,B115,B117,B119,B121,B123,B125)</f>
        <v>39202.640000000007</v>
      </c>
      <c r="C127" s="251">
        <f t="shared" ref="C127:M127" si="25">SUM(C74,C83,C87,C91,C96,C102,C112,C115,C117,C119,C121,C123,C125)</f>
        <v>18021.810000000001</v>
      </c>
      <c r="D127" s="253">
        <f t="shared" si="25"/>
        <v>8676.8599999999969</v>
      </c>
      <c r="E127" s="255">
        <f t="shared" si="25"/>
        <v>6081.5399999999991</v>
      </c>
      <c r="F127" s="251">
        <v>12011.639999999998</v>
      </c>
      <c r="G127" s="256">
        <f t="shared" si="25"/>
        <v>4571.4799999999996</v>
      </c>
      <c r="H127" s="249">
        <f t="shared" si="25"/>
        <v>3084.3700000000003</v>
      </c>
      <c r="I127" s="248">
        <f t="shared" si="25"/>
        <v>1845.43</v>
      </c>
      <c r="J127" s="250">
        <f t="shared" si="25"/>
        <v>1869.38</v>
      </c>
      <c r="K127" s="251">
        <f t="shared" si="25"/>
        <v>0</v>
      </c>
      <c r="L127" s="253">
        <f t="shared" si="25"/>
        <v>14383.639999999998</v>
      </c>
      <c r="M127" s="254">
        <f t="shared" si="25"/>
        <v>109748.79</v>
      </c>
    </row>
    <row r="128" spans="1:15" x14ac:dyDescent="0.35">
      <c r="L128" s="190"/>
    </row>
    <row r="130" spans="1:13" ht="15.5" x14ac:dyDescent="0.35">
      <c r="A130" s="239"/>
      <c r="B130" s="239"/>
    </row>
    <row r="131" spans="1:13" ht="15.5" x14ac:dyDescent="0.35">
      <c r="A131" s="238" t="s">
        <v>109</v>
      </c>
    </row>
    <row r="132" spans="1:13" ht="15" customHeight="1" x14ac:dyDescent="0.35">
      <c r="A132" s="703" t="s">
        <v>88</v>
      </c>
      <c r="B132" s="705" t="s">
        <v>113</v>
      </c>
      <c r="C132" s="705"/>
      <c r="D132" s="705"/>
      <c r="E132" s="705"/>
      <c r="F132" s="705"/>
      <c r="G132" s="705"/>
      <c r="H132" s="705"/>
      <c r="I132" s="705"/>
      <c r="J132" s="705"/>
      <c r="K132" s="705"/>
      <c r="L132" s="705"/>
      <c r="M132" s="705"/>
    </row>
    <row r="133" spans="1:13" ht="30" customHeight="1" x14ac:dyDescent="0.35">
      <c r="A133" s="704"/>
      <c r="B133" s="244" t="s">
        <v>114</v>
      </c>
      <c r="C133" s="244" t="s">
        <v>115</v>
      </c>
      <c r="D133" s="244" t="s">
        <v>116</v>
      </c>
      <c r="E133" s="244" t="s">
        <v>117</v>
      </c>
      <c r="F133" s="243" t="s">
        <v>315</v>
      </c>
      <c r="G133" s="244" t="s">
        <v>118</v>
      </c>
      <c r="H133" s="244" t="s">
        <v>119</v>
      </c>
      <c r="I133" s="244" t="s">
        <v>120</v>
      </c>
      <c r="J133" s="244" t="s">
        <v>121</v>
      </c>
      <c r="K133" s="244" t="s">
        <v>122</v>
      </c>
      <c r="L133" s="244" t="s">
        <v>123</v>
      </c>
      <c r="M133" s="244" t="s">
        <v>124</v>
      </c>
    </row>
    <row r="134" spans="1:13" x14ac:dyDescent="0.35">
      <c r="A134" s="245" t="s">
        <v>5</v>
      </c>
      <c r="B134" s="246">
        <v>36216.090000000047</v>
      </c>
      <c r="C134" s="246">
        <v>25154.450000000063</v>
      </c>
      <c r="D134" s="246">
        <v>6784.7000000000035</v>
      </c>
      <c r="E134" s="246">
        <v>10793.81</v>
      </c>
      <c r="F134" s="246">
        <v>11283.730000000001</v>
      </c>
      <c r="G134" s="246">
        <v>6053.83</v>
      </c>
      <c r="H134" s="246">
        <v>1493.4299999999998</v>
      </c>
      <c r="I134" s="246">
        <v>1647.559999999999</v>
      </c>
      <c r="J134" s="246">
        <v>655.57999999999981</v>
      </c>
      <c r="K134" s="246"/>
      <c r="L134" s="246">
        <v>8330.1600000000035</v>
      </c>
      <c r="M134" s="246">
        <v>110581.79000000005</v>
      </c>
    </row>
    <row r="135" spans="1:13" x14ac:dyDescent="0.35">
      <c r="A135" s="5" t="s">
        <v>6</v>
      </c>
      <c r="B135" s="12">
        <v>11914.660000000007</v>
      </c>
      <c r="C135" s="12">
        <v>9107.9000000000051</v>
      </c>
      <c r="D135" s="12">
        <v>2137.1599999999994</v>
      </c>
      <c r="E135" s="12">
        <v>5956.65</v>
      </c>
      <c r="F135" s="12">
        <v>1749.0099999999995</v>
      </c>
      <c r="G135" s="12">
        <v>1401.9900000000009</v>
      </c>
      <c r="H135" s="12">
        <v>314.03000000000003</v>
      </c>
      <c r="I135" s="12">
        <v>533.52</v>
      </c>
      <c r="J135" s="12">
        <v>78.36</v>
      </c>
      <c r="K135" s="12"/>
      <c r="L135" s="12"/>
      <c r="M135" s="12">
        <v>35361.730000000054</v>
      </c>
    </row>
    <row r="136" spans="1:13" x14ac:dyDescent="0.35">
      <c r="A136" s="6" t="s">
        <v>7</v>
      </c>
      <c r="B136" s="12">
        <v>77.430000000000021</v>
      </c>
      <c r="C136" s="12">
        <v>0.05</v>
      </c>
      <c r="D136" s="12"/>
      <c r="E136" s="12">
        <v>16.43</v>
      </c>
      <c r="F136" s="12">
        <v>709.52000000000021</v>
      </c>
      <c r="G136" s="12">
        <v>5.23</v>
      </c>
      <c r="H136" s="12">
        <v>0.26999999999999957</v>
      </c>
      <c r="I136" s="12">
        <v>7.82</v>
      </c>
      <c r="J136" s="12"/>
      <c r="K136" s="12"/>
      <c r="L136" s="12">
        <v>201.75</v>
      </c>
      <c r="M136" s="12">
        <v>1018.5000000000003</v>
      </c>
    </row>
    <row r="137" spans="1:13" x14ac:dyDescent="0.35">
      <c r="A137" s="6" t="s">
        <v>8</v>
      </c>
      <c r="B137" s="12">
        <v>339.63999999999993</v>
      </c>
      <c r="C137" s="12">
        <v>10.910000000000004</v>
      </c>
      <c r="D137" s="12">
        <v>104</v>
      </c>
      <c r="E137" s="12">
        <v>128.84</v>
      </c>
      <c r="F137" s="12">
        <v>2929.83</v>
      </c>
      <c r="G137" s="12">
        <v>1.5999999999999996</v>
      </c>
      <c r="H137" s="12">
        <v>5.96</v>
      </c>
      <c r="I137" s="12">
        <v>7.870000000000001</v>
      </c>
      <c r="J137" s="12">
        <v>1.44</v>
      </c>
      <c r="K137" s="12"/>
      <c r="L137" s="12">
        <v>1251.1500000000001</v>
      </c>
      <c r="M137" s="12">
        <v>4781.24</v>
      </c>
    </row>
    <row r="138" spans="1:13" x14ac:dyDescent="0.35">
      <c r="A138" s="6" t="s">
        <v>26</v>
      </c>
      <c r="B138" s="12">
        <v>22178.940000000031</v>
      </c>
      <c r="C138" s="12">
        <v>12584.130000000056</v>
      </c>
      <c r="D138" s="12">
        <v>4309.7500000000036</v>
      </c>
      <c r="E138" s="12">
        <v>2742.02</v>
      </c>
      <c r="F138" s="12">
        <v>2540.510000000002</v>
      </c>
      <c r="G138" s="12">
        <v>4323.74</v>
      </c>
      <c r="H138" s="12">
        <v>899.67999999999961</v>
      </c>
      <c r="I138" s="12">
        <v>971.55999999999892</v>
      </c>
      <c r="J138" s="12">
        <v>495.50999999999988</v>
      </c>
      <c r="K138" s="12"/>
      <c r="L138" s="12">
        <v>5271.2500000000027</v>
      </c>
      <c r="M138" s="12">
        <v>56317.090000000004</v>
      </c>
    </row>
    <row r="139" spans="1:13" x14ac:dyDescent="0.35">
      <c r="A139" s="6" t="s">
        <v>27</v>
      </c>
      <c r="B139" s="12">
        <v>5.5100000000000007</v>
      </c>
      <c r="C139" s="12">
        <v>25.990000000000002</v>
      </c>
      <c r="D139" s="12">
        <v>0.37</v>
      </c>
      <c r="E139" s="12">
        <v>55.63</v>
      </c>
      <c r="F139" s="12">
        <v>266.36</v>
      </c>
      <c r="G139" s="12">
        <v>3.66</v>
      </c>
      <c r="H139" s="12">
        <v>22.22</v>
      </c>
      <c r="I139" s="12">
        <v>0.86</v>
      </c>
      <c r="J139" s="12">
        <v>0.77</v>
      </c>
      <c r="K139" s="12"/>
      <c r="L139" s="12">
        <v>268.49</v>
      </c>
      <c r="M139" s="12">
        <v>649.86</v>
      </c>
    </row>
    <row r="140" spans="1:13" x14ac:dyDescent="0.35">
      <c r="A140" s="6" t="s">
        <v>28</v>
      </c>
      <c r="B140" s="12">
        <v>1248.4800000000005</v>
      </c>
      <c r="C140" s="12">
        <v>323.30999999999983</v>
      </c>
      <c r="D140" s="12">
        <v>151.53999999999996</v>
      </c>
      <c r="E140" s="12">
        <v>209.70000000000002</v>
      </c>
      <c r="F140" s="12">
        <v>363.49</v>
      </c>
      <c r="G140" s="12">
        <v>45.09</v>
      </c>
      <c r="H140" s="12">
        <v>16.169999999999995</v>
      </c>
      <c r="I140" s="12">
        <v>97.64</v>
      </c>
      <c r="J140" s="12">
        <v>36.380000000000003</v>
      </c>
      <c r="K140" s="12"/>
      <c r="L140" s="12">
        <v>325.68999999999983</v>
      </c>
      <c r="M140" s="12">
        <v>2817.4899999999993</v>
      </c>
    </row>
    <row r="141" spans="1:13" x14ac:dyDescent="0.35">
      <c r="A141" s="6" t="s">
        <v>29</v>
      </c>
      <c r="B141" s="12">
        <v>250.15000000000003</v>
      </c>
      <c r="C141" s="12">
        <v>3095.8199999999993</v>
      </c>
      <c r="D141" s="12">
        <v>81.88000000000001</v>
      </c>
      <c r="E141" s="12">
        <v>1643.8</v>
      </c>
      <c r="F141" s="12">
        <v>418.98</v>
      </c>
      <c r="G141" s="12">
        <v>63.440000000000005</v>
      </c>
      <c r="H141" s="12">
        <v>21.46</v>
      </c>
      <c r="I141" s="12">
        <v>28.27</v>
      </c>
      <c r="J141" s="12">
        <v>42.339999999999996</v>
      </c>
      <c r="K141" s="12"/>
      <c r="L141" s="12">
        <v>335.12</v>
      </c>
      <c r="M141" s="12">
        <v>5981.26</v>
      </c>
    </row>
    <row r="142" spans="1:13" x14ac:dyDescent="0.35">
      <c r="A142" s="6" t="s">
        <v>30</v>
      </c>
      <c r="B142" s="12">
        <v>201.27999999999997</v>
      </c>
      <c r="C142" s="12">
        <v>6.34</v>
      </c>
      <c r="D142" s="12"/>
      <c r="E142" s="12">
        <v>40.739999999999995</v>
      </c>
      <c r="F142" s="12">
        <v>2306.0300000000002</v>
      </c>
      <c r="G142" s="12">
        <v>209.08</v>
      </c>
      <c r="H142" s="12">
        <v>213.64</v>
      </c>
      <c r="I142" s="12">
        <v>0.02</v>
      </c>
      <c r="J142" s="12">
        <v>0.78</v>
      </c>
      <c r="K142" s="12"/>
      <c r="L142" s="12">
        <v>676.71000000000038</v>
      </c>
      <c r="M142" s="12">
        <v>3654.6200000000003</v>
      </c>
    </row>
    <row r="143" spans="1:13" x14ac:dyDescent="0.35">
      <c r="A143" s="245" t="s">
        <v>12</v>
      </c>
      <c r="B143" s="246">
        <v>17500.080000000045</v>
      </c>
      <c r="C143" s="246">
        <v>8408.5300000000079</v>
      </c>
      <c r="D143" s="246">
        <v>13421.619999999999</v>
      </c>
      <c r="E143" s="246">
        <v>2544.92</v>
      </c>
      <c r="F143" s="246">
        <v>1352.04</v>
      </c>
      <c r="G143" s="246">
        <v>1974.79</v>
      </c>
      <c r="H143" s="246">
        <v>953.66999999999985</v>
      </c>
      <c r="I143" s="246">
        <v>634.69000000000005</v>
      </c>
      <c r="J143" s="246">
        <v>1199.74</v>
      </c>
      <c r="K143" s="246">
        <v>1.67</v>
      </c>
      <c r="L143" s="246">
        <v>4359.7700000000041</v>
      </c>
      <c r="M143" s="246">
        <v>52351.520000000055</v>
      </c>
    </row>
    <row r="144" spans="1:13" x14ac:dyDescent="0.35">
      <c r="A144" s="6" t="s">
        <v>31</v>
      </c>
      <c r="B144" s="12">
        <v>1371.1699999999998</v>
      </c>
      <c r="C144" s="12">
        <v>307.36</v>
      </c>
      <c r="D144" s="12">
        <v>3056.68</v>
      </c>
      <c r="E144" s="12">
        <v>727.83</v>
      </c>
      <c r="F144" s="12">
        <v>353.12</v>
      </c>
      <c r="G144" s="12">
        <v>738.52</v>
      </c>
      <c r="H144" s="12">
        <v>520.89</v>
      </c>
      <c r="I144" s="12">
        <v>199.17000000000002</v>
      </c>
      <c r="J144" s="12">
        <v>101.30000000000001</v>
      </c>
      <c r="K144" s="12">
        <v>0.51</v>
      </c>
      <c r="L144" s="12">
        <v>1075.7100000000007</v>
      </c>
      <c r="M144" s="12">
        <v>8452.260000000002</v>
      </c>
    </row>
    <row r="145" spans="1:13" x14ac:dyDescent="0.35">
      <c r="A145" s="6" t="s">
        <v>32</v>
      </c>
      <c r="B145" s="12">
        <v>2446.8200000000033</v>
      </c>
      <c r="C145" s="12">
        <v>4810.0900000000083</v>
      </c>
      <c r="D145" s="12">
        <v>4793.0199999999995</v>
      </c>
      <c r="E145" s="12">
        <v>1001.33</v>
      </c>
      <c r="F145" s="12">
        <v>74.210000000000008</v>
      </c>
      <c r="G145" s="12">
        <v>303.60000000000002</v>
      </c>
      <c r="H145" s="12">
        <v>181.24</v>
      </c>
      <c r="I145" s="12">
        <v>60.389999999999993</v>
      </c>
      <c r="J145" s="12">
        <v>253.80999999999986</v>
      </c>
      <c r="K145" s="12"/>
      <c r="L145" s="12">
        <v>726.95999999999992</v>
      </c>
      <c r="M145" s="12">
        <v>14651.470000000016</v>
      </c>
    </row>
    <row r="146" spans="1:13" x14ac:dyDescent="0.35">
      <c r="A146" s="6" t="s">
        <v>33</v>
      </c>
      <c r="B146" s="12">
        <v>13682.090000000042</v>
      </c>
      <c r="C146" s="12">
        <v>3291.08</v>
      </c>
      <c r="D146" s="12">
        <v>5571.92</v>
      </c>
      <c r="E146" s="12">
        <v>815.76</v>
      </c>
      <c r="F146" s="12">
        <v>924.70999999999992</v>
      </c>
      <c r="G146" s="12">
        <v>932.67000000000007</v>
      </c>
      <c r="H146" s="12">
        <v>251.54000000000002</v>
      </c>
      <c r="I146" s="12">
        <v>375.13</v>
      </c>
      <c r="J146" s="12">
        <v>844.63000000000011</v>
      </c>
      <c r="K146" s="12">
        <v>1.1599999999999999</v>
      </c>
      <c r="L146" s="12">
        <v>2557.1000000000031</v>
      </c>
      <c r="M146" s="12">
        <v>29247.790000000055</v>
      </c>
    </row>
    <row r="147" spans="1:13" x14ac:dyDescent="0.35">
      <c r="A147" s="245" t="s">
        <v>13</v>
      </c>
      <c r="B147" s="246">
        <v>3589.6800000000048</v>
      </c>
      <c r="C147" s="246">
        <v>7537.19</v>
      </c>
      <c r="D147" s="246">
        <v>5688.9400000000005</v>
      </c>
      <c r="E147" s="246">
        <v>15549.829999999994</v>
      </c>
      <c r="F147" s="246">
        <v>1670.7699999999995</v>
      </c>
      <c r="G147" s="246">
        <v>1286.0700000000006</v>
      </c>
      <c r="H147" s="246">
        <v>919.7199999999998</v>
      </c>
      <c r="I147" s="246">
        <v>656.31000000000006</v>
      </c>
      <c r="J147" s="246">
        <v>2633.4400000000028</v>
      </c>
      <c r="K147" s="246"/>
      <c r="L147" s="246">
        <v>4006.59</v>
      </c>
      <c r="M147" s="246">
        <v>43538.539999999994</v>
      </c>
    </row>
    <row r="148" spans="1:13" x14ac:dyDescent="0.35">
      <c r="A148" s="6" t="s">
        <v>34</v>
      </c>
      <c r="B148" s="12">
        <v>1434.1900000000037</v>
      </c>
      <c r="C148" s="12">
        <v>3680.5899999999997</v>
      </c>
      <c r="D148" s="12">
        <v>183.28</v>
      </c>
      <c r="E148" s="12">
        <v>1282.69</v>
      </c>
      <c r="F148" s="12">
        <v>61.910000000000018</v>
      </c>
      <c r="G148" s="12">
        <v>215.94</v>
      </c>
      <c r="H148" s="12">
        <v>61.53</v>
      </c>
      <c r="I148" s="12">
        <v>75.77000000000001</v>
      </c>
      <c r="J148" s="12">
        <v>339.24000000000029</v>
      </c>
      <c r="K148" s="12"/>
      <c r="L148" s="12">
        <v>1163.9199999999998</v>
      </c>
      <c r="M148" s="12">
        <v>8499.0600000000031</v>
      </c>
    </row>
    <row r="149" spans="1:13" x14ac:dyDescent="0.35">
      <c r="A149" s="6" t="s">
        <v>35</v>
      </c>
      <c r="B149" s="12">
        <v>147.07000000000016</v>
      </c>
      <c r="C149" s="12">
        <v>2208.6799999999998</v>
      </c>
      <c r="D149" s="12">
        <v>112.19000000000001</v>
      </c>
      <c r="E149" s="12">
        <v>10433.079999999994</v>
      </c>
      <c r="F149" s="12">
        <v>137.12</v>
      </c>
      <c r="G149" s="12">
        <v>85.679999999999993</v>
      </c>
      <c r="H149" s="12">
        <v>155.9</v>
      </c>
      <c r="I149" s="12">
        <v>116.33</v>
      </c>
      <c r="J149" s="12">
        <v>870.97000000000082</v>
      </c>
      <c r="K149" s="12"/>
      <c r="L149" s="12">
        <v>1917.5700000000004</v>
      </c>
      <c r="M149" s="12">
        <v>16184.589999999998</v>
      </c>
    </row>
    <row r="150" spans="1:13" x14ac:dyDescent="0.35">
      <c r="A150" s="6" t="s">
        <v>36</v>
      </c>
      <c r="B150" s="12">
        <v>2008.420000000001</v>
      </c>
      <c r="C150" s="12">
        <v>1647.92</v>
      </c>
      <c r="D150" s="12">
        <v>5393.47</v>
      </c>
      <c r="E150" s="12">
        <v>3834.06</v>
      </c>
      <c r="F150" s="12">
        <v>1471.7399999999996</v>
      </c>
      <c r="G150" s="12">
        <v>984.45000000000061</v>
      </c>
      <c r="H150" s="12">
        <v>702.29</v>
      </c>
      <c r="I150" s="12">
        <v>464.21000000000004</v>
      </c>
      <c r="J150" s="12">
        <v>1423.2300000000016</v>
      </c>
      <c r="K150" s="12"/>
      <c r="L150" s="12">
        <v>925.09999999999957</v>
      </c>
      <c r="M150" s="12">
        <v>18854.890000000003</v>
      </c>
    </row>
    <row r="151" spans="1:13" x14ac:dyDescent="0.35">
      <c r="A151" s="245" t="s">
        <v>14</v>
      </c>
      <c r="B151" s="246">
        <v>298.9799999999999</v>
      </c>
      <c r="C151" s="246">
        <v>9164.1999999999989</v>
      </c>
      <c r="D151" s="246">
        <v>5748.1200000000008</v>
      </c>
      <c r="E151" s="246">
        <v>2303.9999999999995</v>
      </c>
      <c r="F151" s="246">
        <v>93.91</v>
      </c>
      <c r="G151" s="246">
        <v>753.3599999999999</v>
      </c>
      <c r="H151" s="246">
        <v>398.10999999999996</v>
      </c>
      <c r="I151" s="246">
        <v>130.27999999999997</v>
      </c>
      <c r="J151" s="246">
        <v>347.4</v>
      </c>
      <c r="K151" s="246"/>
      <c r="L151" s="246">
        <v>945.00000000000045</v>
      </c>
      <c r="M151" s="246">
        <v>20183.360000000004</v>
      </c>
    </row>
    <row r="152" spans="1:13" x14ac:dyDescent="0.35">
      <c r="A152" s="6" t="s">
        <v>37</v>
      </c>
      <c r="B152" s="12">
        <v>4.3599999999999994</v>
      </c>
      <c r="C152" s="12">
        <v>80.62</v>
      </c>
      <c r="D152" s="12">
        <v>253.02999999999997</v>
      </c>
      <c r="E152" s="12">
        <v>42.89</v>
      </c>
      <c r="F152" s="12">
        <v>0</v>
      </c>
      <c r="G152" s="12">
        <v>13.379999999999999</v>
      </c>
      <c r="H152" s="12">
        <v>1.1200000000000001</v>
      </c>
      <c r="I152" s="12">
        <v>6.01</v>
      </c>
      <c r="J152" s="12">
        <v>3.0799999999999996</v>
      </c>
      <c r="K152" s="12"/>
      <c r="L152" s="12">
        <v>11.620000000000001</v>
      </c>
      <c r="M152" s="12">
        <v>416.11</v>
      </c>
    </row>
    <row r="153" spans="1:13" x14ac:dyDescent="0.35">
      <c r="A153" s="6" t="s">
        <v>38</v>
      </c>
      <c r="B153" s="12">
        <v>0.71</v>
      </c>
      <c r="C153" s="12">
        <v>1.3699999999999999</v>
      </c>
      <c r="D153" s="12">
        <v>0.35</v>
      </c>
      <c r="E153" s="12">
        <v>3.12</v>
      </c>
      <c r="F153" s="12">
        <v>9.0000000000000024E-2</v>
      </c>
      <c r="G153" s="12">
        <v>0.18</v>
      </c>
      <c r="H153" s="12">
        <v>0.35999999999999988</v>
      </c>
      <c r="I153" s="12"/>
      <c r="J153" s="12"/>
      <c r="K153" s="12"/>
      <c r="L153" s="12">
        <v>0.5</v>
      </c>
      <c r="M153" s="12">
        <v>6.6800000000000015</v>
      </c>
    </row>
    <row r="154" spans="1:13" x14ac:dyDescent="0.35">
      <c r="A154" s="6" t="s">
        <v>39</v>
      </c>
      <c r="B154" s="12">
        <v>154.2999999999999</v>
      </c>
      <c r="C154" s="12">
        <v>3666.04</v>
      </c>
      <c r="D154" s="12">
        <v>4525.8100000000004</v>
      </c>
      <c r="E154" s="12">
        <v>465.2</v>
      </c>
      <c r="F154" s="12">
        <v>66.27</v>
      </c>
      <c r="G154" s="12">
        <v>238.06</v>
      </c>
      <c r="H154" s="12">
        <v>165.70999999999998</v>
      </c>
      <c r="I154" s="12">
        <v>111.78999999999998</v>
      </c>
      <c r="J154" s="12">
        <v>92.420000000000044</v>
      </c>
      <c r="K154" s="12"/>
      <c r="L154" s="12">
        <v>272.46000000000015</v>
      </c>
      <c r="M154" s="12">
        <v>9758.0600000000013</v>
      </c>
    </row>
    <row r="155" spans="1:13" x14ac:dyDescent="0.35">
      <c r="A155" s="6" t="s">
        <v>40</v>
      </c>
      <c r="B155" s="12">
        <v>139.60999999999996</v>
      </c>
      <c r="C155" s="12">
        <v>5416.17</v>
      </c>
      <c r="D155" s="12">
        <v>968.92999999999984</v>
      </c>
      <c r="E155" s="12">
        <v>1792.79</v>
      </c>
      <c r="F155" s="12">
        <v>27.55</v>
      </c>
      <c r="G155" s="12">
        <v>501.73999999999995</v>
      </c>
      <c r="H155" s="12">
        <v>230.92</v>
      </c>
      <c r="I155" s="12">
        <v>12.48</v>
      </c>
      <c r="J155" s="12">
        <v>251.89999999999995</v>
      </c>
      <c r="K155" s="12"/>
      <c r="L155" s="12">
        <v>660.4200000000003</v>
      </c>
      <c r="M155" s="12">
        <v>10002.51</v>
      </c>
    </row>
    <row r="156" spans="1:13" x14ac:dyDescent="0.35">
      <c r="A156" s="245" t="s">
        <v>15</v>
      </c>
      <c r="B156" s="246">
        <v>38390.37000000001</v>
      </c>
      <c r="C156" s="246">
        <v>6649.83</v>
      </c>
      <c r="D156" s="246">
        <v>9033.5500000000029</v>
      </c>
      <c r="E156" s="246">
        <v>2655.9599999999996</v>
      </c>
      <c r="F156" s="246">
        <v>18869.639999999985</v>
      </c>
      <c r="G156" s="246">
        <v>1461.8200000000002</v>
      </c>
      <c r="H156" s="246">
        <v>6314.8399999999983</v>
      </c>
      <c r="I156" s="246">
        <v>1931.5499999999993</v>
      </c>
      <c r="J156" s="246">
        <v>1865.8799999999992</v>
      </c>
      <c r="K156" s="246"/>
      <c r="L156" s="246">
        <v>16047.410000000002</v>
      </c>
      <c r="M156" s="246">
        <v>103220.85</v>
      </c>
    </row>
    <row r="157" spans="1:13" x14ac:dyDescent="0.35">
      <c r="A157" s="6" t="s">
        <v>41</v>
      </c>
      <c r="B157" s="12">
        <v>21206.519999999997</v>
      </c>
      <c r="C157" s="12">
        <v>4025.8199999999997</v>
      </c>
      <c r="D157" s="12">
        <v>4458.8900000000003</v>
      </c>
      <c r="E157" s="12">
        <v>1848.46</v>
      </c>
      <c r="F157" s="12">
        <v>10209.479999999994</v>
      </c>
      <c r="G157" s="12">
        <v>1082.47</v>
      </c>
      <c r="H157" s="12">
        <v>1411.74</v>
      </c>
      <c r="I157" s="12">
        <v>995.6500000000002</v>
      </c>
      <c r="J157" s="12">
        <v>959.1799999999995</v>
      </c>
      <c r="K157" s="12"/>
      <c r="L157" s="12">
        <v>6880.3499999999958</v>
      </c>
      <c r="M157" s="12">
        <v>53078.559999999998</v>
      </c>
    </row>
    <row r="158" spans="1:13" x14ac:dyDescent="0.35">
      <c r="A158" s="6" t="s">
        <v>42</v>
      </c>
      <c r="B158" s="12">
        <v>5059.46</v>
      </c>
      <c r="C158" s="12">
        <v>785.54</v>
      </c>
      <c r="D158" s="12">
        <v>282.77</v>
      </c>
      <c r="E158" s="12">
        <v>215.76</v>
      </c>
      <c r="F158" s="12">
        <v>2447.4899999999989</v>
      </c>
      <c r="G158" s="12">
        <v>60.810000000000009</v>
      </c>
      <c r="H158" s="12">
        <v>780.38999999999987</v>
      </c>
      <c r="I158" s="12">
        <v>33.78</v>
      </c>
      <c r="J158" s="12">
        <v>106.97000000000003</v>
      </c>
      <c r="K158" s="12"/>
      <c r="L158" s="12">
        <v>2340.0599999999995</v>
      </c>
      <c r="M158" s="12">
        <v>12113.029999999999</v>
      </c>
    </row>
    <row r="159" spans="1:13" x14ac:dyDescent="0.35">
      <c r="A159" s="6" t="s">
        <v>43</v>
      </c>
      <c r="B159" s="12">
        <v>4929.569999999997</v>
      </c>
      <c r="C159" s="12">
        <v>1182.33</v>
      </c>
      <c r="D159" s="12">
        <v>3799.2599999999998</v>
      </c>
      <c r="E159" s="12">
        <v>205.89000000000001</v>
      </c>
      <c r="F159" s="12">
        <v>4034.0499999999938</v>
      </c>
      <c r="G159" s="12">
        <v>171.56</v>
      </c>
      <c r="H159" s="12">
        <v>1973.93</v>
      </c>
      <c r="I159" s="12">
        <v>821.81999999999914</v>
      </c>
      <c r="J159" s="12">
        <v>409.3499999999998</v>
      </c>
      <c r="K159" s="12"/>
      <c r="L159" s="12">
        <v>3864.6799999999985</v>
      </c>
      <c r="M159" s="12">
        <v>21392.439999999988</v>
      </c>
    </row>
    <row r="160" spans="1:13" x14ac:dyDescent="0.35">
      <c r="A160" s="6" t="s">
        <v>44</v>
      </c>
      <c r="B160" s="12">
        <v>88.179999999999993</v>
      </c>
      <c r="C160" s="12">
        <v>26.359999999999996</v>
      </c>
      <c r="D160" s="12">
        <v>8.7899999999999991</v>
      </c>
      <c r="E160" s="12">
        <v>39.81</v>
      </c>
      <c r="F160" s="12">
        <v>44.9</v>
      </c>
      <c r="G160" s="12">
        <v>0.82</v>
      </c>
      <c r="H160" s="12">
        <v>3.99</v>
      </c>
      <c r="I160" s="12">
        <v>2.7899999999999996</v>
      </c>
      <c r="J160" s="12">
        <v>1.42</v>
      </c>
      <c r="K160" s="12"/>
      <c r="L160" s="12">
        <v>159.91</v>
      </c>
      <c r="M160" s="12">
        <v>376.96999999999997</v>
      </c>
    </row>
    <row r="161" spans="1:15" x14ac:dyDescent="0.35">
      <c r="A161" s="6" t="s">
        <v>45</v>
      </c>
      <c r="B161" s="12">
        <v>7106.6400000000122</v>
      </c>
      <c r="C161" s="12">
        <v>629.78000000000009</v>
      </c>
      <c r="D161" s="12">
        <v>483.84000000000003</v>
      </c>
      <c r="E161" s="12">
        <v>346.03999999999996</v>
      </c>
      <c r="F161" s="12">
        <v>2133.7200000000016</v>
      </c>
      <c r="G161" s="12">
        <v>146.16000000000003</v>
      </c>
      <c r="H161" s="12">
        <v>2144.79</v>
      </c>
      <c r="I161" s="12">
        <v>77.509999999999991</v>
      </c>
      <c r="J161" s="12">
        <v>388.95999999999981</v>
      </c>
      <c r="K161" s="12"/>
      <c r="L161" s="12">
        <v>2802.4100000000071</v>
      </c>
      <c r="M161" s="12">
        <v>16259.85000000002</v>
      </c>
    </row>
    <row r="162" spans="1:15" x14ac:dyDescent="0.35">
      <c r="A162" s="245" t="s">
        <v>16</v>
      </c>
      <c r="B162" s="246">
        <v>322.25000000000006</v>
      </c>
      <c r="C162" s="246">
        <v>320.16000000000008</v>
      </c>
      <c r="D162" s="246">
        <v>157.6</v>
      </c>
      <c r="E162" s="246">
        <v>163.06</v>
      </c>
      <c r="F162" s="246">
        <v>50.930000000000014</v>
      </c>
      <c r="G162" s="246">
        <v>74.67</v>
      </c>
      <c r="H162" s="246">
        <v>186.85000000000002</v>
      </c>
      <c r="I162" s="246">
        <v>10.629999999999999</v>
      </c>
      <c r="J162" s="246">
        <v>6.11</v>
      </c>
      <c r="K162" s="246"/>
      <c r="L162" s="246">
        <v>883.98</v>
      </c>
      <c r="M162" s="246">
        <v>2176.2399999999998</v>
      </c>
    </row>
    <row r="163" spans="1:15" x14ac:dyDescent="0.35">
      <c r="A163" s="6" t="s">
        <v>46</v>
      </c>
      <c r="B163" s="12">
        <v>6.6499999999999995</v>
      </c>
      <c r="C163" s="12">
        <v>0.56000000000000005</v>
      </c>
      <c r="D163" s="12"/>
      <c r="E163" s="12">
        <v>4.5599999999999996</v>
      </c>
      <c r="F163" s="12">
        <v>0</v>
      </c>
      <c r="G163" s="12"/>
      <c r="H163" s="12"/>
      <c r="I163" s="12"/>
      <c r="J163" s="12"/>
      <c r="K163" s="12"/>
      <c r="L163" s="12">
        <v>25.93</v>
      </c>
      <c r="M163" s="12">
        <v>37.699999999999996</v>
      </c>
    </row>
    <row r="164" spans="1:15" x14ac:dyDescent="0.35">
      <c r="A164" s="6" t="s">
        <v>47</v>
      </c>
      <c r="B164" s="12">
        <v>3.25</v>
      </c>
      <c r="C164" s="12">
        <v>13.21</v>
      </c>
      <c r="D164" s="12">
        <v>5.42</v>
      </c>
      <c r="E164" s="12">
        <v>15.74</v>
      </c>
      <c r="F164" s="12">
        <v>0</v>
      </c>
      <c r="G164" s="12">
        <v>0.71999999999999986</v>
      </c>
      <c r="H164" s="12">
        <v>1.76</v>
      </c>
      <c r="I164" s="12">
        <v>0.15</v>
      </c>
      <c r="J164" s="12">
        <v>0.14000000000000001</v>
      </c>
      <c r="K164" s="12"/>
      <c r="L164" s="12">
        <v>62.509999999999955</v>
      </c>
      <c r="M164" s="12">
        <v>102.89999999999995</v>
      </c>
    </row>
    <row r="165" spans="1:15" x14ac:dyDescent="0.35">
      <c r="A165" s="6" t="s">
        <v>48</v>
      </c>
      <c r="B165" s="12">
        <v>14.180000000000001</v>
      </c>
      <c r="C165" s="12">
        <v>0.35</v>
      </c>
      <c r="D165" s="12">
        <v>0.41000000000000003</v>
      </c>
      <c r="E165" s="12">
        <v>3.19</v>
      </c>
      <c r="F165" s="12">
        <v>22.040000000000003</v>
      </c>
      <c r="G165" s="12">
        <v>0.28000000000000003</v>
      </c>
      <c r="H165" s="12">
        <v>11.68</v>
      </c>
      <c r="I165" s="12"/>
      <c r="J165" s="12"/>
      <c r="K165" s="12"/>
      <c r="L165" s="12">
        <v>35.700000000000003</v>
      </c>
      <c r="M165" s="12">
        <v>87.83</v>
      </c>
    </row>
    <row r="166" spans="1:15" x14ac:dyDescent="0.35">
      <c r="A166" s="6" t="s">
        <v>49</v>
      </c>
      <c r="B166" s="12">
        <v>0.64</v>
      </c>
      <c r="C166" s="12"/>
      <c r="D166" s="12">
        <v>1.03</v>
      </c>
      <c r="E166" s="12">
        <v>1.56</v>
      </c>
      <c r="F166" s="12">
        <v>7.0000000000000007E-2</v>
      </c>
      <c r="G166" s="12"/>
      <c r="H166" s="12">
        <v>1.2</v>
      </c>
      <c r="I166" s="12"/>
      <c r="J166" s="12">
        <v>2.9</v>
      </c>
      <c r="K166" s="12"/>
      <c r="L166" s="12">
        <v>22.549999999999997</v>
      </c>
      <c r="M166" s="12">
        <v>29.95</v>
      </c>
    </row>
    <row r="167" spans="1:15" x14ac:dyDescent="0.35">
      <c r="A167" s="6" t="s">
        <v>50</v>
      </c>
      <c r="B167" s="12">
        <v>4.2300000000000004</v>
      </c>
      <c r="C167" s="12">
        <v>251.25000000000003</v>
      </c>
      <c r="D167" s="12">
        <v>63.120000000000005</v>
      </c>
      <c r="E167" s="12">
        <v>83.99</v>
      </c>
      <c r="F167" s="12">
        <v>0</v>
      </c>
      <c r="G167" s="12">
        <v>6.83</v>
      </c>
      <c r="H167" s="12">
        <v>20.860000000000003</v>
      </c>
      <c r="I167" s="12">
        <v>4.3599999999999994</v>
      </c>
      <c r="J167" s="12"/>
      <c r="K167" s="12"/>
      <c r="L167" s="12">
        <v>75.97999999999999</v>
      </c>
      <c r="M167" s="12">
        <v>510.62</v>
      </c>
    </row>
    <row r="168" spans="1:15" x14ac:dyDescent="0.35">
      <c r="A168" s="6" t="s">
        <v>51</v>
      </c>
      <c r="B168" s="12">
        <v>1.6</v>
      </c>
      <c r="C168" s="12">
        <v>0.24000000000000002</v>
      </c>
      <c r="D168" s="12">
        <v>0.51</v>
      </c>
      <c r="E168" s="12">
        <v>0.43</v>
      </c>
      <c r="F168" s="12">
        <v>0</v>
      </c>
      <c r="G168" s="12">
        <v>0</v>
      </c>
      <c r="H168" s="12"/>
      <c r="I168" s="12">
        <v>0.09</v>
      </c>
      <c r="J168" s="12"/>
      <c r="K168" s="12"/>
      <c r="L168" s="12">
        <v>5.01</v>
      </c>
      <c r="M168" s="12">
        <v>7.88</v>
      </c>
    </row>
    <row r="169" spans="1:15" x14ac:dyDescent="0.35">
      <c r="A169" s="6" t="s">
        <v>52</v>
      </c>
      <c r="B169" s="12">
        <v>152.79000000000005</v>
      </c>
      <c r="C169" s="12">
        <v>46.54</v>
      </c>
      <c r="D169" s="12">
        <v>77.709999999999994</v>
      </c>
      <c r="E169" s="12">
        <v>34.020000000000003</v>
      </c>
      <c r="F169" s="12">
        <v>0</v>
      </c>
      <c r="G169" s="12">
        <v>61.62</v>
      </c>
      <c r="H169" s="12"/>
      <c r="I169" s="12">
        <v>3.9</v>
      </c>
      <c r="J169" s="12"/>
      <c r="K169" s="12"/>
      <c r="L169" s="12">
        <v>29.009999999999998</v>
      </c>
      <c r="M169" s="12">
        <v>405.59</v>
      </c>
    </row>
    <row r="170" spans="1:15" x14ac:dyDescent="0.35">
      <c r="A170" s="6" t="s">
        <v>53</v>
      </c>
      <c r="B170" s="12">
        <v>72.88000000000001</v>
      </c>
      <c r="C170" s="12">
        <v>1.1099999999999994</v>
      </c>
      <c r="D170" s="12">
        <v>1.1700000000000017</v>
      </c>
      <c r="E170" s="12">
        <v>5.27</v>
      </c>
      <c r="F170" s="12">
        <v>26.009999999999998</v>
      </c>
      <c r="G170" s="12"/>
      <c r="H170" s="12">
        <v>36.9</v>
      </c>
      <c r="I170" s="12">
        <v>2.13</v>
      </c>
      <c r="J170" s="12">
        <v>1.27</v>
      </c>
      <c r="K170" s="12"/>
      <c r="L170" s="12">
        <v>341.96000000000015</v>
      </c>
      <c r="M170" s="12">
        <v>488.70000000000022</v>
      </c>
    </row>
    <row r="171" spans="1:15" x14ac:dyDescent="0.35">
      <c r="A171" s="6" t="s">
        <v>54</v>
      </c>
      <c r="B171" s="12">
        <v>66.030000000000015</v>
      </c>
      <c r="C171" s="12">
        <v>6.9</v>
      </c>
      <c r="D171" s="12">
        <v>8.23</v>
      </c>
      <c r="E171" s="12">
        <v>14.299999999999999</v>
      </c>
      <c r="F171" s="12">
        <v>2.81</v>
      </c>
      <c r="G171" s="12">
        <v>5.22</v>
      </c>
      <c r="H171" s="12">
        <v>114.45</v>
      </c>
      <c r="I171" s="12"/>
      <c r="J171" s="12">
        <v>1.8</v>
      </c>
      <c r="K171" s="12"/>
      <c r="L171" s="12">
        <v>285.33</v>
      </c>
      <c r="M171" s="12">
        <v>505.07000000000005</v>
      </c>
    </row>
    <row r="172" spans="1:15" x14ac:dyDescent="0.35">
      <c r="A172" s="245" t="s">
        <v>17</v>
      </c>
      <c r="B172" s="246">
        <v>1924.33</v>
      </c>
      <c r="C172" s="246">
        <v>108.16</v>
      </c>
      <c r="D172" s="246">
        <v>135.16999999999999</v>
      </c>
      <c r="E172" s="246">
        <v>182.56</v>
      </c>
      <c r="F172" s="246">
        <v>1359.5500000000002</v>
      </c>
      <c r="G172" s="246">
        <v>19.470000000000006</v>
      </c>
      <c r="H172" s="246">
        <v>79.930000000000007</v>
      </c>
      <c r="I172" s="246">
        <v>34.14</v>
      </c>
      <c r="J172" s="246">
        <v>24.03</v>
      </c>
      <c r="K172" s="246"/>
      <c r="L172" s="246">
        <v>1031.9000000000001</v>
      </c>
      <c r="M172" s="246">
        <v>4899.2400000000007</v>
      </c>
    </row>
    <row r="173" spans="1:15" x14ac:dyDescent="0.35">
      <c r="A173" s="6" t="s">
        <v>55</v>
      </c>
      <c r="B173" s="12">
        <v>1882.0899999999997</v>
      </c>
      <c r="C173" s="12">
        <v>100.43</v>
      </c>
      <c r="D173" s="12">
        <v>128.41999999999999</v>
      </c>
      <c r="E173" s="12">
        <v>81.149999999999991</v>
      </c>
      <c r="F173" s="12">
        <v>1132.9900000000002</v>
      </c>
      <c r="G173" s="12">
        <v>18.480000000000004</v>
      </c>
      <c r="H173" s="12">
        <v>69.81</v>
      </c>
      <c r="I173" s="12">
        <v>34.14</v>
      </c>
      <c r="J173" s="12">
        <v>23.07</v>
      </c>
      <c r="K173" s="12"/>
      <c r="L173" s="12">
        <v>948.19</v>
      </c>
      <c r="M173" s="12">
        <v>4418.7700000000004</v>
      </c>
    </row>
    <row r="174" spans="1:15" x14ac:dyDescent="0.35">
      <c r="A174" s="6" t="s">
        <v>56</v>
      </c>
      <c r="B174" s="12">
        <v>42.24</v>
      </c>
      <c r="C174" s="12">
        <v>7.73</v>
      </c>
      <c r="D174" s="12">
        <v>6.75</v>
      </c>
      <c r="E174" s="12">
        <v>101.41</v>
      </c>
      <c r="F174" s="12">
        <v>226.56</v>
      </c>
      <c r="G174" s="12">
        <v>0.99</v>
      </c>
      <c r="H174" s="12">
        <v>10.119999999999999</v>
      </c>
      <c r="I174" s="12"/>
      <c r="J174" s="12">
        <v>0.96</v>
      </c>
      <c r="K174" s="12"/>
      <c r="L174" s="12">
        <v>83.710000000000022</v>
      </c>
      <c r="M174" s="12">
        <v>480.46999999999991</v>
      </c>
    </row>
    <row r="175" spans="1:15" x14ac:dyDescent="0.35">
      <c r="A175" s="245" t="s">
        <v>18</v>
      </c>
      <c r="B175" s="246">
        <v>135.62</v>
      </c>
      <c r="C175" s="246">
        <v>56.75</v>
      </c>
      <c r="D175" s="246">
        <v>11.59</v>
      </c>
      <c r="E175" s="246">
        <v>61.680000000000007</v>
      </c>
      <c r="F175" s="246">
        <v>0</v>
      </c>
      <c r="G175" s="246">
        <v>109.36</v>
      </c>
      <c r="H175" s="246">
        <v>11.559999999999999</v>
      </c>
      <c r="I175" s="246">
        <v>0.28000000000000003</v>
      </c>
      <c r="J175" s="246">
        <v>30.47</v>
      </c>
      <c r="K175" s="246"/>
      <c r="L175" s="246">
        <v>1283.8399999999986</v>
      </c>
      <c r="M175" s="246">
        <v>1701.1499999999985</v>
      </c>
      <c r="O175" s="141"/>
    </row>
    <row r="176" spans="1:15" x14ac:dyDescent="0.35">
      <c r="A176" s="6" t="s">
        <v>18</v>
      </c>
      <c r="B176" s="12">
        <v>135.62</v>
      </c>
      <c r="C176" s="12">
        <v>56.75</v>
      </c>
      <c r="D176" s="12">
        <v>11.59</v>
      </c>
      <c r="E176" s="12">
        <v>61.680000000000007</v>
      </c>
      <c r="F176" s="12">
        <v>0</v>
      </c>
      <c r="G176" s="12">
        <v>109.36</v>
      </c>
      <c r="H176" s="12">
        <v>11.559999999999999</v>
      </c>
      <c r="I176" s="12">
        <v>0.28000000000000003</v>
      </c>
      <c r="J176" s="12">
        <v>30.47</v>
      </c>
      <c r="K176" s="12"/>
      <c r="L176" s="12">
        <v>1283.8399999999986</v>
      </c>
      <c r="M176" s="12">
        <v>1701.1499999999985</v>
      </c>
    </row>
    <row r="177" spans="1:13" x14ac:dyDescent="0.35">
      <c r="A177" s="245" t="s">
        <v>20</v>
      </c>
      <c r="B177" s="246">
        <v>846.70999999999992</v>
      </c>
      <c r="C177" s="246">
        <v>336.6</v>
      </c>
      <c r="D177" s="246">
        <v>2132.08</v>
      </c>
      <c r="E177" s="246">
        <v>313.90000000000003</v>
      </c>
      <c r="F177" s="246">
        <v>393.42999999999995</v>
      </c>
      <c r="G177" s="246">
        <v>210.66000000000003</v>
      </c>
      <c r="H177" s="246">
        <v>267.68</v>
      </c>
      <c r="I177" s="246">
        <v>44.579999999999977</v>
      </c>
      <c r="J177" s="246">
        <v>140.39999999999992</v>
      </c>
      <c r="K177" s="246"/>
      <c r="L177" s="246">
        <v>537.48</v>
      </c>
      <c r="M177" s="246">
        <v>5223.5200000000004</v>
      </c>
    </row>
    <row r="178" spans="1:13" x14ac:dyDescent="0.35">
      <c r="A178" s="6" t="s">
        <v>20</v>
      </c>
      <c r="B178" s="12">
        <v>846.70999999999992</v>
      </c>
      <c r="C178" s="12">
        <v>336.6</v>
      </c>
      <c r="D178" s="12">
        <v>2132.08</v>
      </c>
      <c r="E178" s="12">
        <v>313.90000000000003</v>
      </c>
      <c r="F178" s="12">
        <v>393.42999999999995</v>
      </c>
      <c r="G178" s="12">
        <v>210.66000000000003</v>
      </c>
      <c r="H178" s="12">
        <v>267.68</v>
      </c>
      <c r="I178" s="12">
        <v>44.579999999999977</v>
      </c>
      <c r="J178" s="12">
        <v>140.39999999999992</v>
      </c>
      <c r="K178" s="12"/>
      <c r="L178" s="12">
        <v>537.48</v>
      </c>
      <c r="M178" s="12">
        <v>5223.5200000000004</v>
      </c>
    </row>
    <row r="179" spans="1:13" x14ac:dyDescent="0.35">
      <c r="A179" s="245" t="s">
        <v>21</v>
      </c>
      <c r="B179" s="246">
        <v>111.27</v>
      </c>
      <c r="C179" s="246">
        <v>1.1400000000000001</v>
      </c>
      <c r="D179" s="246">
        <v>3.879999999999999</v>
      </c>
      <c r="E179" s="246">
        <v>47.69</v>
      </c>
      <c r="F179" s="246">
        <v>10.919999999999998</v>
      </c>
      <c r="G179" s="246"/>
      <c r="H179" s="246">
        <v>1.98</v>
      </c>
      <c r="I179" s="246">
        <v>0.62</v>
      </c>
      <c r="J179" s="246"/>
      <c r="K179" s="246"/>
      <c r="L179" s="246">
        <v>144.64000000000001</v>
      </c>
      <c r="M179" s="246">
        <v>322.14000000000004</v>
      </c>
    </row>
    <row r="180" spans="1:13" x14ac:dyDescent="0.35">
      <c r="A180" s="6" t="s">
        <v>21</v>
      </c>
      <c r="B180" s="12">
        <v>111.27</v>
      </c>
      <c r="C180" s="12">
        <v>1.1400000000000001</v>
      </c>
      <c r="D180" s="12">
        <v>3.879999999999999</v>
      </c>
      <c r="E180" s="12">
        <v>47.69</v>
      </c>
      <c r="F180" s="12">
        <v>10.919999999999998</v>
      </c>
      <c r="G180" s="12"/>
      <c r="H180" s="12">
        <v>1.98</v>
      </c>
      <c r="I180" s="12">
        <v>0.62</v>
      </c>
      <c r="J180" s="12"/>
      <c r="K180" s="12"/>
      <c r="L180" s="12">
        <v>144.64000000000001</v>
      </c>
      <c r="M180" s="12">
        <v>322.14000000000004</v>
      </c>
    </row>
    <row r="181" spans="1:13" x14ac:dyDescent="0.35">
      <c r="A181" s="245" t="s">
        <v>22</v>
      </c>
      <c r="B181" s="246">
        <v>10636.66</v>
      </c>
      <c r="C181" s="246">
        <v>11206.380000000001</v>
      </c>
      <c r="D181" s="246">
        <v>4484.78</v>
      </c>
      <c r="E181" s="246">
        <v>3159.6700000000019</v>
      </c>
      <c r="F181" s="246">
        <v>1287.4300000000003</v>
      </c>
      <c r="G181" s="246">
        <v>1943.1900000000023</v>
      </c>
      <c r="H181" s="246">
        <v>336.28</v>
      </c>
      <c r="I181" s="246">
        <v>1742.5599999999959</v>
      </c>
      <c r="J181" s="246">
        <v>901.33999999999878</v>
      </c>
      <c r="K181" s="246"/>
      <c r="L181" s="246">
        <v>9895.870000000059</v>
      </c>
      <c r="M181" s="246">
        <v>45594.160000000069</v>
      </c>
    </row>
    <row r="182" spans="1:13" x14ac:dyDescent="0.35">
      <c r="A182" s="6" t="s">
        <v>22</v>
      </c>
      <c r="B182" s="12">
        <v>10636.66</v>
      </c>
      <c r="C182" s="12">
        <v>11206.380000000001</v>
      </c>
      <c r="D182" s="12">
        <v>4484.78</v>
      </c>
      <c r="E182" s="12">
        <v>3159.6700000000019</v>
      </c>
      <c r="F182" s="12">
        <v>1287.4300000000003</v>
      </c>
      <c r="G182" s="12">
        <v>1943.1900000000023</v>
      </c>
      <c r="H182" s="12">
        <v>336.28</v>
      </c>
      <c r="I182" s="12">
        <v>1742.5599999999959</v>
      </c>
      <c r="J182" s="12">
        <v>901.33999999999878</v>
      </c>
      <c r="K182" s="12"/>
      <c r="L182" s="12">
        <v>9895.870000000059</v>
      </c>
      <c r="M182" s="12">
        <v>45594.160000000069</v>
      </c>
    </row>
    <row r="183" spans="1:13" x14ac:dyDescent="0.35">
      <c r="A183" s="245" t="s">
        <v>23</v>
      </c>
      <c r="B183" s="246">
        <v>175.78</v>
      </c>
      <c r="C183" s="246">
        <v>61.14</v>
      </c>
      <c r="D183" s="246">
        <v>487.28999999999996</v>
      </c>
      <c r="E183" s="246">
        <v>74.98</v>
      </c>
      <c r="F183" s="246">
        <v>146.25999999999996</v>
      </c>
      <c r="G183" s="246">
        <v>38.26</v>
      </c>
      <c r="H183" s="246">
        <v>28.16</v>
      </c>
      <c r="I183" s="246">
        <v>1.999999999999999E-2</v>
      </c>
      <c r="J183" s="246">
        <v>48.64</v>
      </c>
      <c r="K183" s="246"/>
      <c r="L183" s="246">
        <v>119.4</v>
      </c>
      <c r="M183" s="246">
        <v>1179.93</v>
      </c>
    </row>
    <row r="184" spans="1:13" x14ac:dyDescent="0.35">
      <c r="A184" s="6" t="s">
        <v>23</v>
      </c>
      <c r="B184" s="12">
        <v>175.78</v>
      </c>
      <c r="C184" s="12">
        <v>61.14</v>
      </c>
      <c r="D184" s="12">
        <v>487.28999999999996</v>
      </c>
      <c r="E184" s="12">
        <v>74.98</v>
      </c>
      <c r="F184" s="12">
        <v>146.25999999999996</v>
      </c>
      <c r="G184" s="12">
        <v>38.26</v>
      </c>
      <c r="H184" s="12">
        <v>28.16</v>
      </c>
      <c r="I184" s="12">
        <v>1.999999999999999E-2</v>
      </c>
      <c r="J184" s="12">
        <v>48.64</v>
      </c>
      <c r="K184" s="12"/>
      <c r="L184" s="12">
        <v>119.4</v>
      </c>
      <c r="M184" s="12">
        <v>1179.93</v>
      </c>
    </row>
    <row r="185" spans="1:13" x14ac:dyDescent="0.35">
      <c r="A185" s="245" t="s">
        <v>76</v>
      </c>
      <c r="B185" s="246"/>
      <c r="C185" s="246"/>
      <c r="D185" s="246">
        <v>2.08</v>
      </c>
      <c r="E185" s="246">
        <v>7.65</v>
      </c>
      <c r="F185" s="246">
        <v>0</v>
      </c>
      <c r="G185" s="246">
        <v>0.17</v>
      </c>
      <c r="H185" s="246"/>
      <c r="I185" s="246"/>
      <c r="J185" s="246"/>
      <c r="K185" s="246">
        <v>0.36</v>
      </c>
      <c r="L185" s="246">
        <v>0.2</v>
      </c>
      <c r="M185" s="246">
        <v>10.459999999999999</v>
      </c>
    </row>
    <row r="186" spans="1:13" x14ac:dyDescent="0.35">
      <c r="A186" s="257" t="s">
        <v>59</v>
      </c>
      <c r="B186" s="252"/>
      <c r="C186" s="252"/>
      <c r="D186" s="252">
        <v>2.08</v>
      </c>
      <c r="E186" s="252">
        <v>7.65</v>
      </c>
      <c r="F186" s="252">
        <v>0</v>
      </c>
      <c r="G186" s="252">
        <v>0.17</v>
      </c>
      <c r="H186" s="247"/>
      <c r="I186" s="247"/>
      <c r="J186" s="247"/>
      <c r="K186" s="252">
        <v>0.36</v>
      </c>
      <c r="L186" s="252">
        <v>0.2</v>
      </c>
      <c r="M186" s="252">
        <v>10.459999999999999</v>
      </c>
    </row>
    <row r="187" spans="1:13" ht="15.5" x14ac:dyDescent="0.35">
      <c r="A187" s="258" t="s">
        <v>25</v>
      </c>
      <c r="B187" s="251">
        <f t="shared" ref="B187:M187" si="26">B67-B127</f>
        <v>110147.82000000007</v>
      </c>
      <c r="C187" s="251">
        <f t="shared" si="26"/>
        <v>69004.530000000086</v>
      </c>
      <c r="D187" s="253">
        <f t="shared" si="26"/>
        <v>48091.400000000009</v>
      </c>
      <c r="E187" s="255">
        <f t="shared" si="26"/>
        <v>37859.709999999992</v>
      </c>
      <c r="F187" s="251">
        <v>36518.609999999993</v>
      </c>
      <c r="G187" s="256">
        <f t="shared" si="26"/>
        <v>13925.650000000005</v>
      </c>
      <c r="H187" s="249">
        <f t="shared" si="26"/>
        <v>10992.209999999997</v>
      </c>
      <c r="I187" s="248">
        <f t="shared" si="26"/>
        <v>6833.2199999999939</v>
      </c>
      <c r="J187" s="250">
        <f t="shared" si="26"/>
        <v>7853.03</v>
      </c>
      <c r="K187" s="251">
        <f t="shared" si="26"/>
        <v>2.0299999999999998</v>
      </c>
      <c r="L187" s="253">
        <f t="shared" si="26"/>
        <v>49754.690000000068</v>
      </c>
      <c r="M187" s="254">
        <f t="shared" si="26"/>
        <v>390982.9000000002</v>
      </c>
    </row>
    <row r="191" spans="1:13" ht="31" x14ac:dyDescent="0.7">
      <c r="A191" s="211"/>
    </row>
  </sheetData>
  <mergeCells count="9">
    <mergeCell ref="S13:T13"/>
    <mergeCell ref="U13:V13"/>
    <mergeCell ref="A132:A133"/>
    <mergeCell ref="B132:M132"/>
    <mergeCell ref="A72:A73"/>
    <mergeCell ref="B72:M72"/>
    <mergeCell ref="P13:R13"/>
    <mergeCell ref="A12:A13"/>
    <mergeCell ref="B12:M12"/>
  </mergeCells>
  <hyperlinks>
    <hyperlink ref="B1" r:id="rId1" xr:uid="{00000000-0004-0000-1200-000000000000}"/>
    <hyperlink ref="C5" location="'ALM S-VAR'!A11" display="'ALM S-VAR'!A11" xr:uid="{00000000-0004-0000-1200-000002000000}"/>
    <hyperlink ref="C6" location="'ALM S-VAR'!A71" display="'ALM S-VAR'!A71" xr:uid="{00000000-0004-0000-1200-000003000000}"/>
    <hyperlink ref="C7" location="'ALM S-VAR'!A131" display="'ALM S-VAR'!A131" xr:uid="{00000000-0004-0000-1200-000004000000}"/>
    <hyperlink ref="M2" location="ÍNDICE!A1" display="ÍNDICE!A1" xr:uid="{E48A2A8C-CCE6-46C7-94EB-9FE514F907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B3A3-CBA2-4233-8710-3409FFF4FDD1}">
  <dimension ref="A1:S79"/>
  <sheetViews>
    <sheetView tabSelected="1" topLeftCell="A64" zoomScale="85" zoomScaleNormal="85" workbookViewId="0">
      <selection activeCell="B82" sqref="B82"/>
    </sheetView>
  </sheetViews>
  <sheetFormatPr baseColWidth="10" defaultRowHeight="14.5" x14ac:dyDescent="0.35"/>
  <cols>
    <col min="1" max="1" width="15.08984375" customWidth="1"/>
    <col min="2" max="4" width="11.54296875" customWidth="1"/>
    <col min="5" max="5" width="12.08984375" customWidth="1"/>
    <col min="6" max="6" width="10.6328125" customWidth="1"/>
    <col min="12" max="12" width="17.6328125" customWidth="1"/>
    <col min="14" max="15" width="12" bestFit="1" customWidth="1"/>
  </cols>
  <sheetData>
    <row r="1" spans="1:13" ht="18.5" x14ac:dyDescent="0.45">
      <c r="A1" s="574" t="s">
        <v>322</v>
      </c>
    </row>
    <row r="2" spans="1:13" ht="15.5" x14ac:dyDescent="0.35">
      <c r="A2" s="562">
        <v>2021</v>
      </c>
    </row>
    <row r="3" spans="1:13" ht="15.5" x14ac:dyDescent="0.35">
      <c r="H3" s="562">
        <v>2020</v>
      </c>
      <c r="M3" s="111"/>
    </row>
    <row r="4" spans="1:13" x14ac:dyDescent="0.35">
      <c r="A4" s="573" t="s">
        <v>316</v>
      </c>
      <c r="B4" s="573">
        <v>2021</v>
      </c>
      <c r="D4" s="438" t="s">
        <v>318</v>
      </c>
      <c r="H4" s="573" t="s">
        <v>316</v>
      </c>
      <c r="I4" s="573">
        <v>2020</v>
      </c>
      <c r="K4" s="438" t="s">
        <v>318</v>
      </c>
      <c r="M4" s="111"/>
    </row>
    <row r="5" spans="1:13" x14ac:dyDescent="0.35">
      <c r="B5" s="564" t="s">
        <v>223</v>
      </c>
      <c r="C5" s="564" t="s">
        <v>224</v>
      </c>
      <c r="D5" s="564" t="s">
        <v>124</v>
      </c>
      <c r="E5" s="564" t="s">
        <v>246</v>
      </c>
      <c r="F5" s="564" t="s">
        <v>277</v>
      </c>
      <c r="I5" s="564" t="s">
        <v>223</v>
      </c>
      <c r="J5" s="564" t="s">
        <v>224</v>
      </c>
      <c r="K5" s="564" t="s">
        <v>124</v>
      </c>
      <c r="L5" s="564" t="s">
        <v>246</v>
      </c>
      <c r="M5" s="569"/>
    </row>
    <row r="6" spans="1:13" x14ac:dyDescent="0.35">
      <c r="A6" s="568" t="s">
        <v>103</v>
      </c>
      <c r="B6" s="462">
        <f>'ALM-REPR'!E69</f>
        <v>511463.20920000027</v>
      </c>
      <c r="C6" s="462">
        <f>'ALM-REPR'!E132</f>
        <v>114697.76459999999</v>
      </c>
      <c r="D6" s="462">
        <f>SUM(B6:C6)</f>
        <v>626160.97380000027</v>
      </c>
      <c r="E6" s="459">
        <f t="shared" ref="E6:E11" si="0">D6/D16</f>
        <v>0.84108853176442178</v>
      </c>
      <c r="F6" s="459">
        <f>D6/K6-1</f>
        <v>4.9002078014668271E-2</v>
      </c>
      <c r="H6" s="568" t="s">
        <v>103</v>
      </c>
      <c r="I6" s="462">
        <f>'ALM-REPR'!D69</f>
        <v>497433.08999999968</v>
      </c>
      <c r="J6" s="462">
        <f>'ALM-REPR'!D132</f>
        <v>99478</v>
      </c>
      <c r="K6" s="462">
        <f>SUM(I6:J6)</f>
        <v>596911.08999999962</v>
      </c>
      <c r="L6" s="459">
        <f t="shared" ref="L6:L11" si="1">K6/K16</f>
        <v>0.83072771174882343</v>
      </c>
      <c r="M6" s="381"/>
    </row>
    <row r="7" spans="1:13" x14ac:dyDescent="0.35">
      <c r="A7" s="568" t="s">
        <v>104</v>
      </c>
      <c r="B7" s="462">
        <f>'PIS-REPR'!C67</f>
        <v>44022.01</v>
      </c>
      <c r="C7" s="462">
        <f>'PIS-REPR'!C127</f>
        <v>15636.170000000002</v>
      </c>
      <c r="D7" s="462">
        <f t="shared" ref="D7:D9" si="2">SUM(B7:C7)</f>
        <v>59658.180000000008</v>
      </c>
      <c r="E7" s="459">
        <f t="shared" si="0"/>
        <v>0.97431333801505782</v>
      </c>
      <c r="F7" s="459">
        <f t="shared" ref="F7:F12" si="3">D7/K7-1</f>
        <v>0.23671424478733716</v>
      </c>
      <c r="H7" s="568" t="s">
        <v>104</v>
      </c>
      <c r="I7" s="462">
        <f>'PIS-REPR'!B67</f>
        <v>36510.04</v>
      </c>
      <c r="J7" s="462">
        <f>'PIS-REPR'!B127</f>
        <v>11729.220000000001</v>
      </c>
      <c r="K7" s="462">
        <f t="shared" ref="K7:K9" si="4">SUM(I7:J7)</f>
        <v>48239.26</v>
      </c>
      <c r="L7" s="459">
        <f t="shared" si="1"/>
        <v>0.97386159001897687</v>
      </c>
      <c r="M7" s="381"/>
    </row>
    <row r="8" spans="1:13" x14ac:dyDescent="0.35">
      <c r="A8" s="568" t="s">
        <v>105</v>
      </c>
      <c r="B8" s="462">
        <f>'AVE-REPR'!C60</f>
        <v>3168.979999999995</v>
      </c>
      <c r="C8" s="462">
        <f>'AVE-REPR'!C100</f>
        <v>6742.1799999999957</v>
      </c>
      <c r="D8" s="462">
        <f t="shared" si="2"/>
        <v>9911.1599999999908</v>
      </c>
      <c r="E8" s="459">
        <f t="shared" si="0"/>
        <v>0.75640387697473788</v>
      </c>
      <c r="F8" s="459">
        <f t="shared" si="3"/>
        <v>-3.0487643832482036E-2</v>
      </c>
      <c r="H8" s="568" t="s">
        <v>105</v>
      </c>
      <c r="I8" s="462">
        <f>'AVE-REPR'!B60</f>
        <v>3310.98</v>
      </c>
      <c r="J8" s="462">
        <f>'AVE-REPR'!B100</f>
        <v>6911.850000000004</v>
      </c>
      <c r="K8" s="462">
        <f t="shared" si="4"/>
        <v>10222.830000000004</v>
      </c>
      <c r="L8" s="459">
        <f t="shared" si="1"/>
        <v>0.78245924225028729</v>
      </c>
      <c r="M8" s="381"/>
    </row>
    <row r="9" spans="1:13" x14ac:dyDescent="0.35">
      <c r="A9" s="568" t="s">
        <v>106</v>
      </c>
      <c r="B9" s="462">
        <f>'ALG-REPR'!C39</f>
        <v>15539.720000000005</v>
      </c>
      <c r="C9" s="462">
        <f>'ALG-REPR'!C69</f>
        <v>774.40000000000032</v>
      </c>
      <c r="D9" s="462">
        <f t="shared" si="2"/>
        <v>16314.120000000004</v>
      </c>
      <c r="E9" s="459">
        <f t="shared" si="0"/>
        <v>0.3862463483723434</v>
      </c>
      <c r="F9" s="459">
        <f t="shared" si="3"/>
        <v>8.1329799185926532E-2</v>
      </c>
      <c r="H9" s="568" t="s">
        <v>106</v>
      </c>
      <c r="I9" s="462">
        <f>'ALG-REPR'!B39</f>
        <v>14371.140000000003</v>
      </c>
      <c r="J9" s="462">
        <f>'ALG-REPR'!B69</f>
        <v>715.95</v>
      </c>
      <c r="K9" s="462">
        <f t="shared" si="4"/>
        <v>15087.090000000004</v>
      </c>
      <c r="L9" s="459">
        <f t="shared" si="1"/>
        <v>0.35466438882919588</v>
      </c>
      <c r="M9" s="381"/>
    </row>
    <row r="10" spans="1:13" x14ac:dyDescent="0.35">
      <c r="A10" s="568" t="s">
        <v>317</v>
      </c>
      <c r="B10" s="563"/>
      <c r="C10" s="563"/>
      <c r="D10" s="462">
        <f>'CAS-REPR'!C59</f>
        <v>10256.880000000003</v>
      </c>
      <c r="E10" s="459">
        <f t="shared" si="0"/>
        <v>0.26828699223143532</v>
      </c>
      <c r="F10" s="459">
        <f t="shared" si="3"/>
        <v>5.802658249392767E-2</v>
      </c>
      <c r="H10" s="568" t="s">
        <v>317</v>
      </c>
      <c r="I10" s="563"/>
      <c r="J10" s="563"/>
      <c r="K10" s="462">
        <f>'CAS-REPR'!B59</f>
        <v>9694.3499999999949</v>
      </c>
      <c r="L10" s="459">
        <f t="shared" si="1"/>
        <v>0.2566068450726593</v>
      </c>
      <c r="M10" s="381"/>
    </row>
    <row r="11" spans="1:13" x14ac:dyDescent="0.35">
      <c r="A11" s="568" t="s">
        <v>85</v>
      </c>
      <c r="B11" s="563"/>
      <c r="C11" s="563"/>
      <c r="D11" s="462">
        <f>'NOG-REPR'!C79</f>
        <v>9904.9199999999983</v>
      </c>
      <c r="E11" s="459">
        <f t="shared" si="0"/>
        <v>0.77497222439558711</v>
      </c>
      <c r="F11" s="459">
        <f t="shared" si="3"/>
        <v>3.7009118006413377E-2</v>
      </c>
      <c r="H11" s="568" t="s">
        <v>85</v>
      </c>
      <c r="I11" s="563"/>
      <c r="J11" s="563"/>
      <c r="K11" s="462">
        <f>'NOG-REPR'!B79</f>
        <v>9551.43</v>
      </c>
      <c r="L11" s="459">
        <f t="shared" si="1"/>
        <v>0.77717087062652568</v>
      </c>
      <c r="M11" s="381"/>
    </row>
    <row r="12" spans="1:13" x14ac:dyDescent="0.35">
      <c r="A12" s="565" t="s">
        <v>124</v>
      </c>
      <c r="B12" s="564"/>
      <c r="C12" s="564"/>
      <c r="D12" s="566">
        <f>SUM(D6:D11)</f>
        <v>732206.23380000039</v>
      </c>
      <c r="E12" s="567">
        <f>D12/D22</f>
        <v>0.80281492809812172</v>
      </c>
      <c r="F12" s="567">
        <f t="shared" si="3"/>
        <v>6.1620720595391143E-2</v>
      </c>
      <c r="H12" s="565" t="s">
        <v>124</v>
      </c>
      <c r="I12" s="564"/>
      <c r="J12" s="564"/>
      <c r="K12" s="566">
        <f>SUM(K6:K11)</f>
        <v>689706.04999999958</v>
      </c>
      <c r="L12" s="567">
        <f>K12/K22</f>
        <v>0.78936580269409662</v>
      </c>
      <c r="M12" s="570"/>
    </row>
    <row r="13" spans="1:13" x14ac:dyDescent="0.35">
      <c r="M13" s="111"/>
    </row>
    <row r="14" spans="1:13" x14ac:dyDescent="0.35">
      <c r="A14" s="571" t="s">
        <v>324</v>
      </c>
      <c r="D14" s="572">
        <v>2021</v>
      </c>
      <c r="E14" s="438" t="s">
        <v>318</v>
      </c>
      <c r="H14" s="571" t="s">
        <v>324</v>
      </c>
      <c r="K14" s="572">
        <v>2020</v>
      </c>
      <c r="L14" s="438" t="s">
        <v>318</v>
      </c>
      <c r="M14" s="111"/>
    </row>
    <row r="15" spans="1:13" x14ac:dyDescent="0.35">
      <c r="B15" s="564" t="s">
        <v>223</v>
      </c>
      <c r="C15" s="564" t="s">
        <v>224</v>
      </c>
      <c r="D15" s="564" t="s">
        <v>124</v>
      </c>
      <c r="E15" s="564" t="s">
        <v>277</v>
      </c>
      <c r="I15" s="564" t="s">
        <v>223</v>
      </c>
      <c r="J15" s="564" t="s">
        <v>224</v>
      </c>
      <c r="K15" s="564" t="s">
        <v>124</v>
      </c>
      <c r="M15" s="111"/>
    </row>
    <row r="16" spans="1:13" x14ac:dyDescent="0.35">
      <c r="A16" s="568" t="s">
        <v>103</v>
      </c>
      <c r="B16" s="462">
        <f>'ALM-REPR'!G69</f>
        <v>611943</v>
      </c>
      <c r="C16" s="462">
        <f>'ALM-REPR'!G132</f>
        <v>132522</v>
      </c>
      <c r="D16" s="462">
        <f>SUM(B16:C16)</f>
        <v>744465</v>
      </c>
      <c r="E16" s="459">
        <f t="shared" ref="E16:E22" si="5">D16/K16-1</f>
        <v>3.6080106883402463E-2</v>
      </c>
      <c r="G16" s="190"/>
      <c r="H16" s="568" t="s">
        <v>103</v>
      </c>
      <c r="I16" s="462">
        <f>'ALM-REPR'!F69</f>
        <v>600338</v>
      </c>
      <c r="J16" s="462">
        <f>'ALM-REPR'!F132</f>
        <v>118202</v>
      </c>
      <c r="K16" s="462">
        <f>SUM(I16:J16)</f>
        <v>718540</v>
      </c>
    </row>
    <row r="17" spans="1:19" x14ac:dyDescent="0.35">
      <c r="A17" s="568" t="s">
        <v>104</v>
      </c>
      <c r="B17" s="462">
        <f>'PIS-REPR'!E67</f>
        <v>41675</v>
      </c>
      <c r="C17" s="462">
        <f>'PIS-REPR'!E127</f>
        <v>19556</v>
      </c>
      <c r="D17" s="462">
        <f>SUM(B17:C17)</f>
        <v>61231</v>
      </c>
      <c r="E17" s="459">
        <f t="shared" si="5"/>
        <v>0.23614083255945406</v>
      </c>
      <c r="G17" s="190"/>
      <c r="H17" s="568" t="s">
        <v>104</v>
      </c>
      <c r="I17" s="462">
        <f>'PIS-REPR'!D67</f>
        <v>33835</v>
      </c>
      <c r="J17" s="462">
        <f>'PIS-REPR'!D127</f>
        <v>15699</v>
      </c>
      <c r="K17" s="462">
        <f>SUM(I17:J17)</f>
        <v>49534</v>
      </c>
    </row>
    <row r="18" spans="1:19" x14ac:dyDescent="0.35">
      <c r="A18" s="568" t="s">
        <v>105</v>
      </c>
      <c r="B18" s="462">
        <f>'AVE-REPR'!E60</f>
        <v>4698</v>
      </c>
      <c r="C18" s="462">
        <f>'AVE-REPR'!E100</f>
        <v>8405</v>
      </c>
      <c r="D18" s="462">
        <f>SUM(B18:C18)</f>
        <v>13103</v>
      </c>
      <c r="E18" s="459">
        <f t="shared" si="5"/>
        <v>2.908534251817807E-3</v>
      </c>
      <c r="G18" s="190"/>
      <c r="H18" s="568" t="s">
        <v>105</v>
      </c>
      <c r="I18" s="462">
        <f>'AVE-REPR'!D60</f>
        <v>4767</v>
      </c>
      <c r="J18" s="462">
        <f>'AVE-REPR'!D100</f>
        <v>8298</v>
      </c>
      <c r="K18" s="462">
        <f>SUM(I18:J18)</f>
        <v>13065</v>
      </c>
    </row>
    <row r="19" spans="1:19" x14ac:dyDescent="0.35">
      <c r="A19" s="568" t="s">
        <v>106</v>
      </c>
      <c r="B19" s="462">
        <f>'ALG-REPR'!E39</f>
        <v>40751.074999999997</v>
      </c>
      <c r="C19" s="462">
        <f>'ALG-REPR'!E69</f>
        <v>1486.5282</v>
      </c>
      <c r="D19" s="462">
        <f>SUM(B19:C19)</f>
        <v>42237.603199999998</v>
      </c>
      <c r="E19" s="459">
        <f t="shared" si="5"/>
        <v>-7.0866068580432984E-3</v>
      </c>
      <c r="G19" s="190"/>
      <c r="H19" s="568" t="s">
        <v>106</v>
      </c>
      <c r="I19" s="462">
        <f>'ALG-REPR'!D39</f>
        <v>41307.164799999999</v>
      </c>
      <c r="J19" s="462">
        <f>'ALG-REPR'!D69</f>
        <v>1231.896</v>
      </c>
      <c r="K19" s="462">
        <f>SUM(I19:J19)</f>
        <v>42539.060799999999</v>
      </c>
    </row>
    <row r="20" spans="1:19" x14ac:dyDescent="0.35">
      <c r="A20" s="568" t="s">
        <v>317</v>
      </c>
      <c r="B20" s="563"/>
      <c r="C20" s="563"/>
      <c r="D20" s="462">
        <f>'CAS-REPR'!E59</f>
        <v>38231</v>
      </c>
      <c r="E20" s="459">
        <f t="shared" si="5"/>
        <v>1.1964318801450435E-2</v>
      </c>
      <c r="G20" s="190"/>
      <c r="H20" s="568" t="s">
        <v>317</v>
      </c>
      <c r="I20" s="563"/>
      <c r="J20" s="563"/>
      <c r="K20" s="462">
        <f>'CAS-REPR'!D59</f>
        <v>37779</v>
      </c>
    </row>
    <row r="21" spans="1:19" x14ac:dyDescent="0.35">
      <c r="A21" s="568" t="s">
        <v>85</v>
      </c>
      <c r="B21" s="563"/>
      <c r="C21" s="563"/>
      <c r="D21" s="462">
        <f>'NOG-REPR'!E79</f>
        <v>12781</v>
      </c>
      <c r="E21" s="459">
        <f t="shared" si="5"/>
        <v>3.9951179820992611E-2</v>
      </c>
      <c r="G21" s="190"/>
      <c r="H21" s="568" t="s">
        <v>85</v>
      </c>
      <c r="I21" s="563"/>
      <c r="J21" s="563"/>
      <c r="K21" s="462">
        <f>'NOG-REPR'!D79</f>
        <v>12290</v>
      </c>
    </row>
    <row r="22" spans="1:19" x14ac:dyDescent="0.35">
      <c r="A22" s="565" t="s">
        <v>124</v>
      </c>
      <c r="B22" s="564"/>
      <c r="C22" s="564"/>
      <c r="D22" s="566">
        <f>SUM(D16:D21)</f>
        <v>912048.60320000001</v>
      </c>
      <c r="E22" s="567">
        <f t="shared" si="5"/>
        <v>4.3835961364987241E-2</v>
      </c>
      <c r="G22" s="190"/>
      <c r="H22" s="565" t="s">
        <v>124</v>
      </c>
      <c r="I22" s="564"/>
      <c r="J22" s="564"/>
      <c r="K22" s="566">
        <f>SUM(K16:K21)</f>
        <v>873747.06079999998</v>
      </c>
    </row>
    <row r="25" spans="1:19" x14ac:dyDescent="0.35">
      <c r="A25" s="575" t="s">
        <v>325</v>
      </c>
      <c r="D25" s="575"/>
    </row>
    <row r="26" spans="1:19" ht="15" thickBot="1" x14ac:dyDescent="0.4"/>
    <row r="27" spans="1:19" x14ac:dyDescent="0.35">
      <c r="B27" s="664" t="s">
        <v>326</v>
      </c>
      <c r="C27" s="665"/>
      <c r="D27" s="664" t="s">
        <v>327</v>
      </c>
      <c r="E27" s="665"/>
      <c r="F27" s="664" t="s">
        <v>328</v>
      </c>
      <c r="G27" s="665"/>
      <c r="H27" s="664" t="s">
        <v>329</v>
      </c>
      <c r="I27" s="665"/>
      <c r="J27" s="664" t="s">
        <v>330</v>
      </c>
      <c r="K27" s="665"/>
      <c r="L27" s="664" t="s">
        <v>331</v>
      </c>
      <c r="M27" s="665"/>
      <c r="N27" s="670" t="s">
        <v>332</v>
      </c>
      <c r="O27" s="671"/>
      <c r="P27" s="672"/>
      <c r="Q27" s="666" t="s">
        <v>340</v>
      </c>
      <c r="R27" s="667"/>
    </row>
    <row r="28" spans="1:19" ht="29.5" thickBot="1" x14ac:dyDescent="0.4">
      <c r="B28" s="582" t="s">
        <v>319</v>
      </c>
      <c r="C28" s="583" t="s">
        <v>320</v>
      </c>
      <c r="D28" s="582" t="s">
        <v>319</v>
      </c>
      <c r="E28" s="583" t="s">
        <v>320</v>
      </c>
      <c r="F28" s="582" t="s">
        <v>319</v>
      </c>
      <c r="G28" s="583" t="s">
        <v>320</v>
      </c>
      <c r="H28" s="582" t="s">
        <v>319</v>
      </c>
      <c r="I28" s="583" t="s">
        <v>320</v>
      </c>
      <c r="J28" s="582" t="s">
        <v>319</v>
      </c>
      <c r="K28" s="583" t="s">
        <v>320</v>
      </c>
      <c r="L28" s="582" t="s">
        <v>319</v>
      </c>
      <c r="M28" s="583" t="s">
        <v>320</v>
      </c>
      <c r="N28" s="584" t="s">
        <v>319</v>
      </c>
      <c r="O28" s="585" t="s">
        <v>320</v>
      </c>
      <c r="P28" s="603" t="s">
        <v>246</v>
      </c>
      <c r="Q28" s="616" t="s">
        <v>316</v>
      </c>
      <c r="R28" s="617" t="s">
        <v>320</v>
      </c>
    </row>
    <row r="29" spans="1:19" x14ac:dyDescent="0.35">
      <c r="A29" s="592" t="s">
        <v>5</v>
      </c>
      <c r="B29" s="593">
        <f>'ALM-REPR'!E13+'ALM-REPR'!E78</f>
        <v>179259.51330000014</v>
      </c>
      <c r="C29" s="594">
        <f>'ALM-REPR'!G13+'ALM-REPR'!G78</f>
        <v>234100</v>
      </c>
      <c r="D29" s="593">
        <f>'PIS-REPR'!C13+'PIS-REPR'!C76</f>
        <v>5526.9599999999973</v>
      </c>
      <c r="E29" s="594">
        <f>'PIS-REPR'!E13+'PIS-REPR'!E76</f>
        <v>6020</v>
      </c>
      <c r="F29" s="593">
        <f>'AVE-REPR'!C13+'AVE-REPR'!C69</f>
        <v>0.57999999999999996</v>
      </c>
      <c r="G29" s="594">
        <f>'AVE-REPR'!E13+'AVE-REPR'!E69</f>
        <v>2</v>
      </c>
      <c r="H29" s="593">
        <f>'ALG-REPR'!C13+'ALG-REPR'!C48</f>
        <v>1152.1999999999998</v>
      </c>
      <c r="I29" s="594">
        <f>'ALG-REPR'!E13+'ALG-REPR'!E48</f>
        <v>2317.8471</v>
      </c>
      <c r="J29" s="593">
        <f>'CAS-REPR'!C12</f>
        <v>3846.9000000000024</v>
      </c>
      <c r="K29" s="594">
        <f>'CAS-REPR'!E12</f>
        <v>9094</v>
      </c>
      <c r="L29" s="593">
        <f>'NOG-REPR'!C12</f>
        <v>1055.6200000000001</v>
      </c>
      <c r="M29" s="594">
        <f>'NOG-REPR'!E12</f>
        <v>2450</v>
      </c>
      <c r="N29" s="593">
        <f>L29+J29+H29+F29+D29+B29</f>
        <v>190841.77330000015</v>
      </c>
      <c r="O29" s="595">
        <f>M29+K29+I29+G29+E29+C29</f>
        <v>253983.84710000001</v>
      </c>
      <c r="P29" s="604">
        <f>N29/O29</f>
        <v>0.75139334835282179</v>
      </c>
      <c r="Q29" s="610">
        <f>N29/N44-1</f>
        <v>7.5031858310271593E-2</v>
      </c>
      <c r="R29" s="611">
        <f>O29/O44-1</f>
        <v>4.9655193698380673E-2</v>
      </c>
      <c r="S29" s="190">
        <f t="shared" ref="S29:S38" si="6">O29/$O$39</f>
        <v>0.2784762195883817</v>
      </c>
    </row>
    <row r="30" spans="1:19" x14ac:dyDescent="0.35">
      <c r="A30" s="597" t="s">
        <v>15</v>
      </c>
      <c r="B30" s="577">
        <f>'ALM-REPR'!E35+'ALM-REPR'!E100</f>
        <v>150528.58080000008</v>
      </c>
      <c r="C30" s="578">
        <f>'ALM-REPR'!G100+'ALM-REPR'!G35</f>
        <v>150453</v>
      </c>
      <c r="D30" s="577">
        <f>'PIS-REPR'!C35+'PIS-REPR'!C98</f>
        <v>46004.24</v>
      </c>
      <c r="E30" s="578">
        <f>'PIS-REPR'!E35+'PIS-REPR'!E98</f>
        <v>46245</v>
      </c>
      <c r="F30" s="577">
        <f>'AVE-REPR'!C32+'AVE-REPR'!C84</f>
        <v>13.69</v>
      </c>
      <c r="G30" s="578">
        <f>'AVE-REPR'!E32+'AVE-REPR'!E84</f>
        <v>13</v>
      </c>
      <c r="H30" s="579">
        <f>'ALG-REPR'!C22</f>
        <v>0</v>
      </c>
      <c r="I30" s="578">
        <f>'ALG-REPR'!E22</f>
        <v>0</v>
      </c>
      <c r="J30" s="577">
        <f>'CAS-REPR'!C34</f>
        <v>1.4</v>
      </c>
      <c r="K30" s="578">
        <f>'CAS-REPR'!E34</f>
        <v>2</v>
      </c>
      <c r="L30" s="577">
        <f>'NOG-REPR'!C41</f>
        <v>1914.63</v>
      </c>
      <c r="M30" s="578">
        <f>'NOG-REPR'!E41</f>
        <v>1883</v>
      </c>
      <c r="N30" s="577">
        <f t="shared" ref="N30:O39" si="7">L30+J30+H30+F30+D30+B30</f>
        <v>198462.54080000008</v>
      </c>
      <c r="O30" s="462">
        <f t="shared" si="7"/>
        <v>198596</v>
      </c>
      <c r="P30" s="605">
        <f t="shared" ref="P30:P39" si="8">N30/O30</f>
        <v>0.99932798646498455</v>
      </c>
      <c r="Q30" s="608">
        <f t="shared" ref="Q30:R30" si="9">N30/N45-1</f>
        <v>9.3812366237598921E-2</v>
      </c>
      <c r="R30" s="609">
        <f t="shared" si="9"/>
        <v>9.8933736296066721E-2</v>
      </c>
      <c r="S30" s="190">
        <f t="shared" si="6"/>
        <v>0.21774716753384529</v>
      </c>
    </row>
    <row r="31" spans="1:19" x14ac:dyDescent="0.35">
      <c r="A31" s="597" t="s">
        <v>13</v>
      </c>
      <c r="B31" s="577">
        <f>'ALM-REPR'!E91+'ALM-REPR'!E26</f>
        <v>63473.837699999967</v>
      </c>
      <c r="C31" s="578">
        <f>'ALM-REPR'!G26+'ALM-REPR'!G91</f>
        <v>92408</v>
      </c>
      <c r="D31" s="577">
        <f>'PIS-REPR'!C89+'PIS-REPR'!C26</f>
        <v>288.36999999999995</v>
      </c>
      <c r="E31" s="578">
        <f>'PIS-REPR'!E89+'PIS-REPR'!E26</f>
        <v>282</v>
      </c>
      <c r="F31" s="577">
        <f>'AVE-REPR'!C76+'AVE-REPR'!C22</f>
        <v>460.76999999999981</v>
      </c>
      <c r="G31" s="578">
        <f>'AVE-REPR'!E76+'AVE-REPR'!E22</f>
        <v>933</v>
      </c>
      <c r="H31" s="577">
        <f>'ALG-REPR'!C25+'ALG-REPR'!C55</f>
        <v>7738.47</v>
      </c>
      <c r="I31" s="578">
        <f>'ALG-REPR'!E25+'ALG-REPR'!E55</f>
        <v>16235.9848</v>
      </c>
      <c r="J31" s="577">
        <f>'CAS-REPR'!C26</f>
        <v>0.1</v>
      </c>
      <c r="K31" s="578">
        <f>'CAS-REPR'!E26</f>
        <v>0</v>
      </c>
      <c r="L31" s="577">
        <f>'NOG-REPR'!C27</f>
        <v>743.1400000000001</v>
      </c>
      <c r="M31" s="578">
        <f>'NOG-REPR'!E27</f>
        <v>1119</v>
      </c>
      <c r="N31" s="577">
        <f t="shared" si="7"/>
        <v>72704.687699999966</v>
      </c>
      <c r="O31" s="462">
        <f t="shared" si="7"/>
        <v>110977.98480000001</v>
      </c>
      <c r="P31" s="605">
        <f t="shared" si="8"/>
        <v>0.65512712121260253</v>
      </c>
      <c r="Q31" s="608">
        <f t="shared" ref="Q31:R31" si="10">N31/N46-1</f>
        <v>4.0053462739876089E-2</v>
      </c>
      <c r="R31" s="609">
        <f t="shared" si="10"/>
        <v>-8.5734918419105854E-3</v>
      </c>
      <c r="S31" s="190">
        <f t="shared" si="6"/>
        <v>0.12167990215721435</v>
      </c>
    </row>
    <row r="32" spans="1:19" x14ac:dyDescent="0.35">
      <c r="A32" s="597" t="s">
        <v>12</v>
      </c>
      <c r="B32" s="577">
        <f>'ALM-REPR'!E22+'ALM-REPR'!E87</f>
        <v>80246.310000000027</v>
      </c>
      <c r="C32" s="578">
        <f>'ALM-REPR'!G22+'ALM-REPR'!G87</f>
        <v>86098</v>
      </c>
      <c r="D32" s="577">
        <f>'PIS-REPR'!C22+'PIS-REPR'!C85</f>
        <v>928.58000000000015</v>
      </c>
      <c r="E32" s="578">
        <f>'PIS-REPR'!E22+'PIS-REPR'!E85</f>
        <v>944</v>
      </c>
      <c r="F32" s="577">
        <f>'AVE-REPR'!C16+'AVE-REPR'!C72</f>
        <v>29.74</v>
      </c>
      <c r="G32" s="578">
        <f>'AVE-REPR'!E16+'AVE-REPR'!E72</f>
        <v>43</v>
      </c>
      <c r="H32" s="579"/>
      <c r="I32" s="580"/>
      <c r="J32" s="577">
        <f>'CAS-REPR'!C20</f>
        <v>0</v>
      </c>
      <c r="K32" s="578">
        <f>'CAS-REPR'!E20</f>
        <v>0</v>
      </c>
      <c r="L32" s="577">
        <f>'NOG-REPR'!C21</f>
        <v>1280.2299999999998</v>
      </c>
      <c r="M32" s="578">
        <f>'NOG-REPR'!E21</f>
        <v>1310</v>
      </c>
      <c r="N32" s="577">
        <f t="shared" si="7"/>
        <v>82484.86000000003</v>
      </c>
      <c r="O32" s="462">
        <f t="shared" si="7"/>
        <v>88395</v>
      </c>
      <c r="P32" s="605">
        <f t="shared" si="8"/>
        <v>0.93313943096329011</v>
      </c>
      <c r="Q32" s="608">
        <f t="shared" ref="Q32:R32" si="11">N32/N47-1</f>
        <v>3.5632809947717448E-2</v>
      </c>
      <c r="R32" s="609">
        <f t="shared" si="11"/>
        <v>3.1206252916472277E-2</v>
      </c>
      <c r="S32" s="190">
        <f t="shared" si="6"/>
        <v>9.6919176993263995E-2</v>
      </c>
    </row>
    <row r="33" spans="1:19" x14ac:dyDescent="0.35">
      <c r="A33" s="597" t="s">
        <v>22</v>
      </c>
      <c r="B33" s="577">
        <f>'ALM-REPR'!E128+'ALM-REPR'!E63</f>
        <v>81114.530000000057</v>
      </c>
      <c r="C33" s="578">
        <f>'ALM-REPR'!G128+'ALM-REPR'!G63</f>
        <v>82706</v>
      </c>
      <c r="D33" s="577">
        <f>'PIS-REPR'!C63+'PIS-REPR'!C123</f>
        <v>951.12000000000012</v>
      </c>
      <c r="E33" s="578">
        <f>'PIS-REPR'!E63+'PIS-REPR'!E123</f>
        <v>1232</v>
      </c>
      <c r="F33" s="579"/>
      <c r="G33" s="580"/>
      <c r="H33" s="577">
        <f>'ALG-REPR'!C67+'ALG-REPR'!C37</f>
        <v>785.1400000000001</v>
      </c>
      <c r="I33" s="578">
        <f>'ALG-REPR'!E67+'ALG-REPR'!E37</f>
        <v>1816.8921</v>
      </c>
      <c r="J33" s="577"/>
      <c r="K33" s="578"/>
      <c r="L33" s="577">
        <f>'NOG-REPR'!C71</f>
        <v>157.93999999999997</v>
      </c>
      <c r="M33" s="578">
        <f>'NOG-REPR'!E71</f>
        <v>230</v>
      </c>
      <c r="N33" s="577">
        <f t="shared" si="7"/>
        <v>83008.730000000054</v>
      </c>
      <c r="O33" s="462">
        <f t="shared" si="7"/>
        <v>85984.892099999997</v>
      </c>
      <c r="P33" s="605">
        <f t="shared" si="8"/>
        <v>0.96538738344244612</v>
      </c>
      <c r="Q33" s="608">
        <f t="shared" ref="Q33:R33" si="12">N33/N48-1</f>
        <v>2.4156825102282786E-2</v>
      </c>
      <c r="R33" s="609">
        <f t="shared" si="12"/>
        <v>2.1685547431750551E-2</v>
      </c>
      <c r="S33" s="190">
        <f t="shared" si="6"/>
        <v>9.4276655650054941E-2</v>
      </c>
    </row>
    <row r="34" spans="1:19" x14ac:dyDescent="0.35">
      <c r="A34" s="597" t="s">
        <v>14</v>
      </c>
      <c r="B34" s="577">
        <f>'ALM-REPR'!E30+'ALM-REPR'!E95</f>
        <v>33413.400000000045</v>
      </c>
      <c r="C34" s="578">
        <f>'ALM-REPR'!G30+'ALM-REPR'!G95</f>
        <v>40940</v>
      </c>
      <c r="D34" s="577">
        <f>'PIS-REPR'!C93+'PIS-REPR'!C30</f>
        <v>689.05000000000007</v>
      </c>
      <c r="E34" s="578">
        <f>'PIS-REPR'!E93+'PIS-REPR'!E30</f>
        <v>697</v>
      </c>
      <c r="F34" s="577">
        <f>'AVE-REPR'!C39+'AVE-REPR'!C87</f>
        <v>9356.419999999991</v>
      </c>
      <c r="G34" s="578">
        <f>'AVE-REPR'!E39+'AVE-REPR'!E87</f>
        <v>11939</v>
      </c>
      <c r="H34" s="577">
        <f>'ALG-REPR'!C29+'ALG-REPR'!C59</f>
        <v>4066.0600000000072</v>
      </c>
      <c r="I34" s="578">
        <f>'ALG-REPR'!E29+'ALG-REPR'!E59</f>
        <v>7560.7195000000002</v>
      </c>
      <c r="J34" s="577">
        <f>'CAS-REPR'!C38</f>
        <v>8.24</v>
      </c>
      <c r="K34" s="578">
        <f>'CAS-REPR'!E38</f>
        <v>103</v>
      </c>
      <c r="L34" s="577">
        <f>'NOG-REPR'!C49</f>
        <v>1137.23</v>
      </c>
      <c r="M34" s="578">
        <f>'NOG-REPR'!E49</f>
        <v>1187</v>
      </c>
      <c r="N34" s="577">
        <f t="shared" si="7"/>
        <v>48670.400000000038</v>
      </c>
      <c r="O34" s="462">
        <f t="shared" si="7"/>
        <v>62426.719499999999</v>
      </c>
      <c r="P34" s="605">
        <f t="shared" si="8"/>
        <v>0.77964051915302135</v>
      </c>
      <c r="Q34" s="608">
        <f t="shared" ref="Q34:R34" si="13">N34/N49-1</f>
        <v>-2.3280334301481576E-2</v>
      </c>
      <c r="R34" s="609">
        <f t="shared" si="13"/>
        <v>2.905173451399623E-2</v>
      </c>
      <c r="S34" s="190">
        <f t="shared" si="6"/>
        <v>6.8446702600026527E-2</v>
      </c>
    </row>
    <row r="35" spans="1:19" x14ac:dyDescent="0.35">
      <c r="A35" s="597" t="s">
        <v>18</v>
      </c>
      <c r="B35" s="577">
        <f>'ALM-REPR'!E119+'ALM-REPR'!E54</f>
        <v>10500.092600000029</v>
      </c>
      <c r="C35" s="578">
        <v>24032</v>
      </c>
      <c r="D35" s="577">
        <f>'PIS-REPR'!C57+'PIS-REPR'!C114</f>
        <v>0.15</v>
      </c>
      <c r="E35" s="578">
        <f>'PIS-REPR'!E57+'PIS-REPR'!E114</f>
        <v>1</v>
      </c>
      <c r="F35" s="579"/>
      <c r="G35" s="580"/>
      <c r="H35" s="577">
        <f>'ALG-REPR'!C65+'ALG-REPR'!C35</f>
        <v>2568.2199999999998</v>
      </c>
      <c r="I35" s="578">
        <f>'ALG-REPR'!E65+'ALG-REPR'!E35</f>
        <v>14306.159699999998</v>
      </c>
      <c r="J35" s="579"/>
      <c r="K35" s="580"/>
      <c r="L35" s="577">
        <f>'NOG-REPR'!C62</f>
        <v>2.2000000000000002</v>
      </c>
      <c r="M35" s="578">
        <f>'NOG-REPR'!E62</f>
        <v>11</v>
      </c>
      <c r="N35" s="577">
        <f t="shared" si="7"/>
        <v>13070.662600000029</v>
      </c>
      <c r="O35" s="462">
        <f t="shared" si="7"/>
        <v>38350.159699999997</v>
      </c>
      <c r="P35" s="605">
        <f t="shared" si="8"/>
        <v>0.34082420261733692</v>
      </c>
      <c r="Q35" s="608">
        <f t="shared" ref="Q35:R35" si="14">N35/N50-1</f>
        <v>8.6119363595837939E-3</v>
      </c>
      <c r="R35" s="609">
        <f t="shared" si="14"/>
        <v>-7.7165795542480931E-3</v>
      </c>
      <c r="S35" s="190">
        <f t="shared" si="6"/>
        <v>4.2048372822945185E-2</v>
      </c>
    </row>
    <row r="36" spans="1:19" x14ac:dyDescent="0.35">
      <c r="A36" s="597" t="s">
        <v>17</v>
      </c>
      <c r="B36" s="577">
        <f>'ALM-REPR'!E51+'ALM-REPR'!E116</f>
        <v>14317.21</v>
      </c>
      <c r="C36" s="578">
        <f>'ALM-REPR'!G51+'ALM-REPR'!G116</f>
        <v>13477</v>
      </c>
      <c r="D36" s="577">
        <f>'PIS-REPR'!C116+'PIS-REPR'!C51</f>
        <v>2000.1999999999998</v>
      </c>
      <c r="E36" s="578">
        <f>'PIS-REPR'!E116+'PIS-REPR'!E51</f>
        <v>1746</v>
      </c>
      <c r="F36" s="577">
        <f>'AVE-REPR'!C44+'AVE-REPR'!C92</f>
        <v>24.819999999999997</v>
      </c>
      <c r="G36" s="578">
        <f>'AVE-REPR'!E44+'AVE-REPR'!E92</f>
        <v>0</v>
      </c>
      <c r="H36" s="577">
        <f>'ALG-REPR'!C33+'ALG-REPR'!C63</f>
        <v>4.03</v>
      </c>
      <c r="I36" s="578">
        <f>'ALG-REPR'!E33+'ALG-REPR'!E63</f>
        <v>0</v>
      </c>
      <c r="J36" s="577">
        <f>'CAS-REPR'!C43</f>
        <v>3108.48</v>
      </c>
      <c r="K36" s="578">
        <f>'CAS-REPR'!E43</f>
        <v>3093</v>
      </c>
      <c r="L36" s="577">
        <f>'NOG-REPR'!C54</f>
        <v>2479.64</v>
      </c>
      <c r="M36" s="578">
        <f>'NOG-REPR'!E54</f>
        <v>2220</v>
      </c>
      <c r="N36" s="577">
        <f t="shared" si="7"/>
        <v>21934.379999999997</v>
      </c>
      <c r="O36" s="462">
        <f t="shared" si="7"/>
        <v>20536</v>
      </c>
      <c r="P36" s="605">
        <f t="shared" si="8"/>
        <v>1.0680940786910789</v>
      </c>
      <c r="Q36" s="608">
        <f t="shared" ref="Q36:R36" si="15">N36/N51-1</f>
        <v>0.19338951789726799</v>
      </c>
      <c r="R36" s="609">
        <f t="shared" si="15"/>
        <v>9.4611161451948256E-2</v>
      </c>
      <c r="S36" s="190">
        <f t="shared" si="6"/>
        <v>2.251634389652887E-2</v>
      </c>
    </row>
    <row r="37" spans="1:19" x14ac:dyDescent="0.35">
      <c r="A37" s="597" t="s">
        <v>321</v>
      </c>
      <c r="B37" s="577">
        <f>'ALM-REPR'!E41+'ALM-REPR'!E106</f>
        <v>3314.8999999999996</v>
      </c>
      <c r="C37" s="578">
        <f>'ALM-REPR'!G41+'ALM-REPR'!G106</f>
        <v>3506</v>
      </c>
      <c r="D37" s="577">
        <f>'PIS-REPR'!C41+'PIS-REPR'!C104</f>
        <v>2544.6999999999998</v>
      </c>
      <c r="E37" s="578">
        <f>'PIS-REPR'!E41+'PIS-REPR'!E104</f>
        <v>2549</v>
      </c>
      <c r="F37" s="577">
        <f>'AVE-REPR'!C80</f>
        <v>0.86</v>
      </c>
      <c r="G37" s="578">
        <f>'AVE-REPR'!E80</f>
        <v>4</v>
      </c>
      <c r="H37" s="579"/>
      <c r="I37" s="580"/>
      <c r="J37" s="577">
        <f>'CAS-REPR'!C28</f>
        <v>307.94</v>
      </c>
      <c r="K37" s="578">
        <f>'CAS-REPR'!E28</f>
        <v>832</v>
      </c>
      <c r="L37" s="577">
        <f>'NOG-REPR'!C31</f>
        <v>574.71</v>
      </c>
      <c r="M37" s="578">
        <f>'NOG-REPR'!E31</f>
        <v>790</v>
      </c>
      <c r="N37" s="577">
        <f t="shared" si="7"/>
        <v>6743.11</v>
      </c>
      <c r="O37" s="462">
        <f t="shared" si="7"/>
        <v>7681</v>
      </c>
      <c r="P37" s="605">
        <f t="shared" si="8"/>
        <v>0.87789480536388487</v>
      </c>
      <c r="Q37" s="608">
        <f t="shared" ref="Q37:R37" si="16">N37/N52-1</f>
        <v>0.22005945498989488</v>
      </c>
      <c r="R37" s="609">
        <f t="shared" si="16"/>
        <v>0.49960952752830923</v>
      </c>
      <c r="S37" s="190">
        <f t="shared" si="6"/>
        <v>8.4217003052803972E-3</v>
      </c>
    </row>
    <row r="38" spans="1:19" ht="15" thickBot="1" x14ac:dyDescent="0.4">
      <c r="A38" s="598" t="s">
        <v>323</v>
      </c>
      <c r="B38" s="599">
        <f>B39-SUM(B29:B37)</f>
        <v>9992.5994000000646</v>
      </c>
      <c r="C38" s="600">
        <f>C39-SUM(C29:C37)</f>
        <v>16745</v>
      </c>
      <c r="D38" s="599">
        <f t="shared" ref="D38:E38" si="17">D39-SUM(D29:D37)</f>
        <v>724.81000000000495</v>
      </c>
      <c r="E38" s="600">
        <f t="shared" si="17"/>
        <v>1515</v>
      </c>
      <c r="F38" s="599">
        <f t="shared" ref="F38" si="18">F39-SUM(F29:F37)</f>
        <v>24.279999999998836</v>
      </c>
      <c r="G38" s="600">
        <f t="shared" ref="G38" si="19">G39-SUM(G29:G37)</f>
        <v>169</v>
      </c>
      <c r="H38" s="599">
        <f t="shared" ref="H38" si="20">H39-SUM(H29:H37)</f>
        <v>0</v>
      </c>
      <c r="I38" s="600">
        <f t="shared" ref="I38" si="21">I39-SUM(I29:I37)</f>
        <v>0</v>
      </c>
      <c r="J38" s="599">
        <f t="shared" ref="J38" si="22">J39-SUM(J29:J37)</f>
        <v>2983.8200000000006</v>
      </c>
      <c r="K38" s="600">
        <f t="shared" ref="K38" si="23">K39-SUM(K29:K37)</f>
        <v>25107</v>
      </c>
      <c r="L38" s="599">
        <f t="shared" ref="L38" si="24">L39-SUM(L29:L37)</f>
        <v>559.57999999999811</v>
      </c>
      <c r="M38" s="600">
        <f t="shared" ref="M38" si="25">M39-SUM(M29:M37)</f>
        <v>1581</v>
      </c>
      <c r="N38" s="599">
        <f t="shared" ref="N38" si="26">N39-SUM(N29:N37)</f>
        <v>14285.089399999939</v>
      </c>
      <c r="O38" s="601">
        <f t="shared" ref="O38" si="27">O39-SUM(O29:O37)</f>
        <v>45117.000000000116</v>
      </c>
      <c r="P38" s="606"/>
      <c r="Q38" s="612">
        <f t="shared" ref="Q38:R38" si="28">N38/N53-1</f>
        <v>6.2540307104594461E-2</v>
      </c>
      <c r="R38" s="613">
        <f t="shared" si="28"/>
        <v>-2.0218033356492526E-2</v>
      </c>
      <c r="S38" s="190">
        <f t="shared" si="6"/>
        <v>4.9467758452458883E-2</v>
      </c>
    </row>
    <row r="39" spans="1:19" ht="15" thickBot="1" x14ac:dyDescent="0.4">
      <c r="A39" s="576" t="s">
        <v>25</v>
      </c>
      <c r="B39" s="587">
        <f>D6</f>
        <v>626160.97380000027</v>
      </c>
      <c r="C39" s="588">
        <f>D16</f>
        <v>744465</v>
      </c>
      <c r="D39" s="587">
        <f>D7</f>
        <v>59658.180000000008</v>
      </c>
      <c r="E39" s="588">
        <f>D17</f>
        <v>61231</v>
      </c>
      <c r="F39" s="587">
        <f>D8</f>
        <v>9911.1599999999908</v>
      </c>
      <c r="G39" s="588">
        <f>D18</f>
        <v>13103</v>
      </c>
      <c r="H39" s="587">
        <f>D9</f>
        <v>16314.120000000004</v>
      </c>
      <c r="I39" s="588">
        <f>D19</f>
        <v>42237.603199999998</v>
      </c>
      <c r="J39" s="587">
        <f>D10</f>
        <v>10256.880000000003</v>
      </c>
      <c r="K39" s="588">
        <f>D20</f>
        <v>38231</v>
      </c>
      <c r="L39" s="587">
        <f>D11</f>
        <v>9904.9199999999983</v>
      </c>
      <c r="M39" s="588">
        <f>D21</f>
        <v>12781</v>
      </c>
      <c r="N39" s="589">
        <f t="shared" si="7"/>
        <v>732206.23380000028</v>
      </c>
      <c r="O39" s="590">
        <f t="shared" si="7"/>
        <v>912048.60320000001</v>
      </c>
      <c r="P39" s="607">
        <f t="shared" si="8"/>
        <v>0.80281492809812161</v>
      </c>
      <c r="Q39" s="614">
        <f t="shared" ref="Q39" si="29">N39/N54-1</f>
        <v>6.1620720595390921E-2</v>
      </c>
      <c r="R39" s="615">
        <f t="shared" ref="R39" si="30">O39/O54-1</f>
        <v>4.3835961364987241E-2</v>
      </c>
    </row>
    <row r="41" spans="1:19" ht="15" thickBot="1" x14ac:dyDescent="0.4"/>
    <row r="42" spans="1:19" x14ac:dyDescent="0.35">
      <c r="B42" s="664" t="s">
        <v>333</v>
      </c>
      <c r="C42" s="665"/>
      <c r="D42" s="664" t="s">
        <v>334</v>
      </c>
      <c r="E42" s="665"/>
      <c r="F42" s="664" t="s">
        <v>335</v>
      </c>
      <c r="G42" s="665"/>
      <c r="H42" s="664" t="s">
        <v>336</v>
      </c>
      <c r="I42" s="665"/>
      <c r="J42" s="664" t="s">
        <v>337</v>
      </c>
      <c r="K42" s="665"/>
      <c r="L42" s="664" t="s">
        <v>338</v>
      </c>
      <c r="M42" s="665"/>
      <c r="N42" s="670" t="s">
        <v>339</v>
      </c>
      <c r="O42" s="671"/>
      <c r="P42" s="673"/>
    </row>
    <row r="43" spans="1:19" ht="29.5" thickBot="1" x14ac:dyDescent="0.4">
      <c r="B43" s="582" t="s">
        <v>319</v>
      </c>
      <c r="C43" s="583" t="s">
        <v>320</v>
      </c>
      <c r="D43" s="582" t="s">
        <v>319</v>
      </c>
      <c r="E43" s="583" t="s">
        <v>320</v>
      </c>
      <c r="F43" s="582" t="s">
        <v>319</v>
      </c>
      <c r="G43" s="583" t="s">
        <v>320</v>
      </c>
      <c r="H43" s="582" t="s">
        <v>319</v>
      </c>
      <c r="I43" s="583" t="s">
        <v>320</v>
      </c>
      <c r="J43" s="582" t="s">
        <v>319</v>
      </c>
      <c r="K43" s="583" t="s">
        <v>320</v>
      </c>
      <c r="L43" s="582" t="s">
        <v>319</v>
      </c>
      <c r="M43" s="583" t="s">
        <v>320</v>
      </c>
      <c r="N43" s="584" t="s">
        <v>319</v>
      </c>
      <c r="O43" s="585" t="s">
        <v>320</v>
      </c>
      <c r="P43" s="586" t="s">
        <v>246</v>
      </c>
    </row>
    <row r="44" spans="1:19" x14ac:dyDescent="0.35">
      <c r="A44" s="592" t="s">
        <v>5</v>
      </c>
      <c r="B44" s="593">
        <f>'ALM-REPR'!D13+'ALM-REPR'!D78</f>
        <v>167353.70999999988</v>
      </c>
      <c r="C44" s="593">
        <f>'ALM-REPR'!F13+'ALM-REPR'!F78</f>
        <v>224142</v>
      </c>
      <c r="D44" s="593">
        <f>'PIS-REPR'!B13+'PIS-REPR'!B76</f>
        <v>3904.7200000000003</v>
      </c>
      <c r="E44" s="593">
        <f>'PIS-REPR'!D13+'PIS-REPR'!D76</f>
        <v>4244</v>
      </c>
      <c r="F44" s="593">
        <f>'AVE-REPR'!B13+'AVE-REPR'!B69</f>
        <v>0.57999999999999996</v>
      </c>
      <c r="G44" s="593">
        <f>'AVE-REPR'!D13+'AVE-REPR'!D69</f>
        <v>1</v>
      </c>
      <c r="H44" s="593">
        <f>'ALG-REPR'!B13+'ALG-REPR'!B48</f>
        <v>1116</v>
      </c>
      <c r="I44" s="593">
        <f>'ALG-REPR'!D13+'ALG-REPR'!D48</f>
        <v>2308.8376000000003</v>
      </c>
      <c r="J44" s="593">
        <f>'CAS-REPR'!B12</f>
        <v>3814.6200000000003</v>
      </c>
      <c r="K44" s="593">
        <f>'CAS-REPR'!D12</f>
        <v>8891</v>
      </c>
      <c r="L44" s="593">
        <f>'NOG-REPR'!B12</f>
        <v>1332.3400000000001</v>
      </c>
      <c r="M44" s="593">
        <f>'NOG-REPR'!D12</f>
        <v>2382</v>
      </c>
      <c r="N44" s="593">
        <f>L44+J44+H44+F44+D44+B44</f>
        <v>177521.96999999988</v>
      </c>
      <c r="O44" s="595">
        <f>M44+K44+I44+G44+E44+C44</f>
        <v>241968.8376</v>
      </c>
      <c r="P44" s="596">
        <f>N44/O44</f>
        <v>0.73365633261198049</v>
      </c>
    </row>
    <row r="45" spans="1:19" x14ac:dyDescent="0.35">
      <c r="A45" s="597" t="s">
        <v>15</v>
      </c>
      <c r="B45" s="577">
        <f>'ALM-REPR'!D35+'ALM-REPR'!D100</f>
        <v>141859.50999999992</v>
      </c>
      <c r="C45" s="577">
        <f>'ALM-REPR'!F35+'ALM-REPR'!F100</f>
        <v>141003</v>
      </c>
      <c r="D45" s="577">
        <f>'PIS-REPR'!B35+'PIS-REPR'!B98</f>
        <v>37803.30000000001</v>
      </c>
      <c r="E45" s="577">
        <f>'PIS-REPR'!D35+'PIS-REPR'!D98</f>
        <v>37941</v>
      </c>
      <c r="F45" s="577">
        <f>'AVE-REPR'!B32+'AVE-REPR'!B84</f>
        <v>13.41</v>
      </c>
      <c r="G45" s="577">
        <f>'AVE-REPR'!D32+'AVE-REPR'!D84</f>
        <v>10</v>
      </c>
      <c r="H45" s="577">
        <f>'ALG-REPR'!B22</f>
        <v>0</v>
      </c>
      <c r="I45" s="577">
        <f>'ALG-REPR'!D22</f>
        <v>20.992699999999999</v>
      </c>
      <c r="J45" s="577">
        <f>'CAS-REPR'!B34</f>
        <v>2.13</v>
      </c>
      <c r="K45" s="577">
        <f>'CAS-REPR'!D34</f>
        <v>2</v>
      </c>
      <c r="L45" s="577">
        <f>'NOG-REPR'!B41</f>
        <v>1762.77</v>
      </c>
      <c r="M45" s="577">
        <f>'NOG-REPR'!D41</f>
        <v>1740</v>
      </c>
      <c r="N45" s="577">
        <f t="shared" ref="N45:N52" si="31">L45+J45+H45+F45+D45+B45</f>
        <v>181441.11999999994</v>
      </c>
      <c r="O45" s="462">
        <f t="shared" ref="O45:O52" si="32">M45+K45+I45+G45+E45+C45</f>
        <v>180716.9927</v>
      </c>
      <c r="P45" s="581">
        <f t="shared" ref="P45:P52" si="33">N45/O45</f>
        <v>1.0040069685156947</v>
      </c>
    </row>
    <row r="46" spans="1:19" x14ac:dyDescent="0.35">
      <c r="A46" s="597" t="s">
        <v>13</v>
      </c>
      <c r="B46" s="577">
        <f>'ALM-REPR'!D91+'ALM-REPR'!D26</f>
        <v>61484.959999999977</v>
      </c>
      <c r="C46" s="577">
        <f>'ALM-REPR'!F91+'ALM-REPR'!F26</f>
        <v>93441</v>
      </c>
      <c r="D46" s="577">
        <f>'PIS-REPR'!B89+'PIS-REPR'!B26</f>
        <v>197.27999999999997</v>
      </c>
      <c r="E46" s="577">
        <f>'PIS-REPR'!D89+'PIS-REPR'!D26</f>
        <v>195</v>
      </c>
      <c r="F46" s="577">
        <f>'AVE-REPR'!B76+'AVE-REPR'!B22</f>
        <v>441.83</v>
      </c>
      <c r="G46" s="577">
        <f>'AVE-REPR'!D76+'AVE-REPR'!D22</f>
        <v>933</v>
      </c>
      <c r="H46" s="577">
        <f>'ALG-REPR'!B25+'ALG-REPR'!B55</f>
        <v>7061.4000000000024</v>
      </c>
      <c r="I46" s="577">
        <f>'ALG-REPR'!D25+'ALG-REPR'!D55</f>
        <v>16224.6816</v>
      </c>
      <c r="J46" s="577">
        <f>'CAS-REPR'!B26</f>
        <v>0.1</v>
      </c>
      <c r="K46" s="577">
        <f>'CAS-REPR'!D26</f>
        <v>0</v>
      </c>
      <c r="L46" s="577">
        <f>'NOG-REPR'!B27</f>
        <v>719.19</v>
      </c>
      <c r="M46" s="577">
        <f>'NOG-REPR'!D27</f>
        <v>1144</v>
      </c>
      <c r="N46" s="577">
        <f t="shared" si="31"/>
        <v>69904.75999999998</v>
      </c>
      <c r="O46" s="462">
        <f t="shared" si="32"/>
        <v>111937.6816</v>
      </c>
      <c r="P46" s="581">
        <f t="shared" si="33"/>
        <v>0.62449712197719831</v>
      </c>
    </row>
    <row r="47" spans="1:19" x14ac:dyDescent="0.35">
      <c r="A47" s="597" t="s">
        <v>12</v>
      </c>
      <c r="B47" s="577">
        <f>'ALM-REPR'!D22+'ALM-REPR'!D87</f>
        <v>77741.299999999959</v>
      </c>
      <c r="C47" s="577">
        <f>'ALM-REPR'!F22+'ALM-REPR'!F87</f>
        <v>83800</v>
      </c>
      <c r="D47" s="577">
        <f>'PIS-REPR'!B22+'PIS-REPR'!B85</f>
        <v>779.24</v>
      </c>
      <c r="E47" s="577">
        <f>'PIS-REPR'!D22+'PIS-REPR'!D85</f>
        <v>808</v>
      </c>
      <c r="F47" s="577">
        <f>'AVE-REPR'!B16+'AVE-REPR'!B72</f>
        <v>30.82</v>
      </c>
      <c r="G47" s="577">
        <f>'AVE-REPR'!D16+'AVE-REPR'!D72</f>
        <v>45</v>
      </c>
      <c r="H47" s="579"/>
      <c r="I47" s="579"/>
      <c r="J47" s="577">
        <f>'CAS-REPR'!B20</f>
        <v>0</v>
      </c>
      <c r="K47" s="577">
        <f>'CAS-REPR'!D20</f>
        <v>0</v>
      </c>
      <c r="L47" s="577">
        <f>'NOG-REPR'!B21</f>
        <v>1095.4599999999998</v>
      </c>
      <c r="M47" s="577">
        <f>'NOG-REPR'!D21</f>
        <v>1067</v>
      </c>
      <c r="N47" s="577">
        <f t="shared" si="31"/>
        <v>79646.819999999963</v>
      </c>
      <c r="O47" s="462">
        <f t="shared" si="32"/>
        <v>85720</v>
      </c>
      <c r="P47" s="581">
        <f t="shared" si="33"/>
        <v>0.92915095660289271</v>
      </c>
    </row>
    <row r="48" spans="1:19" x14ac:dyDescent="0.35">
      <c r="A48" s="597" t="s">
        <v>22</v>
      </c>
      <c r="B48" s="577">
        <f>'ALM-REPR'!D128+'ALM-REPR'!D63</f>
        <v>79475.029999999955</v>
      </c>
      <c r="C48" s="577">
        <f>'ALM-REPR'!F128+'ALM-REPR'!F63</f>
        <v>81160</v>
      </c>
      <c r="D48" s="577">
        <f>'PIS-REPR'!B63+'PIS-REPR'!B123</f>
        <v>671.24</v>
      </c>
      <c r="E48" s="577">
        <f>'PIS-REPR'!D63+'PIS-REPR'!D123</f>
        <v>951</v>
      </c>
      <c r="F48" s="579"/>
      <c r="G48" s="579"/>
      <c r="H48" s="577">
        <f>'ALG-REPR'!B67+'ALG-REPR'!B37</f>
        <v>813.11000000000013</v>
      </c>
      <c r="I48" s="577">
        <f>'ALG-REPR'!D67+'ALG-REPR'!D37</f>
        <v>1816.8398999999999</v>
      </c>
      <c r="J48" s="577"/>
      <c r="K48" s="577"/>
      <c r="L48" s="577">
        <f>'NOG-REPR'!B71</f>
        <v>91.420000000000016</v>
      </c>
      <c r="M48" s="577">
        <f>'NOG-REPR'!D71</f>
        <v>232</v>
      </c>
      <c r="N48" s="577">
        <f t="shared" si="31"/>
        <v>81050.799999999959</v>
      </c>
      <c r="O48" s="462">
        <f t="shared" si="32"/>
        <v>84159.839900000006</v>
      </c>
      <c r="P48" s="581">
        <f t="shared" si="33"/>
        <v>0.9630579157030924</v>
      </c>
    </row>
    <row r="49" spans="1:16" x14ac:dyDescent="0.35">
      <c r="A49" s="597" t="s">
        <v>14</v>
      </c>
      <c r="B49" s="577">
        <f>'ALM-REPR'!D30+'ALM-REPR'!D95</f>
        <v>34344.309999999983</v>
      </c>
      <c r="C49" s="577">
        <f>'ALM-REPR'!F30+'ALM-REPR'!F95</f>
        <v>39424</v>
      </c>
      <c r="D49" s="577">
        <f>'PIS-REPR'!B93+'PIS-REPR'!B30</f>
        <v>555.20000000000005</v>
      </c>
      <c r="E49" s="577">
        <f>'PIS-REPR'!D93+'PIS-REPR'!D30</f>
        <v>552</v>
      </c>
      <c r="F49" s="577">
        <f>'AVE-REPR'!B39+'AVE-REPR'!B87</f>
        <v>9707.1400000000049</v>
      </c>
      <c r="G49" s="577">
        <f>'AVE-REPR'!D39+'AVE-REPR'!D87</f>
        <v>11885</v>
      </c>
      <c r="H49" s="577">
        <f>'ALG-REPR'!B29+'ALG-REPR'!B59</f>
        <v>4036.610000000001</v>
      </c>
      <c r="I49" s="577">
        <f>'ALG-REPR'!D29+'ALG-REPR'!D59</f>
        <v>7563.3159000000005</v>
      </c>
      <c r="J49" s="577">
        <f>'CAS-REPR'!B38</f>
        <v>9.25</v>
      </c>
      <c r="K49" s="577">
        <f>'CAS-REPR'!D38</f>
        <v>101</v>
      </c>
      <c r="L49" s="577">
        <f>'NOG-REPR'!B49</f>
        <v>1177.9599999999998</v>
      </c>
      <c r="M49" s="577">
        <f>'NOG-REPR'!D49</f>
        <v>1139</v>
      </c>
      <c r="N49" s="577">
        <f t="shared" si="31"/>
        <v>49830.469999999987</v>
      </c>
      <c r="O49" s="462">
        <f t="shared" si="32"/>
        <v>60664.315900000001</v>
      </c>
      <c r="P49" s="581">
        <f t="shared" si="33"/>
        <v>0.82141320248531779</v>
      </c>
    </row>
    <row r="50" spans="1:16" x14ac:dyDescent="0.35">
      <c r="A50" s="597" t="s">
        <v>18</v>
      </c>
      <c r="B50" s="577">
        <f>'ALM-REPR'!D54+'ALM-REPR'!D119</f>
        <v>10899.050000000001</v>
      </c>
      <c r="C50" s="577">
        <f>'ALM-REPR'!F54+'ALM-REPR'!F119</f>
        <v>24032</v>
      </c>
      <c r="D50" s="577">
        <f>'PIS-REPR'!B57+'PIS-REPR'!B114</f>
        <v>0.96000000000000008</v>
      </c>
      <c r="E50" s="577">
        <f>'PIS-REPR'!D57+'PIS-REPR'!D114</f>
        <v>1</v>
      </c>
      <c r="F50" s="579"/>
      <c r="G50" s="579"/>
      <c r="H50" s="577">
        <f>'ALG-REPR'!B35+'ALG-REPR'!B65</f>
        <v>2056.11</v>
      </c>
      <c r="I50" s="577">
        <f>'ALG-REPR'!D35+'ALG-REPR'!D65</f>
        <v>14604.393100000001</v>
      </c>
      <c r="J50" s="579"/>
      <c r="K50" s="579"/>
      <c r="L50" s="577">
        <f>'NOG-REPR'!B62</f>
        <v>2.94</v>
      </c>
      <c r="M50" s="577">
        <f>'NOG-REPR'!D62</f>
        <v>11</v>
      </c>
      <c r="N50" s="577">
        <f t="shared" si="31"/>
        <v>12959.060000000001</v>
      </c>
      <c r="O50" s="462">
        <f t="shared" si="32"/>
        <v>38648.393100000001</v>
      </c>
      <c r="P50" s="581">
        <f t="shared" si="33"/>
        <v>0.3353065667301961</v>
      </c>
    </row>
    <row r="51" spans="1:16" x14ac:dyDescent="0.35">
      <c r="A51" s="597" t="s">
        <v>17</v>
      </c>
      <c r="B51" s="577">
        <f>'ALM-REPR'!D51+'ALM-REPR'!D116</f>
        <v>11264.980000000003</v>
      </c>
      <c r="C51" s="577">
        <f>'ALM-REPR'!F51+'ALM-REPR'!F116</f>
        <v>11879</v>
      </c>
      <c r="D51" s="577">
        <f>'PIS-REPR'!B51+'PIS-REPR'!B116</f>
        <v>1565.25</v>
      </c>
      <c r="E51" s="577">
        <f>'PIS-REPR'!D51+'PIS-REPR'!D116</f>
        <v>1587</v>
      </c>
      <c r="F51" s="577">
        <f>'AVE-REPR'!B44+'AVE-REPR'!B92</f>
        <v>11.39</v>
      </c>
      <c r="G51" s="577">
        <f>'AVE-REPR'!D44+'AVE-REPR'!D92</f>
        <v>11</v>
      </c>
      <c r="H51" s="577">
        <f>'ALG-REPR'!B33+'ALG-REPR'!B63</f>
        <v>3.86</v>
      </c>
      <c r="I51" s="577">
        <f>'ALG-REPR'!D33+'ALG-REPR'!D63</f>
        <v>0</v>
      </c>
      <c r="J51" s="577">
        <f>'CAS-REPR'!B43</f>
        <v>3167.6299999999997</v>
      </c>
      <c r="K51" s="577">
        <f>'CAS-REPR'!D43</f>
        <v>2949</v>
      </c>
      <c r="L51" s="577">
        <f>'NOG-REPR'!B54</f>
        <v>2366.79</v>
      </c>
      <c r="M51" s="577">
        <f>'NOG-REPR'!D54</f>
        <v>2335</v>
      </c>
      <c r="N51" s="577">
        <f t="shared" si="31"/>
        <v>18379.900000000001</v>
      </c>
      <c r="O51" s="462">
        <f t="shared" si="32"/>
        <v>18761</v>
      </c>
      <c r="P51" s="581">
        <f t="shared" si="33"/>
        <v>0.97968658387079588</v>
      </c>
    </row>
    <row r="52" spans="1:16" x14ac:dyDescent="0.35">
      <c r="A52" s="597" t="s">
        <v>321</v>
      </c>
      <c r="B52" s="577">
        <f>'ALM-REPR'!D41+'ALM-REPR'!D106</f>
        <v>2981.71</v>
      </c>
      <c r="C52" s="577">
        <f>'ALM-REPR'!F41+'ALM-REPR'!F106</f>
        <v>3120</v>
      </c>
      <c r="D52" s="577">
        <f>'PIS-REPR'!B41+'PIS-REPR'!B114</f>
        <v>1761.6699999999996</v>
      </c>
      <c r="E52" s="577">
        <f>'PIS-REPR'!D41+'PIS-REPR'!D114</f>
        <v>454</v>
      </c>
      <c r="F52" s="577">
        <f>'AVE-REPR'!B80</f>
        <v>3.51</v>
      </c>
      <c r="G52" s="577">
        <f>'AVE-REPR'!D80</f>
        <v>5</v>
      </c>
      <c r="H52" s="579"/>
      <c r="I52" s="579"/>
      <c r="J52" s="577">
        <f>'CAS-REPR'!B28</f>
        <v>257.86</v>
      </c>
      <c r="K52" s="577">
        <f>'CAS-REPR'!D28</f>
        <v>818</v>
      </c>
      <c r="L52" s="577">
        <f>'NOG-REPR'!B31</f>
        <v>522.12</v>
      </c>
      <c r="M52" s="577">
        <f>'NOG-REPR'!D31</f>
        <v>725</v>
      </c>
      <c r="N52" s="577">
        <f t="shared" si="31"/>
        <v>5526.87</v>
      </c>
      <c r="O52" s="462">
        <f t="shared" si="32"/>
        <v>5122</v>
      </c>
      <c r="P52" s="581">
        <f t="shared" si="33"/>
        <v>1.0790452948067162</v>
      </c>
    </row>
    <row r="53" spans="1:16" ht="15" thickBot="1" x14ac:dyDescent="0.4">
      <c r="A53" s="598" t="s">
        <v>323</v>
      </c>
      <c r="B53" s="599">
        <f>B54-SUM(B44:B52)</f>
        <v>9506.5300000000279</v>
      </c>
      <c r="C53" s="600">
        <f>C54-SUM(C44:C52)</f>
        <v>16539</v>
      </c>
      <c r="D53" s="599">
        <f t="shared" ref="D53:E53" si="34">D54-SUM(D44:D52)</f>
        <v>1000.4000000000015</v>
      </c>
      <c r="E53" s="599">
        <f t="shared" si="34"/>
        <v>2801</v>
      </c>
      <c r="F53" s="599">
        <f t="shared" ref="F53" si="35">F54-SUM(F44:F52)</f>
        <v>14.149999999999636</v>
      </c>
      <c r="G53" s="600">
        <f t="shared" ref="G53" si="36">G54-SUM(G44:G52)</f>
        <v>175</v>
      </c>
      <c r="H53" s="599">
        <f t="shared" ref="H53:I53" si="37">H54-SUM(H44:H52)</f>
        <v>0</v>
      </c>
      <c r="I53" s="599">
        <f t="shared" si="37"/>
        <v>0</v>
      </c>
      <c r="J53" s="599">
        <f t="shared" ref="J53" si="38">J54-SUM(J44:J52)</f>
        <v>2442.7599999999957</v>
      </c>
      <c r="K53" s="600">
        <f t="shared" ref="K53" si="39">K54-SUM(K44:K52)</f>
        <v>25018</v>
      </c>
      <c r="L53" s="599">
        <f t="shared" ref="L53:M53" si="40">L54-SUM(L44:L52)</f>
        <v>480.44000000000051</v>
      </c>
      <c r="M53" s="599">
        <f t="shared" si="40"/>
        <v>1515</v>
      </c>
      <c r="N53" s="599">
        <f t="shared" ref="N53" si="41">N54-SUM(N44:N52)</f>
        <v>13444.279999999795</v>
      </c>
      <c r="O53" s="601">
        <f t="shared" ref="O53" si="42">O54-SUM(O44:O52)</f>
        <v>46047.999999999884</v>
      </c>
      <c r="P53" s="602"/>
    </row>
    <row r="54" spans="1:16" ht="15" thickBot="1" x14ac:dyDescent="0.4">
      <c r="A54" s="576" t="s">
        <v>25</v>
      </c>
      <c r="B54" s="587">
        <f>K6</f>
        <v>596911.08999999962</v>
      </c>
      <c r="C54" s="588">
        <f>K16</f>
        <v>718540</v>
      </c>
      <c r="D54" s="587">
        <f>K7</f>
        <v>48239.26</v>
      </c>
      <c r="E54" s="587">
        <f>K17</f>
        <v>49534</v>
      </c>
      <c r="F54" s="587">
        <f>K8</f>
        <v>10222.830000000004</v>
      </c>
      <c r="G54" s="588">
        <f>K18</f>
        <v>13065</v>
      </c>
      <c r="H54" s="587">
        <f>K9</f>
        <v>15087.090000000004</v>
      </c>
      <c r="I54" s="587">
        <f>K19</f>
        <v>42539.060799999999</v>
      </c>
      <c r="J54" s="587">
        <f>K10</f>
        <v>9694.3499999999949</v>
      </c>
      <c r="K54" s="588">
        <f>K20</f>
        <v>37779</v>
      </c>
      <c r="L54" s="587">
        <f>K11</f>
        <v>9551.43</v>
      </c>
      <c r="M54" s="587">
        <f>K21</f>
        <v>12290</v>
      </c>
      <c r="N54" s="589">
        <f t="shared" ref="N54" si="43">L54+J54+H54+F54+D54+B54</f>
        <v>689706.04999999958</v>
      </c>
      <c r="O54" s="590">
        <f t="shared" ref="O54" si="44">M54+K54+I54+G54+E54+C54</f>
        <v>873747.06079999998</v>
      </c>
      <c r="P54" s="591">
        <f t="shared" ref="P54" si="45">N54/O54</f>
        <v>0.78936580269409662</v>
      </c>
    </row>
    <row r="57" spans="1:16" x14ac:dyDescent="0.35">
      <c r="A57" s="618" t="s">
        <v>341</v>
      </c>
    </row>
    <row r="58" spans="1:16" x14ac:dyDescent="0.35">
      <c r="E58" s="668" t="s">
        <v>342</v>
      </c>
      <c r="F58" s="668"/>
      <c r="G58" s="668"/>
    </row>
    <row r="59" spans="1:16" s="620" customFormat="1" x14ac:dyDescent="0.35">
      <c r="B59" s="619" t="s">
        <v>223</v>
      </c>
      <c r="C59" s="619" t="s">
        <v>224</v>
      </c>
      <c r="D59" s="619" t="s">
        <v>124</v>
      </c>
      <c r="E59" s="619" t="s">
        <v>223</v>
      </c>
      <c r="F59" s="619" t="s">
        <v>224</v>
      </c>
      <c r="G59" s="619" t="s">
        <v>124</v>
      </c>
    </row>
    <row r="60" spans="1:16" x14ac:dyDescent="0.35">
      <c r="A60" s="568" t="s">
        <v>103</v>
      </c>
      <c r="B60" s="459">
        <f>'ALM-EDAD'!$AH$66</f>
        <v>0.1409301447229383</v>
      </c>
      <c r="C60" s="459">
        <f>'ALM-EDAD'!AH141</f>
        <v>0.27891284639735686</v>
      </c>
      <c r="D60" s="459">
        <f>G60/D6</f>
        <v>0.16620526406879038</v>
      </c>
      <c r="E60" s="621">
        <f>'ALM-EDAD'!AD66</f>
        <v>72080.569999999992</v>
      </c>
      <c r="F60" s="621">
        <f>'ALM-EDAD'!AD141</f>
        <v>31990.679999999997</v>
      </c>
      <c r="G60" s="622">
        <f>E60+F60</f>
        <v>104071.24999999999</v>
      </c>
    </row>
    <row r="61" spans="1:16" x14ac:dyDescent="0.35">
      <c r="A61" s="568" t="s">
        <v>104</v>
      </c>
      <c r="B61" s="459">
        <f>'PIS-EDAD'!$AG$67</f>
        <v>0.62419125407240861</v>
      </c>
      <c r="C61" s="459">
        <f>'PIS-EDAD'!$AG$142</f>
        <v>0.46816075068320384</v>
      </c>
      <c r="D61" s="459">
        <f t="shared" ref="D61:D63" si="46">G61/D7</f>
        <v>0.58329251747203825</v>
      </c>
      <c r="E61" s="621">
        <f>'PIS-EDAD'!AD67</f>
        <v>27478.060000000005</v>
      </c>
      <c r="F61" s="621">
        <f>'PIS-EDAD'!AD142</f>
        <v>7320.1100000000006</v>
      </c>
      <c r="G61" s="622">
        <f t="shared" ref="G61:G63" si="47">E61+F61</f>
        <v>34798.170000000006</v>
      </c>
    </row>
    <row r="62" spans="1:16" x14ac:dyDescent="0.35">
      <c r="A62" s="568" t="s">
        <v>105</v>
      </c>
      <c r="B62" s="459">
        <f>'AVE-EDAD'!AG58</f>
        <v>2.6289713845726662E-2</v>
      </c>
      <c r="C62" s="459">
        <f>'AVE-EDAD'!AG109</f>
        <v>6.2575371238112909E-2</v>
      </c>
      <c r="D62" s="459">
        <f t="shared" si="46"/>
        <v>5.0969815843957759E-2</v>
      </c>
      <c r="E62" s="621">
        <f>'AVE-EDAD'!AD58</f>
        <v>83.31</v>
      </c>
      <c r="F62" s="621">
        <f>'AVE-EDAD'!AD109</f>
        <v>421.8599999999999</v>
      </c>
      <c r="G62" s="622">
        <f t="shared" si="47"/>
        <v>505.1699999999999</v>
      </c>
    </row>
    <row r="63" spans="1:16" x14ac:dyDescent="0.35">
      <c r="A63" s="568" t="s">
        <v>106</v>
      </c>
      <c r="B63" s="459">
        <f>'ALG-EDAD'!AG39</f>
        <v>2.965561799054282E-2</v>
      </c>
      <c r="C63" s="459">
        <f>'ALG-EDAD'!AG79</f>
        <v>9.6393010731858533E-2</v>
      </c>
      <c r="D63" s="459">
        <f t="shared" si="46"/>
        <v>3.2823100479829732E-2</v>
      </c>
      <c r="E63" s="621">
        <f>'ALG-EDAD'!AD39</f>
        <v>460.84</v>
      </c>
      <c r="F63" s="621">
        <f>'ALG-EDAD'!AD79</f>
        <v>74.64</v>
      </c>
      <c r="G63" s="622">
        <f t="shared" si="47"/>
        <v>535.48</v>
      </c>
    </row>
    <row r="64" spans="1:16" x14ac:dyDescent="0.35">
      <c r="A64" s="568" t="s">
        <v>317</v>
      </c>
      <c r="B64" s="459"/>
      <c r="C64" s="459"/>
      <c r="D64" s="459">
        <f>'CAS-EDAD'!$AG$50</f>
        <v>3.7997909695735931E-2</v>
      </c>
      <c r="E64" s="621"/>
      <c r="F64" s="621"/>
      <c r="G64" s="622">
        <f>'CAS-EDAD'!AD50</f>
        <v>389.74</v>
      </c>
    </row>
    <row r="65" spans="1:7" x14ac:dyDescent="0.35">
      <c r="A65" s="568" t="s">
        <v>85</v>
      </c>
      <c r="B65" s="459"/>
      <c r="C65" s="459"/>
      <c r="D65" s="459">
        <f>'NOG-EDAD'!$AG$78</f>
        <v>0.32921012991523407</v>
      </c>
      <c r="E65" s="621"/>
      <c r="F65" s="621"/>
      <c r="G65" s="622">
        <f>'NOG-EDAD'!AD78</f>
        <v>3260.8</v>
      </c>
    </row>
    <row r="66" spans="1:7" x14ac:dyDescent="0.35">
      <c r="A66" s="565" t="s">
        <v>124</v>
      </c>
      <c r="B66" s="564"/>
      <c r="C66" s="564"/>
      <c r="D66" s="564"/>
      <c r="E66" s="566"/>
      <c r="F66" s="566"/>
      <c r="G66" s="566">
        <f>SUM(G60:G65)</f>
        <v>143560.60999999999</v>
      </c>
    </row>
    <row r="67" spans="1:7" x14ac:dyDescent="0.35">
      <c r="G67" s="190">
        <f>G66/D12</f>
        <v>0.19606581229846928</v>
      </c>
    </row>
    <row r="72" spans="1:7" x14ac:dyDescent="0.35">
      <c r="A72" s="618" t="s">
        <v>213</v>
      </c>
    </row>
    <row r="73" spans="1:7" x14ac:dyDescent="0.35">
      <c r="B73" s="669" t="s">
        <v>213</v>
      </c>
      <c r="C73" s="669"/>
      <c r="D73" s="669"/>
    </row>
    <row r="74" spans="1:7" x14ac:dyDescent="0.35">
      <c r="A74" s="620"/>
      <c r="B74" s="626" t="s">
        <v>223</v>
      </c>
      <c r="C74" s="626" t="s">
        <v>224</v>
      </c>
      <c r="D74" s="626" t="s">
        <v>124</v>
      </c>
      <c r="E74" s="626" t="s">
        <v>223</v>
      </c>
      <c r="F74" s="626" t="s">
        <v>224</v>
      </c>
      <c r="G74" s="626" t="s">
        <v>124</v>
      </c>
    </row>
    <row r="75" spans="1:7" x14ac:dyDescent="0.35">
      <c r="A75" s="568" t="s">
        <v>103</v>
      </c>
      <c r="B75" s="625">
        <f>'ALM-ECO'!C67</f>
        <v>109754.40000000002</v>
      </c>
      <c r="C75" s="625">
        <f>'ALM-ECO'!C129</f>
        <v>14198.980000000003</v>
      </c>
      <c r="D75" s="625">
        <f>B75+C75</f>
        <v>123953.38000000003</v>
      </c>
      <c r="E75" s="318">
        <f>B75/B6</f>
        <v>0.21458904184266001</v>
      </c>
      <c r="F75" s="318">
        <f t="shared" ref="F75:G75" si="48">C75/C6</f>
        <v>0.12379474046000721</v>
      </c>
      <c r="G75" s="629">
        <f t="shared" si="48"/>
        <v>0.19795769009326908</v>
      </c>
    </row>
    <row r="76" spans="1:7" x14ac:dyDescent="0.35">
      <c r="A76" s="568" t="s">
        <v>104</v>
      </c>
      <c r="B76" s="625">
        <f>'PIS-ECO'!C65</f>
        <v>10444.08</v>
      </c>
      <c r="C76" s="625">
        <f>'PIS-ECO'!C124</f>
        <v>3402.8300000000004</v>
      </c>
      <c r="D76" s="625">
        <f t="shared" ref="D76:D78" si="49">B76+C76</f>
        <v>13846.91</v>
      </c>
      <c r="E76" s="318">
        <f t="shared" ref="E76:E78" si="50">B76/B7</f>
        <v>0.23724677723711388</v>
      </c>
      <c r="F76" s="318">
        <f t="shared" ref="F76:F78" si="51">C76/C7</f>
        <v>0.21762554385121163</v>
      </c>
      <c r="G76" s="629">
        <f t="shared" ref="G76:G78" si="52">D76/D7</f>
        <v>0.23210413056516305</v>
      </c>
    </row>
    <row r="77" spans="1:7" x14ac:dyDescent="0.35">
      <c r="A77" s="568" t="s">
        <v>105</v>
      </c>
      <c r="B77" s="625">
        <f>'AVE-ECO'!C58</f>
        <v>125.18000000000004</v>
      </c>
      <c r="C77" s="625">
        <f>'AVE-ECO'!C97</f>
        <v>248.54000000000002</v>
      </c>
      <c r="D77" s="625">
        <f t="shared" si="49"/>
        <v>373.72</v>
      </c>
      <c r="E77" s="318">
        <f t="shared" si="50"/>
        <v>3.9501669306843283E-2</v>
      </c>
      <c r="F77" s="318">
        <f t="shared" si="51"/>
        <v>3.6863447727589621E-2</v>
      </c>
      <c r="G77" s="629">
        <f t="shared" si="52"/>
        <v>3.7706988889292511E-2</v>
      </c>
    </row>
    <row r="78" spans="1:7" x14ac:dyDescent="0.35">
      <c r="A78" s="568" t="s">
        <v>106</v>
      </c>
      <c r="B78" s="625">
        <f>'ALG-ECO'!C34</f>
        <v>1411.53</v>
      </c>
      <c r="C78" s="625">
        <f>'ALG-ECO'!C63</f>
        <v>136.24999999999997</v>
      </c>
      <c r="D78" s="625">
        <f t="shared" si="49"/>
        <v>1547.78</v>
      </c>
      <c r="E78" s="318">
        <f t="shared" si="50"/>
        <v>9.0833682974982788E-2</v>
      </c>
      <c r="F78" s="318">
        <f t="shared" si="51"/>
        <v>0.17594266528925609</v>
      </c>
      <c r="G78" s="629">
        <f t="shared" si="52"/>
        <v>9.4873643199878357E-2</v>
      </c>
    </row>
    <row r="79" spans="1:7" x14ac:dyDescent="0.35">
      <c r="A79" s="627" t="s">
        <v>124</v>
      </c>
      <c r="B79" s="628">
        <f t="shared" ref="B79:C79" si="53">SUM(B75:B78)/SUM(B6:B9)</f>
        <v>0.2120105872413425</v>
      </c>
      <c r="C79" s="628">
        <f t="shared" si="53"/>
        <v>0.13047901962638017</v>
      </c>
      <c r="D79" s="628">
        <f>SUM(D75:D78)/SUM(D6:D9)</f>
        <v>0.1962262232068023</v>
      </c>
    </row>
  </sheetData>
  <mergeCells count="17">
    <mergeCell ref="J42:K42"/>
    <mergeCell ref="L42:M42"/>
    <mergeCell ref="Q27:R27"/>
    <mergeCell ref="E58:G58"/>
    <mergeCell ref="B73:D73"/>
    <mergeCell ref="N27:P27"/>
    <mergeCell ref="B27:C27"/>
    <mergeCell ref="D27:E27"/>
    <mergeCell ref="F27:G27"/>
    <mergeCell ref="H27:I27"/>
    <mergeCell ref="J27:K27"/>
    <mergeCell ref="L27:M27"/>
    <mergeCell ref="N42:P42"/>
    <mergeCell ref="B42:C42"/>
    <mergeCell ref="D42:E42"/>
    <mergeCell ref="F42:G42"/>
    <mergeCell ref="H42:I42"/>
  </mergeCells>
  <conditionalFormatting sqref="E16:E21">
    <cfRule type="cellIs" dxfId="263" priority="2" operator="lessThan">
      <formula>0</formula>
    </cfRule>
  </conditionalFormatting>
  <conditionalFormatting sqref="F6:F11">
    <cfRule type="cellIs" dxfId="262" priority="1" operator="lessThan">
      <formula>0</formula>
    </cfRule>
  </conditionalFormatting>
  <pageMargins left="0.7" right="0.7" top="0.75" bottom="0.75" header="0.3" footer="0.3"/>
  <pageSetup paperSize="9" orientation="portrait" r:id="rId1"/>
  <ignoredErrors>
    <ignoredError sqref="N38:O38"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sheetPr>
  <dimension ref="A1:V187"/>
  <sheetViews>
    <sheetView topLeftCell="A145" zoomScale="40" zoomScaleNormal="40" workbookViewId="0">
      <selection activeCell="H4" sqref="H4"/>
    </sheetView>
  </sheetViews>
  <sheetFormatPr baseColWidth="10" defaultRowHeight="14.5" x14ac:dyDescent="0.35"/>
  <cols>
    <col min="1" max="1" width="26.453125" customWidth="1"/>
    <col min="3" max="3" width="11.453125" customWidth="1"/>
    <col min="5" max="5" width="11.453125" customWidth="1"/>
    <col min="7" max="7" width="11.453125" customWidth="1"/>
    <col min="8" max="8" width="13" customWidth="1"/>
    <col min="9" max="11" width="11.453125" customWidth="1"/>
    <col min="12" max="12" width="12.90625" customWidth="1"/>
    <col min="16" max="16" width="24.453125" bestFit="1" customWidth="1"/>
    <col min="17" max="17" width="18.81640625" customWidth="1"/>
    <col min="18" max="18" width="13" bestFit="1" customWidth="1"/>
    <col min="19" max="19" width="17.453125" customWidth="1"/>
    <col min="21" max="21" width="17.08984375" customWidth="1"/>
    <col min="22" max="22" width="11" customWidth="1"/>
    <col min="23" max="23" width="13" bestFit="1" customWidth="1"/>
  </cols>
  <sheetData>
    <row r="1" spans="1:22" x14ac:dyDescent="0.35">
      <c r="A1" s="240" t="s">
        <v>10</v>
      </c>
      <c r="B1" s="2" t="s">
        <v>9</v>
      </c>
    </row>
    <row r="3" spans="1:22" x14ac:dyDescent="0.35">
      <c r="L3" t="s">
        <v>143</v>
      </c>
      <c r="M3" s="2" t="s">
        <v>144</v>
      </c>
    </row>
    <row r="4" spans="1:22" ht="17.5" x14ac:dyDescent="0.35">
      <c r="A4" s="277" t="s">
        <v>138</v>
      </c>
      <c r="B4" s="234"/>
      <c r="C4" s="339"/>
    </row>
    <row r="5" spans="1:22" x14ac:dyDescent="0.35">
      <c r="A5" s="241" t="s">
        <v>196</v>
      </c>
      <c r="B5" s="235"/>
      <c r="C5" s="336"/>
    </row>
    <row r="6" spans="1:22" x14ac:dyDescent="0.35">
      <c r="A6" s="242" t="s">
        <v>197</v>
      </c>
      <c r="B6" s="235"/>
      <c r="C6" s="340"/>
    </row>
    <row r="7" spans="1:22" x14ac:dyDescent="0.35">
      <c r="A7" s="242" t="s">
        <v>198</v>
      </c>
      <c r="B7" s="235"/>
      <c r="C7" s="340"/>
    </row>
    <row r="8" spans="1:22" ht="18.5" x14ac:dyDescent="0.45">
      <c r="A8" s="223"/>
      <c r="B8" s="230"/>
      <c r="C8" s="231"/>
    </row>
    <row r="9" spans="1:22" ht="18.5" x14ac:dyDescent="0.45">
      <c r="A9" s="223"/>
      <c r="B9" s="136"/>
      <c r="C9" s="136"/>
    </row>
    <row r="10" spans="1:22" ht="18.5" x14ac:dyDescent="0.45">
      <c r="A10" s="223"/>
      <c r="B10" s="223"/>
    </row>
    <row r="11" spans="1:22" ht="15.5" x14ac:dyDescent="0.35">
      <c r="A11" s="276" t="s">
        <v>136</v>
      </c>
    </row>
    <row r="12" spans="1:22" x14ac:dyDescent="0.35">
      <c r="A12" s="716" t="s">
        <v>88</v>
      </c>
      <c r="B12" s="718" t="s">
        <v>113</v>
      </c>
      <c r="C12" s="715"/>
      <c r="D12" s="715"/>
      <c r="E12" s="715"/>
      <c r="F12" s="715"/>
      <c r="G12" s="715"/>
      <c r="H12" s="715"/>
      <c r="I12" s="715"/>
      <c r="J12" s="715"/>
      <c r="K12" s="715"/>
      <c r="L12" s="715"/>
      <c r="M12" s="715"/>
    </row>
    <row r="13" spans="1:22" ht="30" customHeight="1" x14ac:dyDescent="0.35">
      <c r="A13" s="717"/>
      <c r="B13" s="539" t="s">
        <v>114</v>
      </c>
      <c r="C13" s="542" t="s">
        <v>315</v>
      </c>
      <c r="D13" s="540" t="s">
        <v>119</v>
      </c>
      <c r="E13" s="267" t="s">
        <v>115</v>
      </c>
      <c r="F13" s="541" t="s">
        <v>125</v>
      </c>
      <c r="G13" s="540" t="s">
        <v>126</v>
      </c>
      <c r="H13" s="542" t="s">
        <v>127</v>
      </c>
      <c r="I13" s="267" t="s">
        <v>117</v>
      </c>
      <c r="J13" s="541" t="s">
        <v>116</v>
      </c>
      <c r="K13" s="267" t="s">
        <v>122</v>
      </c>
      <c r="L13" s="267" t="s">
        <v>123</v>
      </c>
      <c r="M13" s="268" t="s">
        <v>124</v>
      </c>
      <c r="P13" s="711" t="s">
        <v>145</v>
      </c>
      <c r="Q13" s="712"/>
      <c r="R13" s="712"/>
      <c r="S13" s="709" t="s">
        <v>147</v>
      </c>
      <c r="T13" s="709"/>
      <c r="U13" s="710" t="s">
        <v>146</v>
      </c>
      <c r="V13" s="710"/>
    </row>
    <row r="14" spans="1:22" x14ac:dyDescent="0.35">
      <c r="A14" s="272" t="s">
        <v>5</v>
      </c>
      <c r="B14" s="273">
        <f t="shared" ref="B14:L14" si="0">SUM(B15:B22)</f>
        <v>4467.7299999999977</v>
      </c>
      <c r="C14" s="273">
        <v>15478.390000000007</v>
      </c>
      <c r="D14" s="273">
        <f t="shared" si="0"/>
        <v>641.88999999999987</v>
      </c>
      <c r="E14" s="273">
        <f t="shared" si="0"/>
        <v>868.26000000000022</v>
      </c>
      <c r="F14" s="273">
        <f t="shared" si="0"/>
        <v>2330.9800000000005</v>
      </c>
      <c r="G14" s="273">
        <f t="shared" si="0"/>
        <v>1231.46</v>
      </c>
      <c r="H14" s="273">
        <f t="shared" si="0"/>
        <v>1106.2200000000003</v>
      </c>
      <c r="I14" s="273">
        <f t="shared" si="0"/>
        <v>427.23</v>
      </c>
      <c r="J14" s="273">
        <f t="shared" si="0"/>
        <v>414.68</v>
      </c>
      <c r="K14" s="273"/>
      <c r="L14" s="273">
        <f t="shared" si="0"/>
        <v>4224.16</v>
      </c>
      <c r="M14" s="273">
        <f t="shared" ref="M14:M45" si="1">SUM(B14:L14)</f>
        <v>31191.000000000004</v>
      </c>
      <c r="P14" s="271" t="s">
        <v>315</v>
      </c>
      <c r="Q14" s="212">
        <f>C67</f>
        <v>30816.840000000007</v>
      </c>
      <c r="R14" s="22">
        <f>Q14/$Q$25</f>
        <v>0.26918015755379776</v>
      </c>
      <c r="S14" s="547">
        <f>C187</f>
        <v>28296.800000000007</v>
      </c>
      <c r="T14" s="548">
        <f>S14/$S$25</f>
        <v>0.28216355171406327</v>
      </c>
      <c r="U14" s="547">
        <f>C127</f>
        <v>2520.04</v>
      </c>
      <c r="V14" s="548">
        <f>U14/$U$25</f>
        <v>0.17748047921785873</v>
      </c>
    </row>
    <row r="15" spans="1:22" x14ac:dyDescent="0.35">
      <c r="A15" s="15" t="s">
        <v>6</v>
      </c>
      <c r="B15" s="12">
        <v>326.15999999999968</v>
      </c>
      <c r="C15" s="12">
        <v>108.3</v>
      </c>
      <c r="D15" s="12">
        <v>25.02</v>
      </c>
      <c r="E15" s="12">
        <v>209.74999999999991</v>
      </c>
      <c r="F15" s="12">
        <f>0.08+0.79</f>
        <v>0.87</v>
      </c>
      <c r="G15" s="12">
        <v>31.7</v>
      </c>
      <c r="H15" s="12">
        <v>1.39</v>
      </c>
      <c r="I15" s="12">
        <v>99.630000000000024</v>
      </c>
      <c r="J15" s="12">
        <v>39.589999999999975</v>
      </c>
      <c r="K15" s="12"/>
      <c r="L15" s="12">
        <v>209.90000000000012</v>
      </c>
      <c r="M15" s="12">
        <f t="shared" si="1"/>
        <v>1052.3099999999997</v>
      </c>
      <c r="P15" s="271" t="s">
        <v>114</v>
      </c>
      <c r="Q15" s="212">
        <f>B67</f>
        <v>25541.93</v>
      </c>
      <c r="R15" s="22">
        <f t="shared" ref="R15:R25" si="2">Q15/$Q$25</f>
        <v>0.22310466425590916</v>
      </c>
      <c r="S15" s="212">
        <f>B187</f>
        <v>20446.330000000002</v>
      </c>
      <c r="T15" s="22">
        <f t="shared" ref="T15:T25" si="3">S15/$S$25</f>
        <v>0.20388203232583904</v>
      </c>
      <c r="U15" s="212">
        <f>B127</f>
        <v>5095.5999999999995</v>
      </c>
      <c r="V15" s="22">
        <f t="shared" ref="V15:V25" si="4">U15/$U$25</f>
        <v>0.35887110121367949</v>
      </c>
    </row>
    <row r="16" spans="1:22" x14ac:dyDescent="0.35">
      <c r="A16" s="16" t="s">
        <v>7</v>
      </c>
      <c r="B16" s="12">
        <v>17.240000000000002</v>
      </c>
      <c r="C16" s="12">
        <v>456.72</v>
      </c>
      <c r="D16" s="12"/>
      <c r="E16" s="12"/>
      <c r="F16" s="12">
        <v>118.92</v>
      </c>
      <c r="G16" s="12">
        <v>17.96</v>
      </c>
      <c r="H16" s="12">
        <f>40+0.27</f>
        <v>40.270000000000003</v>
      </c>
      <c r="I16" s="12">
        <v>24.33</v>
      </c>
      <c r="J16" s="12"/>
      <c r="K16" s="12"/>
      <c r="L16" s="12">
        <v>136.04999999999998</v>
      </c>
      <c r="M16" s="12">
        <f t="shared" si="1"/>
        <v>811.49</v>
      </c>
      <c r="P16" s="271" t="s">
        <v>119</v>
      </c>
      <c r="Q16" s="212">
        <f>D67</f>
        <v>9087.7599999999984</v>
      </c>
      <c r="R16" s="22">
        <f t="shared" si="2"/>
        <v>7.9380126859570938E-2</v>
      </c>
      <c r="S16" s="212">
        <f>D187</f>
        <v>8308.7299999999977</v>
      </c>
      <c r="T16" s="22">
        <f t="shared" si="3"/>
        <v>8.2851091538025057E-2</v>
      </c>
      <c r="U16" s="212">
        <f>D127</f>
        <v>779.03</v>
      </c>
      <c r="V16" s="22">
        <f t="shared" si="4"/>
        <v>5.4865247267935617E-2</v>
      </c>
    </row>
    <row r="17" spans="1:22" x14ac:dyDescent="0.35">
      <c r="A17" s="16" t="s">
        <v>8</v>
      </c>
      <c r="B17" s="12">
        <v>217.98000000000002</v>
      </c>
      <c r="C17" s="12">
        <v>5553.7100000000009</v>
      </c>
      <c r="D17" s="12">
        <v>12.91</v>
      </c>
      <c r="E17" s="12">
        <v>0.11</v>
      </c>
      <c r="F17" s="12">
        <v>941.6</v>
      </c>
      <c r="G17" s="12">
        <v>0.87</v>
      </c>
      <c r="H17" s="12">
        <v>334.77</v>
      </c>
      <c r="I17" s="12">
        <v>16.95</v>
      </c>
      <c r="J17" s="12">
        <v>0.23</v>
      </c>
      <c r="K17" s="12"/>
      <c r="L17" s="12">
        <v>599.53000000000009</v>
      </c>
      <c r="M17" s="12">
        <f t="shared" si="1"/>
        <v>7678.66</v>
      </c>
      <c r="P17" s="271" t="s">
        <v>126</v>
      </c>
      <c r="Q17" s="212">
        <f>G67</f>
        <v>7452.1299999999983</v>
      </c>
      <c r="R17" s="22">
        <f t="shared" si="2"/>
        <v>6.5093160996110622E-2</v>
      </c>
      <c r="S17" s="212">
        <f>G187</f>
        <v>6487.9399999999987</v>
      </c>
      <c r="T17" s="22">
        <f t="shared" si="3"/>
        <v>6.4694954684195338E-2</v>
      </c>
      <c r="U17" s="212">
        <f>G127</f>
        <v>964.18999999999983</v>
      </c>
      <c r="V17" s="22">
        <f t="shared" si="4"/>
        <v>6.7905629774554041E-2</v>
      </c>
    </row>
    <row r="18" spans="1:22" x14ac:dyDescent="0.35">
      <c r="A18" s="16" t="s">
        <v>26</v>
      </c>
      <c r="B18" s="12">
        <v>2810.8799999999983</v>
      </c>
      <c r="C18" s="12">
        <v>992.70999999999981</v>
      </c>
      <c r="D18" s="12">
        <v>287.62999999999988</v>
      </c>
      <c r="E18" s="12">
        <v>567.94000000000017</v>
      </c>
      <c r="F18" s="12">
        <v>28.73</v>
      </c>
      <c r="G18" s="12">
        <v>245.58</v>
      </c>
      <c r="H18" s="12">
        <v>397.27000000000015</v>
      </c>
      <c r="I18" s="12">
        <v>201.28000000000006</v>
      </c>
      <c r="J18" s="12">
        <v>348.77</v>
      </c>
      <c r="K18" s="12"/>
      <c r="L18" s="12">
        <v>1276.2599999999995</v>
      </c>
      <c r="M18" s="12">
        <f t="shared" si="1"/>
        <v>7157.0499999999984</v>
      </c>
      <c r="P18" s="271" t="s">
        <v>125</v>
      </c>
      <c r="Q18" s="212">
        <f>F67</f>
        <v>6588.7400000000007</v>
      </c>
      <c r="R18" s="22">
        <f t="shared" si="2"/>
        <v>5.7551587744915089E-2</v>
      </c>
      <c r="S18" s="212">
        <f>F187</f>
        <v>6077.5400000000009</v>
      </c>
      <c r="T18" s="22">
        <f t="shared" si="3"/>
        <v>6.0602621924892137E-2</v>
      </c>
      <c r="U18" s="212">
        <f>F127</f>
        <v>511.20000000000005</v>
      </c>
      <c r="V18" s="22">
        <f t="shared" si="4"/>
        <v>3.6002611457028218E-2</v>
      </c>
    </row>
    <row r="19" spans="1:22" x14ac:dyDescent="0.35">
      <c r="A19" s="16" t="s">
        <v>27</v>
      </c>
      <c r="B19" s="12">
        <v>41.45</v>
      </c>
      <c r="C19" s="12">
        <v>446.37</v>
      </c>
      <c r="D19" s="12">
        <v>14.08</v>
      </c>
      <c r="E19" s="12">
        <v>30.19</v>
      </c>
      <c r="F19" s="12"/>
      <c r="G19" s="12">
        <v>58.26</v>
      </c>
      <c r="H19" s="12">
        <v>53.17</v>
      </c>
      <c r="I19" s="12"/>
      <c r="J19" s="12"/>
      <c r="K19" s="12"/>
      <c r="L19" s="12">
        <v>107.7</v>
      </c>
      <c r="M19" s="12">
        <f t="shared" si="1"/>
        <v>751.22</v>
      </c>
      <c r="P19" s="271" t="s">
        <v>127</v>
      </c>
      <c r="Q19" s="212">
        <f>H67</f>
        <v>6209.72</v>
      </c>
      <c r="R19" s="22">
        <f t="shared" si="2"/>
        <v>5.4240908800674198E-2</v>
      </c>
      <c r="S19" s="212">
        <f>H187</f>
        <v>5552.52</v>
      </c>
      <c r="T19" s="22">
        <f t="shared" si="3"/>
        <v>5.5367347691730878E-2</v>
      </c>
      <c r="U19" s="212">
        <f>H127</f>
        <v>657.2</v>
      </c>
      <c r="V19" s="22">
        <f t="shared" si="4"/>
        <v>4.6285047436539405E-2</v>
      </c>
    </row>
    <row r="20" spans="1:22" x14ac:dyDescent="0.35">
      <c r="A20" s="16" t="s">
        <v>28</v>
      </c>
      <c r="B20" s="12">
        <v>155.86000000000001</v>
      </c>
      <c r="C20" s="12">
        <v>971.86</v>
      </c>
      <c r="D20" s="12">
        <v>10.16</v>
      </c>
      <c r="E20" s="12">
        <v>4.1900000000000004</v>
      </c>
      <c r="F20" s="12">
        <v>140.05000000000001</v>
      </c>
      <c r="G20" s="12">
        <v>170.6</v>
      </c>
      <c r="H20" s="12">
        <v>78.430000000000007</v>
      </c>
      <c r="I20" s="12">
        <v>10.33</v>
      </c>
      <c r="J20" s="12">
        <v>17.54</v>
      </c>
      <c r="K20" s="12"/>
      <c r="L20" s="12">
        <v>340.56999999999994</v>
      </c>
      <c r="M20" s="12">
        <f t="shared" si="1"/>
        <v>1899.59</v>
      </c>
      <c r="P20" s="271" t="s">
        <v>115</v>
      </c>
      <c r="Q20" s="212">
        <f>E67</f>
        <v>6063.0399999999972</v>
      </c>
      <c r="R20" s="22">
        <f t="shared" si="2"/>
        <v>5.2959682513034324E-2</v>
      </c>
      <c r="S20" s="212">
        <f>E187</f>
        <v>4956.279999999997</v>
      </c>
      <c r="T20" s="22">
        <f t="shared" si="3"/>
        <v>4.9421898168322084E-2</v>
      </c>
      <c r="U20" s="212">
        <f>E127</f>
        <v>1106.76</v>
      </c>
      <c r="V20" s="22">
        <f t="shared" si="4"/>
        <v>7.794649893619042E-2</v>
      </c>
    </row>
    <row r="21" spans="1:22" x14ac:dyDescent="0.35">
      <c r="A21" s="16" t="s">
        <v>29</v>
      </c>
      <c r="B21" s="12">
        <v>38.309999999999995</v>
      </c>
      <c r="C21" s="12">
        <v>157.35000000000002</v>
      </c>
      <c r="D21" s="12"/>
      <c r="E21" s="12">
        <v>15.73</v>
      </c>
      <c r="F21" s="12"/>
      <c r="G21" s="12">
        <v>7.07</v>
      </c>
      <c r="H21" s="12">
        <v>16.920000000000002</v>
      </c>
      <c r="I21" s="12">
        <v>12.53</v>
      </c>
      <c r="J21" s="12">
        <v>1.48</v>
      </c>
      <c r="K21" s="12"/>
      <c r="L21" s="12">
        <v>136.59</v>
      </c>
      <c r="M21" s="12">
        <f t="shared" si="1"/>
        <v>385.98</v>
      </c>
      <c r="P21" s="271" t="s">
        <v>117</v>
      </c>
      <c r="Q21" s="212">
        <f>I67</f>
        <v>2659.6499999999996</v>
      </c>
      <c r="R21" s="22">
        <f t="shared" si="2"/>
        <v>2.3231616416152918E-2</v>
      </c>
      <c r="S21" s="212">
        <f>I187</f>
        <v>2313.3299999999995</v>
      </c>
      <c r="T21" s="22">
        <f t="shared" si="3"/>
        <v>2.3067534459256654E-2</v>
      </c>
      <c r="U21" s="212">
        <f>I127</f>
        <v>346.32</v>
      </c>
      <c r="V21" s="22">
        <f t="shared" si="4"/>
        <v>2.43905015645501E-2</v>
      </c>
    </row>
    <row r="22" spans="1:22" x14ac:dyDescent="0.35">
      <c r="A22" s="16" t="s">
        <v>30</v>
      </c>
      <c r="B22" s="12">
        <v>859.84999999999957</v>
      </c>
      <c r="C22" s="12">
        <v>6791.3700000000072</v>
      </c>
      <c r="D22" s="12">
        <v>292.08999999999997</v>
      </c>
      <c r="E22" s="12">
        <v>40.35</v>
      </c>
      <c r="F22" s="12">
        <v>1100.8100000000002</v>
      </c>
      <c r="G22" s="12">
        <v>699.42</v>
      </c>
      <c r="H22" s="12">
        <v>184</v>
      </c>
      <c r="I22" s="12">
        <v>62.18</v>
      </c>
      <c r="J22" s="12">
        <v>7.07</v>
      </c>
      <c r="K22" s="12"/>
      <c r="L22" s="12">
        <v>1417.5600000000004</v>
      </c>
      <c r="M22" s="12">
        <f t="shared" si="1"/>
        <v>11454.700000000008</v>
      </c>
      <c r="P22" s="271" t="s">
        <v>116</v>
      </c>
      <c r="Q22" s="212">
        <f>J67</f>
        <v>2694.67</v>
      </c>
      <c r="R22" s="22">
        <f t="shared" si="2"/>
        <v>2.3537510502552889E-2</v>
      </c>
      <c r="S22" s="212">
        <f>J187</f>
        <v>2168.1400000000003</v>
      </c>
      <c r="T22" s="22">
        <f t="shared" si="3"/>
        <v>2.1619762058371586E-2</v>
      </c>
      <c r="U22" s="212">
        <f>J127</f>
        <v>526.53</v>
      </c>
      <c r="V22" s="22">
        <f t="shared" si="4"/>
        <v>3.7082267234876884E-2</v>
      </c>
    </row>
    <row r="23" spans="1:22" x14ac:dyDescent="0.35">
      <c r="A23" s="272" t="s">
        <v>12</v>
      </c>
      <c r="B23" s="273">
        <f t="shared" ref="B23:L23" si="5">SUM(B24:B26)</f>
        <v>8380.970000000003</v>
      </c>
      <c r="C23" s="273">
        <v>2634.4000000000019</v>
      </c>
      <c r="D23" s="273">
        <f t="shared" si="5"/>
        <v>2279.2399999999998</v>
      </c>
      <c r="E23" s="273">
        <f t="shared" si="5"/>
        <v>977.3099999999996</v>
      </c>
      <c r="F23" s="273">
        <f t="shared" si="5"/>
        <v>1898.3600000000006</v>
      </c>
      <c r="G23" s="273">
        <f t="shared" si="5"/>
        <v>1529.9399999999996</v>
      </c>
      <c r="H23" s="273">
        <f t="shared" si="5"/>
        <v>570.86</v>
      </c>
      <c r="I23" s="273">
        <f t="shared" si="5"/>
        <v>209.8</v>
      </c>
      <c r="J23" s="273">
        <f t="shared" si="5"/>
        <v>588.48</v>
      </c>
      <c r="K23" s="273"/>
      <c r="L23" s="273">
        <f t="shared" si="5"/>
        <v>2646.3100000000013</v>
      </c>
      <c r="M23" s="273">
        <f t="shared" si="1"/>
        <v>21715.670000000006</v>
      </c>
      <c r="P23" s="271" t="s">
        <v>122</v>
      </c>
      <c r="Q23" s="212">
        <f>K67</f>
        <v>0</v>
      </c>
      <c r="R23" s="22">
        <f t="shared" si="2"/>
        <v>0</v>
      </c>
      <c r="S23" s="212">
        <f>K187</f>
        <v>0</v>
      </c>
      <c r="T23" s="22">
        <f t="shared" si="3"/>
        <v>0</v>
      </c>
      <c r="U23" s="212">
        <f>K127</f>
        <v>0</v>
      </c>
      <c r="V23" s="22">
        <f t="shared" si="4"/>
        <v>0</v>
      </c>
    </row>
    <row r="24" spans="1:22" x14ac:dyDescent="0.35">
      <c r="A24" s="6" t="s">
        <v>31</v>
      </c>
      <c r="B24" s="12">
        <v>1111.8499999999992</v>
      </c>
      <c r="C24" s="12">
        <v>1104.2300000000012</v>
      </c>
      <c r="D24" s="12">
        <v>1151.3400000000004</v>
      </c>
      <c r="E24" s="12">
        <v>50.35</v>
      </c>
      <c r="F24" s="12">
        <v>744.69000000000028</v>
      </c>
      <c r="G24" s="12">
        <v>989.87</v>
      </c>
      <c r="H24" s="12">
        <v>469.81</v>
      </c>
      <c r="I24" s="12">
        <v>94.499999999999986</v>
      </c>
      <c r="J24" s="12">
        <v>91.61</v>
      </c>
      <c r="K24" s="12"/>
      <c r="L24" s="12">
        <v>1120.5900000000011</v>
      </c>
      <c r="M24" s="12">
        <f t="shared" si="1"/>
        <v>6928.840000000002</v>
      </c>
      <c r="P24" s="389" t="s">
        <v>123</v>
      </c>
      <c r="Q24" s="212">
        <f>L67</f>
        <v>17369.59</v>
      </c>
      <c r="R24" s="22">
        <f t="shared" si="2"/>
        <v>0.1517205843572822</v>
      </c>
      <c r="S24" s="212">
        <f>L187</f>
        <v>15677.49</v>
      </c>
      <c r="T24" s="22">
        <f t="shared" si="3"/>
        <v>0.15632920543530393</v>
      </c>
      <c r="U24" s="212">
        <f>L127</f>
        <v>1692.0999999999997</v>
      </c>
      <c r="V24" s="22">
        <f t="shared" si="4"/>
        <v>0.11917061589678683</v>
      </c>
    </row>
    <row r="25" spans="1:22" x14ac:dyDescent="0.35">
      <c r="A25" s="6" t="s">
        <v>32</v>
      </c>
      <c r="B25" s="12">
        <v>987.44999999999959</v>
      </c>
      <c r="C25" s="12">
        <v>90.15</v>
      </c>
      <c r="D25" s="12">
        <v>48.52</v>
      </c>
      <c r="E25" s="12">
        <v>188.07</v>
      </c>
      <c r="F25" s="12">
        <v>135.32</v>
      </c>
      <c r="G25" s="12">
        <v>82.11</v>
      </c>
      <c r="H25" s="12">
        <v>12.3</v>
      </c>
      <c r="I25" s="12">
        <v>9.14</v>
      </c>
      <c r="J25" s="12">
        <v>43.57</v>
      </c>
      <c r="K25" s="12"/>
      <c r="L25" s="12">
        <v>216.02000000000004</v>
      </c>
      <c r="M25" s="12">
        <f t="shared" si="1"/>
        <v>1812.6499999999994</v>
      </c>
      <c r="P25" s="268" t="s">
        <v>130</v>
      </c>
      <c r="Q25" s="269">
        <f>SUM(Q14:Q24)</f>
        <v>114484.06999999999</v>
      </c>
      <c r="R25" s="270">
        <f t="shared" si="2"/>
        <v>1</v>
      </c>
      <c r="S25" s="543">
        <f>SUM(S14:S24)</f>
        <v>100285.1</v>
      </c>
      <c r="T25" s="544">
        <f t="shared" si="3"/>
        <v>1</v>
      </c>
      <c r="U25" s="545">
        <f>M127</f>
        <v>14198.970000000003</v>
      </c>
      <c r="V25" s="546">
        <f t="shared" si="4"/>
        <v>1</v>
      </c>
    </row>
    <row r="26" spans="1:22" x14ac:dyDescent="0.35">
      <c r="A26" s="6" t="s">
        <v>33</v>
      </c>
      <c r="B26" s="12">
        <v>6281.6700000000037</v>
      </c>
      <c r="C26" s="12">
        <v>1440.0200000000007</v>
      </c>
      <c r="D26" s="12">
        <v>1079.3799999999997</v>
      </c>
      <c r="E26" s="12">
        <v>738.88999999999965</v>
      </c>
      <c r="F26" s="12">
        <v>1018.3500000000003</v>
      </c>
      <c r="G26" s="12">
        <v>457.95999999999958</v>
      </c>
      <c r="H26" s="12">
        <v>88.75</v>
      </c>
      <c r="I26" s="12">
        <v>106.16000000000001</v>
      </c>
      <c r="J26" s="12">
        <v>453.3</v>
      </c>
      <c r="K26" s="12"/>
      <c r="L26" s="12">
        <v>1309.7000000000005</v>
      </c>
      <c r="M26" s="12">
        <f t="shared" si="1"/>
        <v>12974.180000000002</v>
      </c>
    </row>
    <row r="27" spans="1:22" x14ac:dyDescent="0.35">
      <c r="A27" s="272" t="s">
        <v>13</v>
      </c>
      <c r="B27" s="273">
        <f t="shared" ref="B27:L27" si="6">SUM(B28:B30)</f>
        <v>2716.1499999999996</v>
      </c>
      <c r="C27" s="273">
        <v>934.73</v>
      </c>
      <c r="D27" s="273">
        <f t="shared" si="6"/>
        <v>590.45000000000005</v>
      </c>
      <c r="E27" s="273">
        <f t="shared" si="6"/>
        <v>835.02</v>
      </c>
      <c r="F27" s="273">
        <f t="shared" si="6"/>
        <v>117.17</v>
      </c>
      <c r="G27" s="273">
        <f t="shared" si="6"/>
        <v>355.28</v>
      </c>
      <c r="H27" s="273">
        <f t="shared" si="6"/>
        <v>131.01</v>
      </c>
      <c r="I27" s="273">
        <f t="shared" si="6"/>
        <v>1029.2599999999993</v>
      </c>
      <c r="J27" s="273">
        <f t="shared" si="6"/>
        <v>460.51</v>
      </c>
      <c r="K27" s="273"/>
      <c r="L27" s="273">
        <f t="shared" si="6"/>
        <v>1822.9999999999995</v>
      </c>
      <c r="M27" s="273">
        <f t="shared" si="1"/>
        <v>8992.58</v>
      </c>
    </row>
    <row r="28" spans="1:22" x14ac:dyDescent="0.35">
      <c r="A28" s="6" t="s">
        <v>34</v>
      </c>
      <c r="B28" s="12">
        <v>2448.4499999999994</v>
      </c>
      <c r="C28" s="12">
        <v>361.87999999999994</v>
      </c>
      <c r="D28" s="12">
        <v>277.79000000000002</v>
      </c>
      <c r="E28" s="12">
        <v>599.29</v>
      </c>
      <c r="F28" s="12">
        <v>84.51</v>
      </c>
      <c r="G28" s="12">
        <v>142.13999999999999</v>
      </c>
      <c r="H28" s="12">
        <v>94.99</v>
      </c>
      <c r="I28" s="12">
        <v>200.36</v>
      </c>
      <c r="J28" s="12">
        <v>9.34</v>
      </c>
      <c r="K28" s="12"/>
      <c r="L28" s="12">
        <v>674.85000000000025</v>
      </c>
      <c r="M28" s="12">
        <f t="shared" si="1"/>
        <v>4893.5999999999995</v>
      </c>
    </row>
    <row r="29" spans="1:22" x14ac:dyDescent="0.35">
      <c r="A29" s="6" t="s">
        <v>61</v>
      </c>
      <c r="B29" s="12">
        <v>43.42</v>
      </c>
      <c r="C29" s="12">
        <v>96.71</v>
      </c>
      <c r="D29" s="12">
        <v>171.18</v>
      </c>
      <c r="E29" s="12">
        <v>104.00000000000004</v>
      </c>
      <c r="F29" s="12">
        <v>17.71</v>
      </c>
      <c r="G29" s="12">
        <v>37.4</v>
      </c>
      <c r="H29" s="12">
        <v>9.8699999999999992</v>
      </c>
      <c r="I29" s="12">
        <v>583.3899999999993</v>
      </c>
      <c r="J29" s="12">
        <v>1.1499999999999999</v>
      </c>
      <c r="K29" s="12"/>
      <c r="L29" s="12">
        <v>392.27999999999975</v>
      </c>
      <c r="M29" s="12">
        <f t="shared" si="1"/>
        <v>1457.1099999999992</v>
      </c>
    </row>
    <row r="30" spans="1:22" x14ac:dyDescent="0.35">
      <c r="A30" s="6" t="s">
        <v>36</v>
      </c>
      <c r="B30" s="12">
        <v>224.28</v>
      </c>
      <c r="C30" s="12">
        <v>476.14</v>
      </c>
      <c r="D30" s="12">
        <v>141.47999999999999</v>
      </c>
      <c r="E30" s="12">
        <v>131.72999999999999</v>
      </c>
      <c r="F30" s="12">
        <v>14.95</v>
      </c>
      <c r="G30" s="12">
        <v>175.74</v>
      </c>
      <c r="H30" s="12">
        <v>26.15</v>
      </c>
      <c r="I30" s="12">
        <v>245.5100000000001</v>
      </c>
      <c r="J30" s="12">
        <v>450.02</v>
      </c>
      <c r="K30" s="12"/>
      <c r="L30" s="12">
        <v>755.86999999999955</v>
      </c>
      <c r="M30" s="12">
        <f t="shared" si="1"/>
        <v>2641.87</v>
      </c>
    </row>
    <row r="31" spans="1:22" x14ac:dyDescent="0.35">
      <c r="A31" s="272" t="s">
        <v>14</v>
      </c>
      <c r="B31" s="273">
        <f t="shared" ref="B31:L31" si="7">SUM(B32:B35)</f>
        <v>627.7399999999999</v>
      </c>
      <c r="C31" s="273">
        <v>1266.8900000000001</v>
      </c>
      <c r="D31" s="273">
        <f t="shared" si="7"/>
        <v>3388.04</v>
      </c>
      <c r="E31" s="273">
        <f t="shared" si="7"/>
        <v>1941.0099999999961</v>
      </c>
      <c r="F31" s="273">
        <f t="shared" si="7"/>
        <v>405.36999999999989</v>
      </c>
      <c r="G31" s="273">
        <f t="shared" si="7"/>
        <v>1152.0199999999998</v>
      </c>
      <c r="H31" s="273">
        <f t="shared" si="7"/>
        <v>226.55</v>
      </c>
      <c r="I31" s="273">
        <f t="shared" si="7"/>
        <v>339.90000000000009</v>
      </c>
      <c r="J31" s="273">
        <f t="shared" si="7"/>
        <v>512.21</v>
      </c>
      <c r="K31" s="273"/>
      <c r="L31" s="273">
        <f t="shared" si="7"/>
        <v>1542.369999999999</v>
      </c>
      <c r="M31" s="273">
        <f t="shared" si="1"/>
        <v>11402.099999999995</v>
      </c>
    </row>
    <row r="32" spans="1:22" x14ac:dyDescent="0.35">
      <c r="A32" s="6" t="s">
        <v>37</v>
      </c>
      <c r="B32" s="12"/>
      <c r="C32" s="12">
        <v>0</v>
      </c>
      <c r="D32" s="12">
        <v>2.41</v>
      </c>
      <c r="E32" s="12">
        <v>3.84</v>
      </c>
      <c r="F32" s="12"/>
      <c r="G32" s="12">
        <f>0.39+2.28</f>
        <v>2.67</v>
      </c>
      <c r="H32" s="12"/>
      <c r="I32" s="12">
        <v>5.67</v>
      </c>
      <c r="J32" s="12">
        <v>6.6</v>
      </c>
      <c r="K32" s="12"/>
      <c r="L32" s="12"/>
      <c r="M32" s="12">
        <f t="shared" si="1"/>
        <v>21.189999999999998</v>
      </c>
    </row>
    <row r="33" spans="1:13" x14ac:dyDescent="0.35">
      <c r="A33" s="6" t="s">
        <v>38</v>
      </c>
      <c r="B33" s="12">
        <v>13.95</v>
      </c>
      <c r="C33" s="12">
        <v>13.81</v>
      </c>
      <c r="D33" s="12"/>
      <c r="E33" s="12"/>
      <c r="F33" s="12">
        <v>0.09</v>
      </c>
      <c r="G33" s="12">
        <f>0.31+1.59</f>
        <v>1.9000000000000001</v>
      </c>
      <c r="H33" s="12"/>
      <c r="I33" s="12">
        <f>0.38+0.22</f>
        <v>0.6</v>
      </c>
      <c r="J33" s="12">
        <v>0.09</v>
      </c>
      <c r="K33" s="12"/>
      <c r="L33" s="12">
        <v>2.2800000000000002</v>
      </c>
      <c r="M33" s="12">
        <f t="shared" si="1"/>
        <v>32.72</v>
      </c>
    </row>
    <row r="34" spans="1:13" x14ac:dyDescent="0.35">
      <c r="A34" s="6" t="s">
        <v>39</v>
      </c>
      <c r="B34" s="12">
        <v>459.08999999999986</v>
      </c>
      <c r="C34" s="12">
        <v>1162.8000000000002</v>
      </c>
      <c r="D34" s="12">
        <v>2539.0100000000002</v>
      </c>
      <c r="E34" s="12">
        <v>787.64999999999975</v>
      </c>
      <c r="F34" s="12">
        <v>301.27999999999997</v>
      </c>
      <c r="G34" s="12">
        <v>763.04999999999973</v>
      </c>
      <c r="H34" s="12">
        <v>182.1</v>
      </c>
      <c r="I34" s="12">
        <v>109.63000000000001</v>
      </c>
      <c r="J34" s="12">
        <v>367.99</v>
      </c>
      <c r="K34" s="12"/>
      <c r="L34" s="12">
        <v>827.42999999999961</v>
      </c>
      <c r="M34" s="12">
        <f t="shared" si="1"/>
        <v>7500.0299999999988</v>
      </c>
    </row>
    <row r="35" spans="1:13" x14ac:dyDescent="0.35">
      <c r="A35" s="6" t="s">
        <v>40</v>
      </c>
      <c r="B35" s="12">
        <v>154.70000000000005</v>
      </c>
      <c r="C35" s="12">
        <v>90.28</v>
      </c>
      <c r="D35" s="12">
        <v>846.62</v>
      </c>
      <c r="E35" s="12">
        <v>1149.5199999999963</v>
      </c>
      <c r="F35" s="12">
        <v>103.99999999999996</v>
      </c>
      <c r="G35" s="12">
        <v>384.39999999999992</v>
      </c>
      <c r="H35" s="12">
        <v>44.45</v>
      </c>
      <c r="I35" s="12">
        <v>224.00000000000009</v>
      </c>
      <c r="J35" s="12">
        <v>137.52999999999997</v>
      </c>
      <c r="K35" s="12"/>
      <c r="L35" s="12">
        <v>712.65999999999951</v>
      </c>
      <c r="M35" s="12">
        <f t="shared" si="1"/>
        <v>3848.1599999999958</v>
      </c>
    </row>
    <row r="36" spans="1:13" x14ac:dyDescent="0.35">
      <c r="A36" s="272" t="s">
        <v>15</v>
      </c>
      <c r="B36" s="273">
        <f t="shared" ref="B36:L36" si="8">SUM(B37:B41)</f>
        <v>6016.33</v>
      </c>
      <c r="C36" s="273">
        <v>5977.3899999999985</v>
      </c>
      <c r="D36" s="273">
        <f t="shared" si="8"/>
        <v>1212.67</v>
      </c>
      <c r="E36" s="273">
        <f t="shared" si="8"/>
        <v>535.73</v>
      </c>
      <c r="F36" s="273">
        <f t="shared" si="8"/>
        <v>566.68000000000006</v>
      </c>
      <c r="G36" s="273">
        <f t="shared" si="8"/>
        <v>2074.4399999999996</v>
      </c>
      <c r="H36" s="273">
        <f t="shared" si="8"/>
        <v>2951.21</v>
      </c>
      <c r="I36" s="273">
        <f t="shared" si="8"/>
        <v>167.22999999999996</v>
      </c>
      <c r="J36" s="273">
        <f t="shared" si="8"/>
        <v>215.66999999999993</v>
      </c>
      <c r="K36" s="273"/>
      <c r="L36" s="273">
        <f t="shared" si="8"/>
        <v>1922.1000000000001</v>
      </c>
      <c r="M36" s="273">
        <f t="shared" si="1"/>
        <v>21639.449999999993</v>
      </c>
    </row>
    <row r="37" spans="1:13" x14ac:dyDescent="0.35">
      <c r="A37" s="6" t="s">
        <v>41</v>
      </c>
      <c r="B37" s="12">
        <v>3780.2699999999991</v>
      </c>
      <c r="C37" s="12">
        <v>3928.7699999999991</v>
      </c>
      <c r="D37" s="12">
        <v>457.63</v>
      </c>
      <c r="E37" s="12">
        <v>489.87</v>
      </c>
      <c r="F37" s="12">
        <v>191.66</v>
      </c>
      <c r="G37" s="12">
        <v>683.18000000000006</v>
      </c>
      <c r="H37" s="12">
        <v>2153.31</v>
      </c>
      <c r="I37" s="12">
        <v>143.16999999999999</v>
      </c>
      <c r="J37" s="12">
        <v>188.06999999999994</v>
      </c>
      <c r="K37" s="12"/>
      <c r="L37" s="12">
        <v>994.48000000000036</v>
      </c>
      <c r="M37" s="12">
        <f t="shared" si="1"/>
        <v>13010.409999999998</v>
      </c>
    </row>
    <row r="38" spans="1:13" x14ac:dyDescent="0.35">
      <c r="A38" s="6" t="s">
        <v>42</v>
      </c>
      <c r="B38" s="12">
        <v>915.68999999999937</v>
      </c>
      <c r="C38" s="12">
        <v>915.00999999999954</v>
      </c>
      <c r="D38" s="12">
        <v>295.33999999999997</v>
      </c>
      <c r="E38" s="12">
        <v>13.76</v>
      </c>
      <c r="F38" s="12">
        <v>60.08</v>
      </c>
      <c r="G38" s="12">
        <v>839.4299999999995</v>
      </c>
      <c r="H38" s="12">
        <v>417.73</v>
      </c>
      <c r="I38" s="12">
        <v>10.45</v>
      </c>
      <c r="J38" s="12">
        <v>2.65</v>
      </c>
      <c r="K38" s="12"/>
      <c r="L38" s="12">
        <v>396.1099999999999</v>
      </c>
      <c r="M38" s="12">
        <f t="shared" si="1"/>
        <v>3866.2499999999982</v>
      </c>
    </row>
    <row r="39" spans="1:13" x14ac:dyDescent="0.35">
      <c r="A39" s="6" t="s">
        <v>43</v>
      </c>
      <c r="B39" s="12">
        <v>106.05</v>
      </c>
      <c r="C39" s="12">
        <v>434.32</v>
      </c>
      <c r="D39" s="12">
        <v>74</v>
      </c>
      <c r="E39" s="12">
        <v>1.84</v>
      </c>
      <c r="F39" s="12">
        <v>51.03</v>
      </c>
      <c r="G39" s="12">
        <v>212.14</v>
      </c>
      <c r="H39" s="12">
        <v>124.93</v>
      </c>
      <c r="I39" s="12"/>
      <c r="J39" s="12">
        <f>0.23+3.5</f>
        <v>3.73</v>
      </c>
      <c r="K39" s="12"/>
      <c r="L39" s="12">
        <v>133.68000000000004</v>
      </c>
      <c r="M39" s="12">
        <f t="shared" si="1"/>
        <v>1141.72</v>
      </c>
    </row>
    <row r="40" spans="1:13" x14ac:dyDescent="0.35">
      <c r="A40" s="6" t="s">
        <v>44</v>
      </c>
      <c r="B40" s="12">
        <v>8.02</v>
      </c>
      <c r="C40" s="12">
        <v>20.52</v>
      </c>
      <c r="D40" s="12"/>
      <c r="E40" s="12">
        <v>0.11</v>
      </c>
      <c r="F40" s="12"/>
      <c r="G40" s="12"/>
      <c r="H40" s="12"/>
      <c r="I40" s="12"/>
      <c r="J40" s="12">
        <v>0.09</v>
      </c>
      <c r="K40" s="12"/>
      <c r="L40" s="12">
        <v>6.2299999999999995</v>
      </c>
      <c r="M40" s="12">
        <f t="shared" si="1"/>
        <v>34.97</v>
      </c>
    </row>
    <row r="41" spans="1:13" x14ac:dyDescent="0.35">
      <c r="A41" s="6" t="s">
        <v>45</v>
      </c>
      <c r="B41" s="12">
        <v>1206.3000000000011</v>
      </c>
      <c r="C41" s="12">
        <v>678.77</v>
      </c>
      <c r="D41" s="12">
        <v>385.7</v>
      </c>
      <c r="E41" s="12">
        <v>30.15</v>
      </c>
      <c r="F41" s="12">
        <v>263.91000000000003</v>
      </c>
      <c r="G41" s="12">
        <v>339.68999999999994</v>
      </c>
      <c r="H41" s="12">
        <v>255.24</v>
      </c>
      <c r="I41" s="12">
        <v>13.61</v>
      </c>
      <c r="J41" s="12">
        <v>21.13</v>
      </c>
      <c r="K41" s="12"/>
      <c r="L41" s="12">
        <v>391.59999999999997</v>
      </c>
      <c r="M41" s="12">
        <f t="shared" si="1"/>
        <v>3586.1000000000013</v>
      </c>
    </row>
    <row r="42" spans="1:13" x14ac:dyDescent="0.35">
      <c r="A42" s="272" t="s">
        <v>16</v>
      </c>
      <c r="B42" s="273">
        <f t="shared" ref="B42:L42" si="9">SUM(B43:B51)</f>
        <v>101.5</v>
      </c>
      <c r="C42" s="273">
        <v>51.47</v>
      </c>
      <c r="D42" s="273">
        <f t="shared" si="9"/>
        <v>11.12</v>
      </c>
      <c r="E42" s="273">
        <f t="shared" si="9"/>
        <v>2.46</v>
      </c>
      <c r="F42" s="273">
        <f t="shared" si="9"/>
        <v>1.1100000000000001</v>
      </c>
      <c r="G42" s="273">
        <f t="shared" si="9"/>
        <v>65.710000000000008</v>
      </c>
      <c r="H42" s="273">
        <f t="shared" si="9"/>
        <v>259.77</v>
      </c>
      <c r="I42" s="273">
        <f t="shared" si="9"/>
        <v>2.2400000000000002</v>
      </c>
      <c r="J42" s="273">
        <f t="shared" si="9"/>
        <v>6.35</v>
      </c>
      <c r="K42" s="273"/>
      <c r="L42" s="273">
        <f t="shared" si="9"/>
        <v>186.74000000000004</v>
      </c>
      <c r="M42" s="273">
        <f t="shared" si="1"/>
        <v>688.47</v>
      </c>
    </row>
    <row r="43" spans="1:13" x14ac:dyDescent="0.35">
      <c r="A43" s="6" t="s">
        <v>46</v>
      </c>
      <c r="B43" s="12">
        <v>4.1399999999999997</v>
      </c>
      <c r="C43" s="12">
        <v>0</v>
      </c>
      <c r="D43" s="12"/>
      <c r="E43" s="12"/>
      <c r="F43" s="12"/>
      <c r="G43" s="12"/>
      <c r="H43" s="12">
        <v>1.83</v>
      </c>
      <c r="I43" s="12"/>
      <c r="J43" s="12"/>
      <c r="K43" s="12"/>
      <c r="L43" s="12">
        <v>6.37</v>
      </c>
      <c r="M43" s="12">
        <f t="shared" si="1"/>
        <v>12.34</v>
      </c>
    </row>
    <row r="44" spans="1:13" x14ac:dyDescent="0.35">
      <c r="A44" s="6" t="s">
        <v>47</v>
      </c>
      <c r="B44" s="12"/>
      <c r="C44" s="12">
        <v>0</v>
      </c>
      <c r="D44" s="12">
        <v>0.18</v>
      </c>
      <c r="E44" s="12"/>
      <c r="F44" s="12"/>
      <c r="G44" s="12"/>
      <c r="H44" s="12">
        <v>0.26</v>
      </c>
      <c r="I44" s="12">
        <f>0.06+0.1</f>
        <v>0.16</v>
      </c>
      <c r="J44" s="12"/>
      <c r="K44" s="12"/>
      <c r="L44" s="12">
        <v>1.72</v>
      </c>
      <c r="M44" s="12">
        <f t="shared" si="1"/>
        <v>2.3199999999999998</v>
      </c>
    </row>
    <row r="45" spans="1:13" x14ac:dyDescent="0.35">
      <c r="A45" s="6" t="s">
        <v>48</v>
      </c>
      <c r="B45" s="12">
        <f>0.14+0.2</f>
        <v>0.34</v>
      </c>
      <c r="C45" s="12">
        <v>0</v>
      </c>
      <c r="D45" s="12"/>
      <c r="E45" s="12"/>
      <c r="F45" s="12"/>
      <c r="G45" s="12"/>
      <c r="H45" s="12">
        <v>57.41</v>
      </c>
      <c r="I45" s="12"/>
      <c r="J45" s="12"/>
      <c r="K45" s="12"/>
      <c r="L45" s="12">
        <v>1.56</v>
      </c>
      <c r="M45" s="12">
        <f t="shared" si="1"/>
        <v>59.31</v>
      </c>
    </row>
    <row r="46" spans="1:13" x14ac:dyDescent="0.35">
      <c r="A46" s="6" t="s">
        <v>49</v>
      </c>
      <c r="B46" s="12"/>
      <c r="C46" s="12">
        <v>0</v>
      </c>
      <c r="D46" s="12"/>
      <c r="E46" s="12"/>
      <c r="F46" s="12"/>
      <c r="G46" s="12"/>
      <c r="H46" s="12">
        <v>11</v>
      </c>
      <c r="I46" s="12"/>
      <c r="J46" s="12"/>
      <c r="K46" s="12"/>
      <c r="L46" s="12">
        <v>16.52</v>
      </c>
      <c r="M46" s="12">
        <f t="shared" ref="M46:M66" si="10">SUM(B46:L46)</f>
        <v>27.52</v>
      </c>
    </row>
    <row r="47" spans="1:13" x14ac:dyDescent="0.35">
      <c r="A47" s="6" t="s">
        <v>50</v>
      </c>
      <c r="B47" s="12"/>
      <c r="C47" s="12">
        <v>13.29</v>
      </c>
      <c r="D47" s="12"/>
      <c r="E47" s="12"/>
      <c r="F47" s="12"/>
      <c r="G47" s="12"/>
      <c r="H47" s="12">
        <v>49.44</v>
      </c>
      <c r="I47" s="12"/>
      <c r="J47" s="12"/>
      <c r="K47" s="12"/>
      <c r="L47" s="12"/>
      <c r="M47" s="12">
        <f t="shared" si="10"/>
        <v>62.73</v>
      </c>
    </row>
    <row r="48" spans="1:13" x14ac:dyDescent="0.35">
      <c r="A48" s="6" t="s">
        <v>51</v>
      </c>
      <c r="B48" s="12"/>
      <c r="C48" s="12">
        <v>0</v>
      </c>
      <c r="D48" s="12"/>
      <c r="E48" s="12"/>
      <c r="F48" s="12"/>
      <c r="G48" s="12"/>
      <c r="H48" s="12"/>
      <c r="I48" s="12"/>
      <c r="J48" s="12"/>
      <c r="K48" s="12"/>
      <c r="L48" s="12"/>
      <c r="M48" s="12">
        <f t="shared" si="10"/>
        <v>0</v>
      </c>
    </row>
    <row r="49" spans="1:13" x14ac:dyDescent="0.35">
      <c r="A49" s="6" t="s">
        <v>52</v>
      </c>
      <c r="B49" s="12">
        <v>14.32</v>
      </c>
      <c r="C49" s="12">
        <v>0</v>
      </c>
      <c r="D49" s="12"/>
      <c r="E49" s="12">
        <v>0.28999999999999998</v>
      </c>
      <c r="F49" s="12">
        <v>1.1100000000000001</v>
      </c>
      <c r="G49" s="12">
        <f>1.11+0.37</f>
        <v>1.48</v>
      </c>
      <c r="H49" s="12">
        <v>54.05</v>
      </c>
      <c r="I49" s="12">
        <v>2.08</v>
      </c>
      <c r="J49" s="12">
        <v>1.1499999999999999</v>
      </c>
      <c r="K49" s="12"/>
      <c r="L49" s="12">
        <v>5.410000000000001</v>
      </c>
      <c r="M49" s="12">
        <f t="shared" si="10"/>
        <v>79.89</v>
      </c>
    </row>
    <row r="50" spans="1:13" x14ac:dyDescent="0.35">
      <c r="A50" s="6" t="s">
        <v>53</v>
      </c>
      <c r="B50" s="12">
        <v>74.08</v>
      </c>
      <c r="C50" s="12">
        <v>38.18</v>
      </c>
      <c r="D50" s="12">
        <f>1.69+0.55</f>
        <v>2.2400000000000002</v>
      </c>
      <c r="E50" s="12">
        <f>0.56+0.48</f>
        <v>1.04</v>
      </c>
      <c r="F50" s="12"/>
      <c r="G50" s="12">
        <v>64.23</v>
      </c>
      <c r="H50" s="12">
        <v>66.03</v>
      </c>
      <c r="I50" s="12"/>
      <c r="J50" s="12">
        <v>5.2</v>
      </c>
      <c r="K50" s="12"/>
      <c r="L50" s="12">
        <v>143.85000000000002</v>
      </c>
      <c r="M50" s="12">
        <f t="shared" si="10"/>
        <v>394.85</v>
      </c>
    </row>
    <row r="51" spans="1:13" x14ac:dyDescent="0.35">
      <c r="A51" s="6" t="s">
        <v>54</v>
      </c>
      <c r="B51" s="12">
        <v>8.620000000000001</v>
      </c>
      <c r="C51" s="12">
        <v>0</v>
      </c>
      <c r="D51" s="12">
        <f>0.54+0.19+7.97</f>
        <v>8.6999999999999993</v>
      </c>
      <c r="E51" s="12">
        <v>1.1299999999999999</v>
      </c>
      <c r="F51" s="12"/>
      <c r="G51" s="12"/>
      <c r="H51" s="12">
        <v>19.75</v>
      </c>
      <c r="I51" s="12"/>
      <c r="J51" s="12"/>
      <c r="K51" s="12"/>
      <c r="L51" s="12">
        <v>11.31</v>
      </c>
      <c r="M51" s="12">
        <f t="shared" si="10"/>
        <v>49.510000000000005</v>
      </c>
    </row>
    <row r="52" spans="1:13" x14ac:dyDescent="0.35">
      <c r="A52" s="272" t="s">
        <v>17</v>
      </c>
      <c r="B52" s="273">
        <f t="shared" ref="B52:L52" si="11">SUM(B53:B54)</f>
        <v>679.06000000000017</v>
      </c>
      <c r="C52" s="273">
        <v>3245.869999999999</v>
      </c>
      <c r="D52" s="273">
        <f t="shared" si="11"/>
        <v>650.74</v>
      </c>
      <c r="E52" s="273">
        <f t="shared" si="11"/>
        <v>24.91</v>
      </c>
      <c r="F52" s="273">
        <f t="shared" si="11"/>
        <v>1076.69</v>
      </c>
      <c r="G52" s="273">
        <f t="shared" si="11"/>
        <v>448.01</v>
      </c>
      <c r="H52" s="273">
        <f t="shared" si="11"/>
        <v>476.13</v>
      </c>
      <c r="I52" s="273">
        <f t="shared" si="11"/>
        <v>30.65</v>
      </c>
      <c r="J52" s="273">
        <f t="shared" si="11"/>
        <v>52.16</v>
      </c>
      <c r="K52" s="273"/>
      <c r="L52" s="273">
        <f t="shared" si="11"/>
        <v>1768.5899999999997</v>
      </c>
      <c r="M52" s="273">
        <f t="shared" si="10"/>
        <v>8452.8099999999977</v>
      </c>
    </row>
    <row r="53" spans="1:13" x14ac:dyDescent="0.35">
      <c r="A53" s="6" t="s">
        <v>55</v>
      </c>
      <c r="B53" s="12">
        <v>446.9500000000001</v>
      </c>
      <c r="C53" s="12">
        <v>2318.0699999999993</v>
      </c>
      <c r="D53" s="12">
        <v>125.44</v>
      </c>
      <c r="E53" s="12">
        <v>20.71</v>
      </c>
      <c r="F53" s="12">
        <v>798.12</v>
      </c>
      <c r="G53" s="12">
        <v>126.14</v>
      </c>
      <c r="H53" s="12">
        <v>286.7</v>
      </c>
      <c r="I53" s="12">
        <v>29.29</v>
      </c>
      <c r="J53" s="12">
        <v>49.16</v>
      </c>
      <c r="K53" s="12"/>
      <c r="L53" s="12">
        <v>1625.0699999999997</v>
      </c>
      <c r="M53" s="12">
        <f t="shared" si="10"/>
        <v>5825.6499999999987</v>
      </c>
    </row>
    <row r="54" spans="1:13" x14ac:dyDescent="0.35">
      <c r="A54" s="6" t="s">
        <v>56</v>
      </c>
      <c r="B54" s="12">
        <v>232.11</v>
      </c>
      <c r="C54" s="12">
        <v>927.8</v>
      </c>
      <c r="D54" s="12">
        <v>525.29999999999995</v>
      </c>
      <c r="E54" s="12">
        <v>4.2</v>
      </c>
      <c r="F54" s="12">
        <v>278.57</v>
      </c>
      <c r="G54" s="12">
        <v>321.87</v>
      </c>
      <c r="H54" s="12">
        <v>189.43</v>
      </c>
      <c r="I54" s="12">
        <v>1.36</v>
      </c>
      <c r="J54" s="12">
        <v>3</v>
      </c>
      <c r="K54" s="12"/>
      <c r="L54" s="12">
        <v>143.52000000000001</v>
      </c>
      <c r="M54" s="12">
        <f t="shared" si="10"/>
        <v>2627.16</v>
      </c>
    </row>
    <row r="55" spans="1:13" x14ac:dyDescent="0.35">
      <c r="A55" s="272" t="s">
        <v>18</v>
      </c>
      <c r="B55" s="273">
        <f t="shared" ref="B55:G55" si="12">B56</f>
        <v>43.37</v>
      </c>
      <c r="C55" s="273">
        <v>0</v>
      </c>
      <c r="D55" s="273">
        <f t="shared" si="12"/>
        <v>58.83</v>
      </c>
      <c r="E55" s="273"/>
      <c r="F55" s="273">
        <f t="shared" si="12"/>
        <v>4.41</v>
      </c>
      <c r="G55" s="273">
        <f t="shared" si="12"/>
        <v>99.04</v>
      </c>
      <c r="H55" s="273"/>
      <c r="I55" s="273"/>
      <c r="J55" s="273"/>
      <c r="K55" s="273"/>
      <c r="L55" s="273">
        <f>L56</f>
        <v>304.09000000000009</v>
      </c>
      <c r="M55" s="273">
        <f t="shared" si="10"/>
        <v>509.74000000000007</v>
      </c>
    </row>
    <row r="56" spans="1:13" x14ac:dyDescent="0.35">
      <c r="A56" s="6" t="s">
        <v>18</v>
      </c>
      <c r="B56" s="12">
        <v>43.37</v>
      </c>
      <c r="C56" s="12">
        <v>0</v>
      </c>
      <c r="D56" s="12">
        <v>58.83</v>
      </c>
      <c r="E56" s="12"/>
      <c r="F56" s="12">
        <f>1.11+3.3</f>
        <v>4.41</v>
      </c>
      <c r="G56" s="12">
        <v>99.04</v>
      </c>
      <c r="H56" s="12"/>
      <c r="I56" s="12"/>
      <c r="J56" s="12"/>
      <c r="K56" s="12"/>
      <c r="L56" s="12">
        <v>304.09000000000009</v>
      </c>
      <c r="M56" s="12">
        <f t="shared" si="10"/>
        <v>509.74000000000007</v>
      </c>
    </row>
    <row r="57" spans="1:13" x14ac:dyDescent="0.35">
      <c r="A57" s="272" t="s">
        <v>20</v>
      </c>
      <c r="B57" s="273">
        <f t="shared" ref="B57:J57" si="13">B58</f>
        <v>216.90999999999997</v>
      </c>
      <c r="C57" s="273">
        <v>190.87000000000003</v>
      </c>
      <c r="D57" s="273">
        <f t="shared" si="13"/>
        <v>55.59</v>
      </c>
      <c r="E57" s="273">
        <f t="shared" si="13"/>
        <v>7.48</v>
      </c>
      <c r="F57" s="273">
        <f t="shared" si="13"/>
        <v>87.86</v>
      </c>
      <c r="G57" s="273">
        <f t="shared" si="13"/>
        <v>19.48</v>
      </c>
      <c r="H57" s="273">
        <f t="shared" si="13"/>
        <v>6.01</v>
      </c>
      <c r="I57" s="273">
        <f t="shared" si="13"/>
        <v>19.190000000000001</v>
      </c>
      <c r="J57" s="273">
        <f t="shared" si="13"/>
        <v>78.360000000000014</v>
      </c>
      <c r="K57" s="273"/>
      <c r="L57" s="273">
        <f>L58</f>
        <v>203.43999999999991</v>
      </c>
      <c r="M57" s="273">
        <f t="shared" si="10"/>
        <v>885.19</v>
      </c>
    </row>
    <row r="58" spans="1:13" x14ac:dyDescent="0.35">
      <c r="A58" s="6" t="s">
        <v>20</v>
      </c>
      <c r="B58" s="12">
        <v>216.90999999999997</v>
      </c>
      <c r="C58" s="12">
        <v>190.87000000000003</v>
      </c>
      <c r="D58" s="12">
        <v>55.59</v>
      </c>
      <c r="E58" s="12">
        <v>7.48</v>
      </c>
      <c r="F58" s="12">
        <v>87.86</v>
      </c>
      <c r="G58" s="12">
        <v>19.48</v>
      </c>
      <c r="H58" s="12">
        <v>6.01</v>
      </c>
      <c r="I58" s="12">
        <v>19.190000000000001</v>
      </c>
      <c r="J58" s="12">
        <v>78.360000000000014</v>
      </c>
      <c r="K58" s="12"/>
      <c r="L58" s="12">
        <v>203.43999999999991</v>
      </c>
      <c r="M58" s="12">
        <f t="shared" si="10"/>
        <v>885.19</v>
      </c>
    </row>
    <row r="59" spans="1:13" x14ac:dyDescent="0.35">
      <c r="A59" s="272" t="s">
        <v>21</v>
      </c>
      <c r="B59" s="273">
        <f t="shared" ref="B59:J59" si="14">B60</f>
        <v>3.61</v>
      </c>
      <c r="C59" s="273">
        <v>75.690000000000012</v>
      </c>
      <c r="D59" s="273"/>
      <c r="E59" s="273"/>
      <c r="F59" s="273">
        <f t="shared" si="14"/>
        <v>0.43000000000000005</v>
      </c>
      <c r="G59" s="273">
        <f t="shared" si="14"/>
        <v>1.84</v>
      </c>
      <c r="H59" s="273">
        <f t="shared" si="14"/>
        <v>17.79</v>
      </c>
      <c r="I59" s="273">
        <f t="shared" si="14"/>
        <v>7</v>
      </c>
      <c r="J59" s="273">
        <f t="shared" si="14"/>
        <v>9.4700000000000006</v>
      </c>
      <c r="K59" s="273"/>
      <c r="L59" s="273">
        <f>L60</f>
        <v>17.059999999999999</v>
      </c>
      <c r="M59" s="273">
        <f t="shared" si="10"/>
        <v>132.89000000000001</v>
      </c>
    </row>
    <row r="60" spans="1:13" x14ac:dyDescent="0.35">
      <c r="A60" s="6" t="s">
        <v>21</v>
      </c>
      <c r="B60" s="12">
        <v>3.61</v>
      </c>
      <c r="C60" s="12">
        <v>75.690000000000012</v>
      </c>
      <c r="D60" s="12"/>
      <c r="E60" s="12"/>
      <c r="F60" s="12">
        <f>0.34+0.09</f>
        <v>0.43000000000000005</v>
      </c>
      <c r="G60" s="12">
        <v>1.84</v>
      </c>
      <c r="H60" s="12">
        <v>17.79</v>
      </c>
      <c r="I60" s="12">
        <v>7</v>
      </c>
      <c r="J60" s="12">
        <f>9.31+0.16</f>
        <v>9.4700000000000006</v>
      </c>
      <c r="K60" s="12"/>
      <c r="L60" s="12">
        <v>17.059999999999999</v>
      </c>
      <c r="M60" s="12">
        <f t="shared" si="10"/>
        <v>132.89000000000001</v>
      </c>
    </row>
    <row r="61" spans="1:13" x14ac:dyDescent="0.35">
      <c r="A61" s="272" t="s">
        <v>22</v>
      </c>
      <c r="B61" s="273">
        <f t="shared" ref="B61:J61" si="15">B62</f>
        <v>1755.4799999999993</v>
      </c>
      <c r="C61" s="273">
        <v>457.31000000000017</v>
      </c>
      <c r="D61" s="273">
        <f t="shared" si="15"/>
        <v>128.46</v>
      </c>
      <c r="E61" s="273">
        <f t="shared" si="15"/>
        <v>857.75000000000068</v>
      </c>
      <c r="F61" s="273">
        <f t="shared" si="15"/>
        <v>24.14</v>
      </c>
      <c r="G61" s="273">
        <f t="shared" si="15"/>
        <v>398.27</v>
      </c>
      <c r="H61" s="273">
        <f t="shared" si="15"/>
        <v>409.57</v>
      </c>
      <c r="I61" s="273">
        <f t="shared" si="15"/>
        <v>344.2</v>
      </c>
      <c r="J61" s="273">
        <f t="shared" si="15"/>
        <v>89.87</v>
      </c>
      <c r="K61" s="273"/>
      <c r="L61" s="273">
        <f>L62</f>
        <v>2507.650000000001</v>
      </c>
      <c r="M61" s="273">
        <f t="shared" si="10"/>
        <v>6972.7000000000007</v>
      </c>
    </row>
    <row r="62" spans="1:13" x14ac:dyDescent="0.35">
      <c r="A62" s="6" t="s">
        <v>22</v>
      </c>
      <c r="B62" s="12">
        <v>1755.4799999999993</v>
      </c>
      <c r="C62" s="12">
        <v>457.31000000000017</v>
      </c>
      <c r="D62" s="12">
        <v>128.46</v>
      </c>
      <c r="E62" s="12">
        <v>857.75000000000068</v>
      </c>
      <c r="F62" s="12">
        <v>24.14</v>
      </c>
      <c r="G62" s="12">
        <v>398.27</v>
      </c>
      <c r="H62" s="12">
        <v>409.57</v>
      </c>
      <c r="I62" s="12">
        <v>344.2</v>
      </c>
      <c r="J62" s="12">
        <v>89.87</v>
      </c>
      <c r="K62" s="12"/>
      <c r="L62" s="12">
        <v>2507.650000000001</v>
      </c>
      <c r="M62" s="12">
        <f t="shared" si="10"/>
        <v>6972.7000000000007</v>
      </c>
    </row>
    <row r="63" spans="1:13" x14ac:dyDescent="0.35">
      <c r="A63" s="272" t="s">
        <v>23</v>
      </c>
      <c r="B63" s="273">
        <f t="shared" ref="B63:J63" si="16">B64</f>
        <v>533.07999999999993</v>
      </c>
      <c r="C63" s="273">
        <v>503.82999999999981</v>
      </c>
      <c r="D63" s="273">
        <f t="shared" si="16"/>
        <v>70.73</v>
      </c>
      <c r="E63" s="273">
        <f t="shared" si="16"/>
        <v>13.11</v>
      </c>
      <c r="F63" s="273">
        <f t="shared" si="16"/>
        <v>75.540000000000006</v>
      </c>
      <c r="G63" s="273">
        <f t="shared" si="16"/>
        <v>76.64</v>
      </c>
      <c r="H63" s="273">
        <f t="shared" si="16"/>
        <v>54.6</v>
      </c>
      <c r="I63" s="273">
        <f t="shared" si="16"/>
        <v>82.949999999999989</v>
      </c>
      <c r="J63" s="273">
        <f t="shared" si="16"/>
        <v>266.91000000000014</v>
      </c>
      <c r="K63" s="273"/>
      <c r="L63" s="273">
        <f>L64</f>
        <v>224.08000000000013</v>
      </c>
      <c r="M63" s="273">
        <f t="shared" si="10"/>
        <v>1901.47</v>
      </c>
    </row>
    <row r="64" spans="1:13" x14ac:dyDescent="0.35">
      <c r="A64" s="6" t="s">
        <v>23</v>
      </c>
      <c r="B64" s="12">
        <v>533.07999999999993</v>
      </c>
      <c r="C64" s="12">
        <v>503.82999999999981</v>
      </c>
      <c r="D64" s="12">
        <v>70.73</v>
      </c>
      <c r="E64" s="12">
        <v>13.11</v>
      </c>
      <c r="F64" s="12">
        <v>75.540000000000006</v>
      </c>
      <c r="G64" s="12">
        <v>76.64</v>
      </c>
      <c r="H64" s="12">
        <v>54.6</v>
      </c>
      <c r="I64" s="12">
        <v>82.949999999999989</v>
      </c>
      <c r="J64" s="12">
        <v>266.91000000000014</v>
      </c>
      <c r="K64" s="12"/>
      <c r="L64" s="12">
        <v>224.08000000000013</v>
      </c>
      <c r="M64" s="12">
        <f t="shared" si="10"/>
        <v>1901.47</v>
      </c>
    </row>
    <row r="65" spans="1:13" x14ac:dyDescent="0.35">
      <c r="A65" s="272" t="s">
        <v>76</v>
      </c>
      <c r="B65" s="273"/>
      <c r="C65" s="273">
        <v>0</v>
      </c>
      <c r="D65" s="273"/>
      <c r="E65" s="273"/>
      <c r="F65" s="273"/>
      <c r="G65" s="273"/>
      <c r="H65" s="273"/>
      <c r="I65" s="273"/>
      <c r="J65" s="273"/>
      <c r="K65" s="273"/>
      <c r="L65" s="273">
        <f>L66</f>
        <v>0</v>
      </c>
      <c r="M65" s="273">
        <f t="shared" si="10"/>
        <v>0</v>
      </c>
    </row>
    <row r="66" spans="1:13" x14ac:dyDescent="0.35">
      <c r="A66" s="6" t="s">
        <v>59</v>
      </c>
      <c r="B66" s="12"/>
      <c r="C66" s="12">
        <v>0</v>
      </c>
      <c r="D66" s="12"/>
      <c r="E66" s="12"/>
      <c r="F66" s="12"/>
      <c r="G66" s="12"/>
      <c r="H66" s="12"/>
      <c r="I66" s="12"/>
      <c r="J66" s="12"/>
      <c r="K66" s="12"/>
      <c r="L66" s="12"/>
      <c r="M66" s="12">
        <f t="shared" si="10"/>
        <v>0</v>
      </c>
    </row>
    <row r="67" spans="1:13" x14ac:dyDescent="0.35">
      <c r="A67" s="274" t="s">
        <v>25</v>
      </c>
      <c r="B67" s="275">
        <f t="shared" ref="B67:H67" si="17">SUM(B65,B63,B61,B59,B57,B55,B52,B42,B36,B31,B27,B23,B14)</f>
        <v>25541.93</v>
      </c>
      <c r="C67" s="275">
        <v>30816.840000000007</v>
      </c>
      <c r="D67" s="275">
        <f t="shared" si="17"/>
        <v>9087.7599999999984</v>
      </c>
      <c r="E67" s="275">
        <f t="shared" si="17"/>
        <v>6063.0399999999972</v>
      </c>
      <c r="F67" s="275">
        <f t="shared" si="17"/>
        <v>6588.7400000000007</v>
      </c>
      <c r="G67" s="275">
        <f t="shared" si="17"/>
        <v>7452.1299999999983</v>
      </c>
      <c r="H67" s="275">
        <f t="shared" si="17"/>
        <v>6209.72</v>
      </c>
      <c r="I67" s="275">
        <f>SUM(I65,I63,I61,I59,I57,I55,I52,I42,I36,I31,I27,I23,I14)</f>
        <v>2659.6499999999996</v>
      </c>
      <c r="J67" s="275">
        <f>SUM(J65,J63,J61,J59,J57,J55,J52,J42,J36,J31,J27,J23,J14)</f>
        <v>2694.67</v>
      </c>
      <c r="K67" s="275">
        <f>SUM(K65,K63,K61,K59,K57,K55,K52,K42,K36,K31,K27,K23,K14)</f>
        <v>0</v>
      </c>
      <c r="L67" s="275">
        <f>SUM(L65,L63,L61,L59,L57,L55,L52,L42,L36,L31,L27,L23,L14)</f>
        <v>17369.59</v>
      </c>
      <c r="M67" s="275">
        <f>SUM(M65,M63,M61,M59,M57,M55,M52,M42,M36,M31,M27,M23,M14)</f>
        <v>114484.06999999998</v>
      </c>
    </row>
    <row r="70" spans="1:13" ht="18.5" x14ac:dyDescent="0.45">
      <c r="A70" s="223"/>
      <c r="B70" s="223"/>
    </row>
    <row r="71" spans="1:13" ht="15.5" x14ac:dyDescent="0.35">
      <c r="A71" s="276" t="s">
        <v>128</v>
      </c>
    </row>
    <row r="72" spans="1:13" ht="15" customHeight="1" x14ac:dyDescent="0.35">
      <c r="A72" s="713" t="s">
        <v>88</v>
      </c>
      <c r="B72" s="718" t="s">
        <v>113</v>
      </c>
      <c r="C72" s="715"/>
      <c r="D72" s="715"/>
      <c r="E72" s="715"/>
      <c r="F72" s="715"/>
      <c r="G72" s="715"/>
      <c r="H72" s="715"/>
      <c r="I72" s="715"/>
      <c r="J72" s="715"/>
      <c r="K72" s="715"/>
      <c r="L72" s="715"/>
      <c r="M72" s="715"/>
    </row>
    <row r="73" spans="1:13" ht="30" customHeight="1" x14ac:dyDescent="0.35">
      <c r="A73" s="714"/>
      <c r="B73" s="539" t="s">
        <v>114</v>
      </c>
      <c r="C73" s="542" t="s">
        <v>315</v>
      </c>
      <c r="D73" s="540" t="s">
        <v>119</v>
      </c>
      <c r="E73" s="267" t="s">
        <v>115</v>
      </c>
      <c r="F73" s="541" t="s">
        <v>125</v>
      </c>
      <c r="G73" s="540" t="s">
        <v>126</v>
      </c>
      <c r="H73" s="542" t="s">
        <v>127</v>
      </c>
      <c r="I73" s="267" t="s">
        <v>117</v>
      </c>
      <c r="J73" s="541" t="s">
        <v>116</v>
      </c>
      <c r="K73" s="267" t="s">
        <v>122</v>
      </c>
      <c r="L73" s="267" t="s">
        <v>123</v>
      </c>
      <c r="M73" s="268" t="s">
        <v>124</v>
      </c>
    </row>
    <row r="74" spans="1:13" x14ac:dyDescent="0.35">
      <c r="A74" s="272" t="s">
        <v>5</v>
      </c>
      <c r="B74" s="273">
        <f t="shared" ref="B74:L74" si="18">SUM(B75:B82)</f>
        <v>1041.8499999999999</v>
      </c>
      <c r="C74" s="273">
        <v>970.81</v>
      </c>
      <c r="D74" s="273">
        <f t="shared" si="18"/>
        <v>53.67</v>
      </c>
      <c r="E74" s="273">
        <f t="shared" si="18"/>
        <v>221.97000000000003</v>
      </c>
      <c r="F74" s="273">
        <f t="shared" si="18"/>
        <v>168.03</v>
      </c>
      <c r="G74" s="273">
        <f t="shared" si="18"/>
        <v>119.14</v>
      </c>
      <c r="H74" s="273">
        <f t="shared" si="18"/>
        <v>130.96</v>
      </c>
      <c r="I74" s="273">
        <f t="shared" si="18"/>
        <v>92.820000000000007</v>
      </c>
      <c r="J74" s="273">
        <f t="shared" si="18"/>
        <v>99.26</v>
      </c>
      <c r="K74" s="273"/>
      <c r="L74" s="273">
        <f t="shared" si="18"/>
        <v>462.62999999999994</v>
      </c>
      <c r="M74" s="273">
        <f t="shared" ref="M74:M105" si="19">SUM(B74:L74)</f>
        <v>3361.1400000000008</v>
      </c>
    </row>
    <row r="75" spans="1:13" x14ac:dyDescent="0.35">
      <c r="A75" s="15" t="s">
        <v>6</v>
      </c>
      <c r="B75" s="12">
        <v>62.830000000000005</v>
      </c>
      <c r="C75" s="12">
        <v>33.97</v>
      </c>
      <c r="D75" s="12">
        <v>14.52</v>
      </c>
      <c r="E75" s="12">
        <v>32.439999999999991</v>
      </c>
      <c r="F75" s="12">
        <v>0.79</v>
      </c>
      <c r="G75" s="12">
        <v>4.8499999999999996</v>
      </c>
      <c r="H75" s="12"/>
      <c r="I75" s="12">
        <v>1.6400000000000001</v>
      </c>
      <c r="J75" s="12">
        <v>1.1599999999999999</v>
      </c>
      <c r="K75" s="12"/>
      <c r="L75" s="12">
        <v>57.320000000000007</v>
      </c>
      <c r="M75" s="12">
        <f t="shared" si="19"/>
        <v>209.51999999999998</v>
      </c>
    </row>
    <row r="76" spans="1:13" x14ac:dyDescent="0.35">
      <c r="A76" s="16" t="s">
        <v>7</v>
      </c>
      <c r="B76" s="12">
        <v>0.64</v>
      </c>
      <c r="C76" s="12">
        <v>6.14</v>
      </c>
      <c r="D76" s="12"/>
      <c r="E76" s="12"/>
      <c r="F76" s="12"/>
      <c r="G76" s="12"/>
      <c r="H76" s="12"/>
      <c r="I76" s="12"/>
      <c r="J76" s="12"/>
      <c r="K76" s="12"/>
      <c r="L76" s="12"/>
      <c r="M76" s="12">
        <f t="shared" si="19"/>
        <v>6.7799999999999994</v>
      </c>
    </row>
    <row r="77" spans="1:13" x14ac:dyDescent="0.35">
      <c r="A77" s="16" t="s">
        <v>8</v>
      </c>
      <c r="B77" s="12"/>
      <c r="C77" s="12">
        <v>165.72000000000003</v>
      </c>
      <c r="D77" s="12"/>
      <c r="E77" s="12"/>
      <c r="F77" s="12">
        <v>100.74</v>
      </c>
      <c r="G77" s="12">
        <v>0.7</v>
      </c>
      <c r="H77" s="12">
        <v>4.24</v>
      </c>
      <c r="I77" s="12">
        <v>5.49</v>
      </c>
      <c r="J77" s="12">
        <v>0.23</v>
      </c>
      <c r="K77" s="12"/>
      <c r="L77" s="12">
        <v>9.61</v>
      </c>
      <c r="M77" s="12">
        <f t="shared" si="19"/>
        <v>286.73000000000008</v>
      </c>
    </row>
    <row r="78" spans="1:13" x14ac:dyDescent="0.35">
      <c r="A78" s="16" t="s">
        <v>26</v>
      </c>
      <c r="B78" s="12">
        <v>966.26</v>
      </c>
      <c r="C78" s="12">
        <v>314.76</v>
      </c>
      <c r="D78" s="12">
        <v>31.9</v>
      </c>
      <c r="E78" s="12">
        <v>176.52</v>
      </c>
      <c r="F78" s="12"/>
      <c r="G78" s="12">
        <v>107.08</v>
      </c>
      <c r="H78" s="12">
        <v>118.72</v>
      </c>
      <c r="I78" s="12">
        <v>84.9</v>
      </c>
      <c r="J78" s="12">
        <v>97.87</v>
      </c>
      <c r="K78" s="12"/>
      <c r="L78" s="12">
        <v>368.61999999999995</v>
      </c>
      <c r="M78" s="12">
        <f t="shared" si="19"/>
        <v>2266.63</v>
      </c>
    </row>
    <row r="79" spans="1:13" x14ac:dyDescent="0.35">
      <c r="A79" s="16" t="s">
        <v>27</v>
      </c>
      <c r="B79" s="12"/>
      <c r="C79" s="12">
        <v>3.43</v>
      </c>
      <c r="D79" s="12"/>
      <c r="E79" s="12"/>
      <c r="F79" s="12"/>
      <c r="G79" s="12"/>
      <c r="H79" s="12"/>
      <c r="I79" s="12"/>
      <c r="J79" s="12"/>
      <c r="K79" s="12"/>
      <c r="L79" s="12">
        <v>3.27</v>
      </c>
      <c r="M79" s="12">
        <f t="shared" si="19"/>
        <v>6.7</v>
      </c>
    </row>
    <row r="80" spans="1:13" x14ac:dyDescent="0.35">
      <c r="A80" s="16" t="s">
        <v>28</v>
      </c>
      <c r="B80" s="12">
        <v>5.3</v>
      </c>
      <c r="C80" s="12">
        <v>260.49</v>
      </c>
      <c r="D80" s="12">
        <v>0.56000000000000005</v>
      </c>
      <c r="E80" s="12"/>
      <c r="F80" s="12"/>
      <c r="G80" s="12"/>
      <c r="H80" s="12">
        <v>3.2</v>
      </c>
      <c r="I80" s="12">
        <f>0.61+0.18</f>
        <v>0.79</v>
      </c>
      <c r="J80" s="12"/>
      <c r="K80" s="12"/>
      <c r="L80" s="12">
        <v>0.04</v>
      </c>
      <c r="M80" s="12">
        <f t="shared" si="19"/>
        <v>270.38000000000005</v>
      </c>
    </row>
    <row r="81" spans="1:13" x14ac:dyDescent="0.35">
      <c r="A81" s="16" t="s">
        <v>29</v>
      </c>
      <c r="B81" s="12"/>
      <c r="C81" s="12">
        <v>13.35</v>
      </c>
      <c r="D81" s="12"/>
      <c r="E81" s="12">
        <v>7.86</v>
      </c>
      <c r="F81" s="12"/>
      <c r="G81" s="12"/>
      <c r="H81" s="12"/>
      <c r="I81" s="12"/>
      <c r="J81" s="12"/>
      <c r="K81" s="12"/>
      <c r="L81" s="12">
        <v>3</v>
      </c>
      <c r="M81" s="12">
        <f t="shared" si="19"/>
        <v>24.21</v>
      </c>
    </row>
    <row r="82" spans="1:13" x14ac:dyDescent="0.35">
      <c r="A82" s="16" t="s">
        <v>30</v>
      </c>
      <c r="B82" s="12">
        <v>6.82</v>
      </c>
      <c r="C82" s="12">
        <v>172.95000000000002</v>
      </c>
      <c r="D82" s="12">
        <v>6.69</v>
      </c>
      <c r="E82" s="12">
        <v>5.15</v>
      </c>
      <c r="F82" s="12">
        <v>66.5</v>
      </c>
      <c r="G82" s="12">
        <f>4.54+1.97</f>
        <v>6.51</v>
      </c>
      <c r="H82" s="12">
        <v>4.8</v>
      </c>
      <c r="I82" s="12"/>
      <c r="J82" s="12"/>
      <c r="K82" s="12"/>
      <c r="L82" s="12">
        <v>20.769999999999996</v>
      </c>
      <c r="M82" s="12">
        <f t="shared" si="19"/>
        <v>290.19</v>
      </c>
    </row>
    <row r="83" spans="1:13" x14ac:dyDescent="0.35">
      <c r="A83" s="272" t="s">
        <v>12</v>
      </c>
      <c r="B83" s="273">
        <f t="shared" ref="B83:L83" si="20">SUM(B84:B86)</f>
        <v>393.00999999999993</v>
      </c>
      <c r="C83" s="273">
        <v>103.94</v>
      </c>
      <c r="D83" s="273">
        <f t="shared" si="20"/>
        <v>27.23</v>
      </c>
      <c r="E83" s="273">
        <f t="shared" si="20"/>
        <v>47.599999999999994</v>
      </c>
      <c r="F83" s="273">
        <f t="shared" si="20"/>
        <v>65.36</v>
      </c>
      <c r="G83" s="273">
        <f t="shared" si="20"/>
        <v>56.34</v>
      </c>
      <c r="H83" s="273">
        <f t="shared" si="20"/>
        <v>9.3099999999999987</v>
      </c>
      <c r="I83" s="273">
        <f t="shared" si="20"/>
        <v>7.55</v>
      </c>
      <c r="J83" s="273">
        <f t="shared" si="20"/>
        <v>10.870000000000001</v>
      </c>
      <c r="K83" s="273"/>
      <c r="L83" s="273">
        <f t="shared" si="20"/>
        <v>127.60999999999999</v>
      </c>
      <c r="M83" s="273">
        <f t="shared" si="19"/>
        <v>848.81999999999994</v>
      </c>
    </row>
    <row r="84" spans="1:13" x14ac:dyDescent="0.35">
      <c r="A84" s="6" t="s">
        <v>31</v>
      </c>
      <c r="B84" s="12">
        <v>97.99</v>
      </c>
      <c r="C84" s="12">
        <v>17.850000000000001</v>
      </c>
      <c r="D84" s="12">
        <v>15.68</v>
      </c>
      <c r="E84" s="12">
        <v>0.02</v>
      </c>
      <c r="F84" s="12">
        <v>27.570000000000004</v>
      </c>
      <c r="G84" s="12">
        <v>1.26</v>
      </c>
      <c r="H84" s="12"/>
      <c r="I84" s="12">
        <f>0.49+5.72</f>
        <v>6.21</v>
      </c>
      <c r="J84" s="12"/>
      <c r="K84" s="12"/>
      <c r="L84" s="12">
        <v>59.339999999999996</v>
      </c>
      <c r="M84" s="12">
        <f t="shared" si="19"/>
        <v>225.92000000000002</v>
      </c>
    </row>
    <row r="85" spans="1:13" x14ac:dyDescent="0.35">
      <c r="A85" s="6" t="s">
        <v>32</v>
      </c>
      <c r="B85" s="12">
        <v>31.009999999999998</v>
      </c>
      <c r="C85" s="12">
        <v>18.27</v>
      </c>
      <c r="D85" s="12">
        <v>8.75</v>
      </c>
      <c r="E85" s="12">
        <v>11.82</v>
      </c>
      <c r="F85" s="12">
        <f>7.12+7.54+2.14</f>
        <v>16.8</v>
      </c>
      <c r="G85" s="12">
        <v>3.08</v>
      </c>
      <c r="H85" s="12">
        <v>1.96</v>
      </c>
      <c r="I85" s="12"/>
      <c r="J85" s="12">
        <v>5.42</v>
      </c>
      <c r="K85" s="12"/>
      <c r="L85" s="12">
        <v>20.990000000000002</v>
      </c>
      <c r="M85" s="12">
        <f t="shared" si="19"/>
        <v>118.1</v>
      </c>
    </row>
    <row r="86" spans="1:13" x14ac:dyDescent="0.35">
      <c r="A86" s="6" t="s">
        <v>33</v>
      </c>
      <c r="B86" s="12">
        <v>264.00999999999993</v>
      </c>
      <c r="C86" s="12">
        <v>67.819999999999993</v>
      </c>
      <c r="D86" s="12">
        <f>2.23+0.57</f>
        <v>2.8</v>
      </c>
      <c r="E86" s="12">
        <v>35.76</v>
      </c>
      <c r="F86" s="12">
        <v>20.99</v>
      </c>
      <c r="G86" s="12">
        <v>52</v>
      </c>
      <c r="H86" s="12">
        <v>7.35</v>
      </c>
      <c r="I86" s="12">
        <v>1.34</v>
      </c>
      <c r="J86" s="12">
        <v>5.45</v>
      </c>
      <c r="K86" s="12"/>
      <c r="L86" s="12">
        <v>47.279999999999994</v>
      </c>
      <c r="M86" s="12">
        <f t="shared" si="19"/>
        <v>504.7999999999999</v>
      </c>
    </row>
    <row r="87" spans="1:13" x14ac:dyDescent="0.35">
      <c r="A87" s="272" t="s">
        <v>13</v>
      </c>
      <c r="B87" s="273">
        <f t="shared" ref="B87:J87" si="21">SUM(B88:B90)</f>
        <v>1679.3999999999999</v>
      </c>
      <c r="C87" s="273">
        <v>231.14000000000001</v>
      </c>
      <c r="D87" s="273">
        <f t="shared" si="21"/>
        <v>172.67999999999998</v>
      </c>
      <c r="E87" s="273">
        <f t="shared" si="21"/>
        <v>191.1</v>
      </c>
      <c r="F87" s="273">
        <f t="shared" si="21"/>
        <v>14.55</v>
      </c>
      <c r="G87" s="273">
        <f t="shared" si="21"/>
        <v>193.95</v>
      </c>
      <c r="H87" s="273">
        <f t="shared" si="21"/>
        <v>37.75</v>
      </c>
      <c r="I87" s="273">
        <f t="shared" si="21"/>
        <v>92.33</v>
      </c>
      <c r="J87" s="273">
        <f t="shared" si="21"/>
        <v>292.24999999999994</v>
      </c>
      <c r="K87" s="273"/>
      <c r="L87" s="273">
        <f>SUM(L88:L90)</f>
        <v>302.82999999999987</v>
      </c>
      <c r="M87" s="273">
        <f t="shared" si="19"/>
        <v>3207.9799999999996</v>
      </c>
    </row>
    <row r="88" spans="1:13" x14ac:dyDescent="0.35">
      <c r="A88" s="6" t="s">
        <v>34</v>
      </c>
      <c r="B88" s="12">
        <v>1663.1299999999999</v>
      </c>
      <c r="C88" s="12">
        <v>152.79000000000002</v>
      </c>
      <c r="D88" s="12">
        <v>123.07999999999997</v>
      </c>
      <c r="E88" s="12">
        <v>145.93</v>
      </c>
      <c r="F88" s="12">
        <v>14.55</v>
      </c>
      <c r="G88" s="12">
        <v>101.83</v>
      </c>
      <c r="H88" s="12">
        <v>25.92</v>
      </c>
      <c r="I88" s="12">
        <v>72.94</v>
      </c>
      <c r="J88" s="12">
        <v>6.97</v>
      </c>
      <c r="K88" s="12"/>
      <c r="L88" s="12">
        <v>203.61999999999989</v>
      </c>
      <c r="M88" s="12">
        <f t="shared" si="19"/>
        <v>2510.7599999999998</v>
      </c>
    </row>
    <row r="89" spans="1:13" x14ac:dyDescent="0.35">
      <c r="A89" s="6" t="s">
        <v>61</v>
      </c>
      <c r="B89" s="12">
        <v>0.09</v>
      </c>
      <c r="C89" s="12">
        <v>3.46</v>
      </c>
      <c r="D89" s="12">
        <v>11.89</v>
      </c>
      <c r="E89" s="12">
        <f>6.19+3.1+0.47</f>
        <v>9.7600000000000016</v>
      </c>
      <c r="F89" s="12"/>
      <c r="G89" s="12"/>
      <c r="H89" s="12"/>
      <c r="I89" s="12">
        <v>9.59</v>
      </c>
      <c r="J89" s="12"/>
      <c r="K89" s="12"/>
      <c r="L89" s="12">
        <v>9.2700000000000014</v>
      </c>
      <c r="M89" s="12">
        <f t="shared" si="19"/>
        <v>44.060000000000009</v>
      </c>
    </row>
    <row r="90" spans="1:13" x14ac:dyDescent="0.35">
      <c r="A90" s="6" t="s">
        <v>36</v>
      </c>
      <c r="B90" s="12">
        <v>16.18</v>
      </c>
      <c r="C90" s="12">
        <v>74.89</v>
      </c>
      <c r="D90" s="12">
        <v>37.71</v>
      </c>
      <c r="E90" s="12">
        <v>35.409999999999997</v>
      </c>
      <c r="F90" s="12"/>
      <c r="G90" s="12">
        <v>92.12</v>
      </c>
      <c r="H90" s="12">
        <v>11.83</v>
      </c>
      <c r="I90" s="12">
        <v>9.8000000000000007</v>
      </c>
      <c r="J90" s="12">
        <v>285.27999999999992</v>
      </c>
      <c r="K90" s="12"/>
      <c r="L90" s="12">
        <v>89.939999999999955</v>
      </c>
      <c r="M90" s="12">
        <f t="shared" si="19"/>
        <v>653.15999999999985</v>
      </c>
    </row>
    <row r="91" spans="1:13" x14ac:dyDescent="0.35">
      <c r="A91" s="272" t="s">
        <v>14</v>
      </c>
      <c r="B91" s="273">
        <f t="shared" ref="B91:L91" si="22">SUM(B92:B95)</f>
        <v>13.489999999999998</v>
      </c>
      <c r="C91" s="273">
        <v>17.16</v>
      </c>
      <c r="D91" s="273">
        <f t="shared" si="22"/>
        <v>163.12</v>
      </c>
      <c r="E91" s="273">
        <f t="shared" si="22"/>
        <v>147.80999999999997</v>
      </c>
      <c r="F91" s="273">
        <f t="shared" si="22"/>
        <v>15.16</v>
      </c>
      <c r="G91" s="273">
        <f t="shared" si="22"/>
        <v>34.409999999999997</v>
      </c>
      <c r="H91" s="273">
        <f t="shared" si="22"/>
        <v>1.67</v>
      </c>
      <c r="I91" s="273">
        <f t="shared" si="22"/>
        <v>11.879999999999999</v>
      </c>
      <c r="J91" s="273">
        <f t="shared" si="22"/>
        <v>21.77</v>
      </c>
      <c r="K91" s="273"/>
      <c r="L91" s="273">
        <f t="shared" si="22"/>
        <v>57.490000000000009</v>
      </c>
      <c r="M91" s="273">
        <f t="shared" si="19"/>
        <v>483.96</v>
      </c>
    </row>
    <row r="92" spans="1:13" x14ac:dyDescent="0.35">
      <c r="A92" s="6" t="s">
        <v>37</v>
      </c>
      <c r="B92" s="12"/>
      <c r="C92" s="12">
        <v>0</v>
      </c>
      <c r="D92" s="12"/>
      <c r="E92" s="12"/>
      <c r="F92" s="12"/>
      <c r="G92" s="12"/>
      <c r="H92" s="12"/>
      <c r="I92" s="12"/>
      <c r="J92" s="12"/>
      <c r="K92" s="12"/>
      <c r="L92" s="12"/>
      <c r="M92" s="12">
        <f t="shared" si="19"/>
        <v>0</v>
      </c>
    </row>
    <row r="93" spans="1:13" x14ac:dyDescent="0.35">
      <c r="A93" s="6" t="s">
        <v>38</v>
      </c>
      <c r="B93" s="12">
        <f>1.12+1.89</f>
        <v>3.01</v>
      </c>
      <c r="C93" s="12">
        <v>0.21000000000000002</v>
      </c>
      <c r="D93" s="12"/>
      <c r="E93" s="12"/>
      <c r="F93" s="12"/>
      <c r="G93" s="12">
        <v>1.59</v>
      </c>
      <c r="H93" s="12"/>
      <c r="I93" s="12">
        <v>0.6</v>
      </c>
      <c r="J93" s="12"/>
      <c r="K93" s="12"/>
      <c r="L93" s="12"/>
      <c r="M93" s="12">
        <f t="shared" si="19"/>
        <v>5.4099999999999993</v>
      </c>
    </row>
    <row r="94" spans="1:13" x14ac:dyDescent="0.35">
      <c r="A94" s="6" t="s">
        <v>39</v>
      </c>
      <c r="B94" s="12">
        <v>9.35</v>
      </c>
      <c r="C94" s="12">
        <v>16.22</v>
      </c>
      <c r="D94" s="12">
        <v>98.75</v>
      </c>
      <c r="E94" s="12">
        <v>31.28</v>
      </c>
      <c r="F94" s="12">
        <v>10.039999999999999</v>
      </c>
      <c r="G94" s="12">
        <v>19.87</v>
      </c>
      <c r="H94" s="12">
        <f>0.6+0.4+0.67</f>
        <v>1.67</v>
      </c>
      <c r="I94" s="12">
        <v>6.6</v>
      </c>
      <c r="J94" s="12">
        <v>15.51</v>
      </c>
      <c r="K94" s="12"/>
      <c r="L94" s="12">
        <v>17.419999999999998</v>
      </c>
      <c r="M94" s="12">
        <f t="shared" si="19"/>
        <v>226.70999999999995</v>
      </c>
    </row>
    <row r="95" spans="1:13" x14ac:dyDescent="0.35">
      <c r="A95" s="6" t="s">
        <v>40</v>
      </c>
      <c r="B95" s="12">
        <v>1.1299999999999999</v>
      </c>
      <c r="C95" s="12">
        <v>0.73</v>
      </c>
      <c r="D95" s="12">
        <v>64.37</v>
      </c>
      <c r="E95" s="12">
        <v>116.52999999999997</v>
      </c>
      <c r="F95" s="12">
        <v>5.12</v>
      </c>
      <c r="G95" s="12">
        <v>12.95</v>
      </c>
      <c r="H95" s="12"/>
      <c r="I95" s="12">
        <v>4.68</v>
      </c>
      <c r="J95" s="12">
        <v>6.26</v>
      </c>
      <c r="K95" s="12"/>
      <c r="L95" s="12">
        <v>40.070000000000007</v>
      </c>
      <c r="M95" s="12">
        <f t="shared" si="19"/>
        <v>251.83999999999997</v>
      </c>
    </row>
    <row r="96" spans="1:13" x14ac:dyDescent="0.35">
      <c r="A96" s="272" t="s">
        <v>15</v>
      </c>
      <c r="B96" s="273">
        <f t="shared" ref="B96:L96" si="23">SUM(B97:B101)</f>
        <v>1420.3899999999999</v>
      </c>
      <c r="C96" s="273">
        <v>1065.79</v>
      </c>
      <c r="D96" s="273">
        <f t="shared" si="23"/>
        <v>294.31</v>
      </c>
      <c r="E96" s="273">
        <f t="shared" si="23"/>
        <v>184.32999999999998</v>
      </c>
      <c r="F96" s="273">
        <f t="shared" si="23"/>
        <v>185.81</v>
      </c>
      <c r="G96" s="273">
        <f t="shared" si="23"/>
        <v>424.38</v>
      </c>
      <c r="H96" s="273">
        <f t="shared" si="23"/>
        <v>345.22</v>
      </c>
      <c r="I96" s="273">
        <f t="shared" si="23"/>
        <v>0.51</v>
      </c>
      <c r="J96" s="273">
        <f t="shared" si="23"/>
        <v>18.97</v>
      </c>
      <c r="K96" s="273"/>
      <c r="L96" s="273">
        <f t="shared" si="23"/>
        <v>197.70000000000002</v>
      </c>
      <c r="M96" s="273">
        <f t="shared" si="19"/>
        <v>4137.41</v>
      </c>
    </row>
    <row r="97" spans="1:13" x14ac:dyDescent="0.35">
      <c r="A97" s="6" t="s">
        <v>41</v>
      </c>
      <c r="B97" s="12">
        <v>798.52999999999986</v>
      </c>
      <c r="C97" s="12">
        <v>635.42000000000007</v>
      </c>
      <c r="D97" s="12">
        <v>7.16</v>
      </c>
      <c r="E97" s="12">
        <v>178.07</v>
      </c>
      <c r="F97" s="12">
        <v>124.97</v>
      </c>
      <c r="G97" s="12">
        <v>64.260000000000005</v>
      </c>
      <c r="H97" s="12">
        <v>135.19999999999999</v>
      </c>
      <c r="I97" s="12">
        <f>0.24+0.05</f>
        <v>0.28999999999999998</v>
      </c>
      <c r="J97" s="12">
        <v>1.79</v>
      </c>
      <c r="K97" s="12"/>
      <c r="L97" s="12">
        <v>131.43</v>
      </c>
      <c r="M97" s="12">
        <f t="shared" si="19"/>
        <v>2077.12</v>
      </c>
    </row>
    <row r="98" spans="1:13" x14ac:dyDescent="0.35">
      <c r="A98" s="6" t="s">
        <v>42</v>
      </c>
      <c r="B98" s="12">
        <v>252.17</v>
      </c>
      <c r="C98" s="12">
        <v>269.64</v>
      </c>
      <c r="D98" s="12">
        <v>56.11</v>
      </c>
      <c r="E98" s="12">
        <v>1.19</v>
      </c>
      <c r="F98" s="12">
        <v>7.35</v>
      </c>
      <c r="G98" s="12">
        <v>237.84</v>
      </c>
      <c r="H98" s="12">
        <v>162.81</v>
      </c>
      <c r="I98" s="12">
        <f>0.17+0.04+0.01</f>
        <v>0.22000000000000003</v>
      </c>
      <c r="J98" s="12"/>
      <c r="K98" s="12"/>
      <c r="L98" s="12">
        <v>42.84</v>
      </c>
      <c r="M98" s="12">
        <f t="shared" si="19"/>
        <v>1030.17</v>
      </c>
    </row>
    <row r="99" spans="1:13" x14ac:dyDescent="0.35">
      <c r="A99" s="6" t="s">
        <v>43</v>
      </c>
      <c r="B99" s="12">
        <v>17.45</v>
      </c>
      <c r="C99" s="12">
        <v>93.14</v>
      </c>
      <c r="D99" s="12">
        <v>58.43</v>
      </c>
      <c r="E99" s="12"/>
      <c r="F99" s="12"/>
      <c r="G99" s="12">
        <v>67.260000000000005</v>
      </c>
      <c r="H99" s="12">
        <f>9.29+3.5+6.82</f>
        <v>19.61</v>
      </c>
      <c r="I99" s="12"/>
      <c r="J99" s="12">
        <v>3.5</v>
      </c>
      <c r="K99" s="12"/>
      <c r="L99" s="12">
        <v>8.620000000000001</v>
      </c>
      <c r="M99" s="12">
        <f t="shared" si="19"/>
        <v>268.01000000000005</v>
      </c>
    </row>
    <row r="100" spans="1:13" x14ac:dyDescent="0.35">
      <c r="A100" s="6" t="s">
        <v>44</v>
      </c>
      <c r="B100" s="12"/>
      <c r="C100" s="12">
        <v>0</v>
      </c>
      <c r="D100" s="12"/>
      <c r="E100" s="12"/>
      <c r="F100" s="12"/>
      <c r="G100" s="12"/>
      <c r="H100" s="12"/>
      <c r="I100" s="12"/>
      <c r="J100" s="12"/>
      <c r="K100" s="12"/>
      <c r="L100" s="12"/>
      <c r="M100" s="12">
        <f t="shared" si="19"/>
        <v>0</v>
      </c>
    </row>
    <row r="101" spans="1:13" x14ac:dyDescent="0.35">
      <c r="A101" s="6" t="s">
        <v>45</v>
      </c>
      <c r="B101" s="12">
        <v>352.24</v>
      </c>
      <c r="C101" s="12">
        <v>67.589999999999989</v>
      </c>
      <c r="D101" s="12">
        <v>172.61</v>
      </c>
      <c r="E101" s="12">
        <f>3.45+1.62</f>
        <v>5.07</v>
      </c>
      <c r="F101" s="12">
        <f>21.33+32.16</f>
        <v>53.489999999999995</v>
      </c>
      <c r="G101" s="12">
        <v>55.02</v>
      </c>
      <c r="H101" s="12">
        <v>27.6</v>
      </c>
      <c r="I101" s="12"/>
      <c r="J101" s="12">
        <v>13.68</v>
      </c>
      <c r="K101" s="12"/>
      <c r="L101" s="12">
        <v>14.81</v>
      </c>
      <c r="M101" s="12">
        <f t="shared" si="19"/>
        <v>762.11</v>
      </c>
    </row>
    <row r="102" spans="1:13" x14ac:dyDescent="0.35">
      <c r="A102" s="272" t="s">
        <v>16</v>
      </c>
      <c r="B102" s="273">
        <f t="shared" ref="B102:L102" si="24">SUM(B103:B111)</f>
        <v>48.370000000000005</v>
      </c>
      <c r="C102" s="273">
        <v>0</v>
      </c>
      <c r="D102" s="273"/>
      <c r="E102" s="273"/>
      <c r="F102" s="273"/>
      <c r="G102" s="273">
        <f t="shared" si="24"/>
        <v>22.279999999999998</v>
      </c>
      <c r="H102" s="273">
        <f t="shared" si="24"/>
        <v>10.760000000000002</v>
      </c>
      <c r="I102" s="273"/>
      <c r="J102" s="273">
        <f t="shared" si="24"/>
        <v>5.2</v>
      </c>
      <c r="K102" s="273"/>
      <c r="L102" s="273">
        <f t="shared" si="24"/>
        <v>53.47</v>
      </c>
      <c r="M102" s="273">
        <f t="shared" si="19"/>
        <v>140.08000000000001</v>
      </c>
    </row>
    <row r="103" spans="1:13" x14ac:dyDescent="0.35">
      <c r="A103" s="6" t="s">
        <v>46</v>
      </c>
      <c r="B103" s="12"/>
      <c r="C103" s="12">
        <v>0</v>
      </c>
      <c r="D103" s="12"/>
      <c r="E103" s="12"/>
      <c r="F103" s="12"/>
      <c r="G103" s="12"/>
      <c r="H103" s="12"/>
      <c r="I103" s="12"/>
      <c r="J103" s="12"/>
      <c r="K103" s="12"/>
      <c r="L103" s="12"/>
      <c r="M103" s="12">
        <f t="shared" si="19"/>
        <v>0</v>
      </c>
    </row>
    <row r="104" spans="1:13" x14ac:dyDescent="0.35">
      <c r="A104" s="6" t="s">
        <v>47</v>
      </c>
      <c r="B104" s="12"/>
      <c r="C104" s="12">
        <v>0</v>
      </c>
      <c r="D104" s="12"/>
      <c r="E104" s="12"/>
      <c r="F104" s="12"/>
      <c r="G104" s="12"/>
      <c r="H104" s="12"/>
      <c r="I104" s="12"/>
      <c r="J104" s="12"/>
      <c r="K104" s="12"/>
      <c r="L104" s="12">
        <v>1.22</v>
      </c>
      <c r="M104" s="12">
        <f t="shared" si="19"/>
        <v>1.22</v>
      </c>
    </row>
    <row r="105" spans="1:13" x14ac:dyDescent="0.35">
      <c r="A105" s="6" t="s">
        <v>48</v>
      </c>
      <c r="B105" s="12"/>
      <c r="C105" s="12">
        <v>0</v>
      </c>
      <c r="D105" s="12"/>
      <c r="E105" s="12"/>
      <c r="F105" s="12"/>
      <c r="G105" s="12"/>
      <c r="H105" s="12"/>
      <c r="I105" s="12"/>
      <c r="J105" s="12"/>
      <c r="K105" s="12"/>
      <c r="L105" s="12"/>
      <c r="M105" s="12">
        <f t="shared" si="19"/>
        <v>0</v>
      </c>
    </row>
    <row r="106" spans="1:13" x14ac:dyDescent="0.35">
      <c r="A106" s="6" t="s">
        <v>49</v>
      </c>
      <c r="B106" s="12"/>
      <c r="C106" s="12">
        <v>0</v>
      </c>
      <c r="D106" s="12"/>
      <c r="E106" s="12"/>
      <c r="F106" s="12"/>
      <c r="G106" s="12"/>
      <c r="H106" s="12">
        <v>1.8</v>
      </c>
      <c r="I106" s="12"/>
      <c r="J106" s="12"/>
      <c r="K106" s="12"/>
      <c r="L106" s="12"/>
      <c r="M106" s="12">
        <f t="shared" ref="M106:M127" si="25">SUM(B106:L106)</f>
        <v>1.8</v>
      </c>
    </row>
    <row r="107" spans="1:13" x14ac:dyDescent="0.35">
      <c r="A107" s="6" t="s">
        <v>50</v>
      </c>
      <c r="B107" s="12"/>
      <c r="C107" s="12">
        <v>0</v>
      </c>
      <c r="D107" s="12"/>
      <c r="E107" s="12"/>
      <c r="F107" s="12"/>
      <c r="G107" s="12"/>
      <c r="H107" s="12"/>
      <c r="I107" s="12"/>
      <c r="J107" s="12"/>
      <c r="K107" s="12"/>
      <c r="L107" s="12"/>
      <c r="M107" s="12">
        <f t="shared" si="25"/>
        <v>0</v>
      </c>
    </row>
    <row r="108" spans="1:13" x14ac:dyDescent="0.35">
      <c r="A108" s="6" t="s">
        <v>51</v>
      </c>
      <c r="B108" s="12"/>
      <c r="C108" s="12">
        <v>0</v>
      </c>
      <c r="D108" s="12"/>
      <c r="E108" s="12"/>
      <c r="F108" s="12"/>
      <c r="G108" s="12"/>
      <c r="H108" s="12"/>
      <c r="I108" s="12"/>
      <c r="J108" s="12"/>
      <c r="K108" s="12"/>
      <c r="L108" s="12"/>
      <c r="M108" s="12">
        <f t="shared" si="25"/>
        <v>0</v>
      </c>
    </row>
    <row r="109" spans="1:13" x14ac:dyDescent="0.35">
      <c r="A109" s="6" t="s">
        <v>52</v>
      </c>
      <c r="B109" s="12"/>
      <c r="C109" s="12">
        <v>0</v>
      </c>
      <c r="D109" s="12"/>
      <c r="E109" s="12"/>
      <c r="F109" s="12"/>
      <c r="G109" s="12"/>
      <c r="H109" s="12"/>
      <c r="I109" s="12"/>
      <c r="J109" s="12"/>
      <c r="K109" s="12"/>
      <c r="L109" s="12">
        <v>2.0499999999999998</v>
      </c>
      <c r="M109" s="12">
        <f t="shared" si="25"/>
        <v>2.0499999999999998</v>
      </c>
    </row>
    <row r="110" spans="1:13" x14ac:dyDescent="0.35">
      <c r="A110" s="6" t="s">
        <v>53</v>
      </c>
      <c r="B110" s="12">
        <v>47.92</v>
      </c>
      <c r="C110" s="12">
        <v>0</v>
      </c>
      <c r="D110" s="12"/>
      <c r="E110" s="12"/>
      <c r="F110" s="12"/>
      <c r="G110" s="12">
        <v>22.279999999999998</v>
      </c>
      <c r="H110" s="12">
        <v>8.9600000000000009</v>
      </c>
      <c r="I110" s="12"/>
      <c r="J110" s="12">
        <v>5.2</v>
      </c>
      <c r="K110" s="12"/>
      <c r="L110" s="12">
        <v>45.249999999999993</v>
      </c>
      <c r="M110" s="12">
        <f t="shared" si="25"/>
        <v>129.60999999999999</v>
      </c>
    </row>
    <row r="111" spans="1:13" x14ac:dyDescent="0.35">
      <c r="A111" s="6" t="s">
        <v>54</v>
      </c>
      <c r="B111" s="12">
        <v>0.45</v>
      </c>
      <c r="C111" s="12">
        <v>0</v>
      </c>
      <c r="D111" s="12"/>
      <c r="E111" s="12"/>
      <c r="F111" s="12"/>
      <c r="G111" s="12"/>
      <c r="H111" s="12"/>
      <c r="I111" s="12"/>
      <c r="J111" s="12"/>
      <c r="K111" s="12"/>
      <c r="L111" s="12">
        <v>4.95</v>
      </c>
      <c r="M111" s="12">
        <f t="shared" si="25"/>
        <v>5.4</v>
      </c>
    </row>
    <row r="112" spans="1:13" x14ac:dyDescent="0.35">
      <c r="A112" s="272" t="s">
        <v>17</v>
      </c>
      <c r="B112" s="273">
        <f t="shared" ref="B112:I112" si="26">SUM(B113:B114)</f>
        <v>54.339999999999996</v>
      </c>
      <c r="C112" s="273">
        <v>24.63</v>
      </c>
      <c r="D112" s="273">
        <f t="shared" si="26"/>
        <v>17.73</v>
      </c>
      <c r="E112" s="273">
        <f t="shared" si="26"/>
        <v>13.52</v>
      </c>
      <c r="F112" s="273">
        <f t="shared" si="26"/>
        <v>56.050000000000004</v>
      </c>
      <c r="G112" s="273">
        <f t="shared" si="26"/>
        <v>4.33</v>
      </c>
      <c r="H112" s="273">
        <f t="shared" si="26"/>
        <v>27.94</v>
      </c>
      <c r="I112" s="273">
        <f t="shared" si="26"/>
        <v>0.08</v>
      </c>
      <c r="J112" s="273"/>
      <c r="K112" s="273"/>
      <c r="L112" s="273">
        <f>L113</f>
        <v>33.480000000000004</v>
      </c>
      <c r="M112" s="273">
        <f t="shared" si="25"/>
        <v>232.10000000000002</v>
      </c>
    </row>
    <row r="113" spans="1:13" x14ac:dyDescent="0.35">
      <c r="A113" s="6" t="s">
        <v>55</v>
      </c>
      <c r="B113" s="12">
        <v>12.9</v>
      </c>
      <c r="C113" s="12">
        <v>24.63</v>
      </c>
      <c r="D113" s="12">
        <v>12.89</v>
      </c>
      <c r="E113" s="12">
        <v>9.32</v>
      </c>
      <c r="F113" s="12">
        <f>7.31+9.88+7.64</f>
        <v>24.830000000000002</v>
      </c>
      <c r="G113" s="12"/>
      <c r="H113" s="12"/>
      <c r="I113" s="12"/>
      <c r="J113" s="12"/>
      <c r="K113" s="12"/>
      <c r="L113" s="12">
        <v>33.480000000000004</v>
      </c>
      <c r="M113" s="12">
        <f t="shared" si="25"/>
        <v>118.05000000000001</v>
      </c>
    </row>
    <row r="114" spans="1:13" x14ac:dyDescent="0.35">
      <c r="A114" s="6" t="s">
        <v>56</v>
      </c>
      <c r="B114" s="12">
        <v>41.44</v>
      </c>
      <c r="C114" s="12">
        <v>0</v>
      </c>
      <c r="D114" s="12">
        <f>4.75+0.09</f>
        <v>4.84</v>
      </c>
      <c r="E114" s="12">
        <v>4.2</v>
      </c>
      <c r="F114" s="12">
        <f>2.71+28.51</f>
        <v>31.220000000000002</v>
      </c>
      <c r="G114" s="12">
        <f>0.53+3.8</f>
        <v>4.33</v>
      </c>
      <c r="H114" s="12">
        <v>27.94</v>
      </c>
      <c r="I114" s="12">
        <f>0.02+0.02+0.04</f>
        <v>0.08</v>
      </c>
      <c r="J114" s="12"/>
      <c r="K114" s="12"/>
      <c r="L114" s="12">
        <v>0.01</v>
      </c>
      <c r="M114" s="12">
        <f t="shared" si="25"/>
        <v>114.06</v>
      </c>
    </row>
    <row r="115" spans="1:13" x14ac:dyDescent="0.35">
      <c r="A115" s="272" t="s">
        <v>18</v>
      </c>
      <c r="B115" s="273"/>
      <c r="C115" s="273">
        <v>0</v>
      </c>
      <c r="D115" s="273">
        <f t="shared" ref="D115:L115" si="27">D116</f>
        <v>20.14</v>
      </c>
      <c r="E115" s="273"/>
      <c r="F115" s="273">
        <f t="shared" si="27"/>
        <v>1.1100000000000001</v>
      </c>
      <c r="G115" s="273"/>
      <c r="H115" s="273"/>
      <c r="I115" s="273"/>
      <c r="J115" s="273"/>
      <c r="K115" s="273"/>
      <c r="L115" s="273">
        <f t="shared" si="27"/>
        <v>3.5800000000000005</v>
      </c>
      <c r="M115" s="273">
        <f t="shared" si="25"/>
        <v>24.830000000000002</v>
      </c>
    </row>
    <row r="116" spans="1:13" x14ac:dyDescent="0.35">
      <c r="A116" s="6" t="s">
        <v>18</v>
      </c>
      <c r="B116" s="12"/>
      <c r="C116" s="12">
        <v>0</v>
      </c>
      <c r="D116" s="12">
        <v>20.14</v>
      </c>
      <c r="E116" s="12"/>
      <c r="F116" s="12">
        <v>1.1100000000000001</v>
      </c>
      <c r="G116" s="12"/>
      <c r="H116" s="12"/>
      <c r="I116" s="12"/>
      <c r="J116" s="12"/>
      <c r="K116" s="12"/>
      <c r="L116" s="12">
        <v>3.5800000000000005</v>
      </c>
      <c r="M116" s="12">
        <f t="shared" si="25"/>
        <v>24.830000000000002</v>
      </c>
    </row>
    <row r="117" spans="1:13" x14ac:dyDescent="0.35">
      <c r="A117" s="272" t="s">
        <v>20</v>
      </c>
      <c r="B117" s="273"/>
      <c r="C117" s="273">
        <v>0</v>
      </c>
      <c r="D117" s="273"/>
      <c r="E117" s="273"/>
      <c r="F117" s="273"/>
      <c r="G117" s="273"/>
      <c r="H117" s="273"/>
      <c r="I117" s="273"/>
      <c r="J117" s="273">
        <f>J118</f>
        <v>0.94</v>
      </c>
      <c r="K117" s="273"/>
      <c r="L117" s="273">
        <f>L118</f>
        <v>0.6</v>
      </c>
      <c r="M117" s="273">
        <f t="shared" si="25"/>
        <v>1.54</v>
      </c>
    </row>
    <row r="118" spans="1:13" x14ac:dyDescent="0.35">
      <c r="A118" s="6" t="s">
        <v>20</v>
      </c>
      <c r="B118" s="12"/>
      <c r="C118" s="12">
        <v>0</v>
      </c>
      <c r="D118" s="12"/>
      <c r="E118" s="12"/>
      <c r="F118" s="12"/>
      <c r="G118" s="12"/>
      <c r="H118" s="12"/>
      <c r="I118" s="12"/>
      <c r="J118" s="12">
        <v>0.94</v>
      </c>
      <c r="K118" s="12"/>
      <c r="L118" s="12">
        <v>0.6</v>
      </c>
      <c r="M118" s="12">
        <f t="shared" si="25"/>
        <v>1.54</v>
      </c>
    </row>
    <row r="119" spans="1:13" x14ac:dyDescent="0.35">
      <c r="A119" s="272" t="s">
        <v>21</v>
      </c>
      <c r="B119" s="273">
        <f t="shared" ref="B119" si="28">B120</f>
        <v>1.08</v>
      </c>
      <c r="C119" s="273">
        <v>0</v>
      </c>
      <c r="D119" s="273"/>
      <c r="E119" s="273"/>
      <c r="F119" s="273"/>
      <c r="G119" s="273"/>
      <c r="H119" s="273"/>
      <c r="I119" s="273"/>
      <c r="J119" s="273">
        <f>J120</f>
        <v>9.31</v>
      </c>
      <c r="K119" s="273"/>
      <c r="L119" s="273"/>
      <c r="M119" s="273">
        <f t="shared" si="25"/>
        <v>10.39</v>
      </c>
    </row>
    <row r="120" spans="1:13" x14ac:dyDescent="0.35">
      <c r="A120" s="6" t="s">
        <v>21</v>
      </c>
      <c r="B120" s="12">
        <v>1.08</v>
      </c>
      <c r="C120" s="12">
        <v>0</v>
      </c>
      <c r="D120" s="12"/>
      <c r="E120" s="12"/>
      <c r="F120" s="12"/>
      <c r="G120" s="12"/>
      <c r="H120" s="12"/>
      <c r="I120" s="12"/>
      <c r="J120" s="12">
        <v>9.31</v>
      </c>
      <c r="K120" s="12"/>
      <c r="L120" s="12"/>
      <c r="M120" s="12">
        <f t="shared" si="25"/>
        <v>10.39</v>
      </c>
    </row>
    <row r="121" spans="1:13" x14ac:dyDescent="0.35">
      <c r="A121" s="272" t="s">
        <v>22</v>
      </c>
      <c r="B121" s="273">
        <f t="shared" ref="B121:I121" si="29">B122</f>
        <v>417.55000000000018</v>
      </c>
      <c r="C121" s="273">
        <v>66.87</v>
      </c>
      <c r="D121" s="273">
        <f t="shared" si="29"/>
        <v>29.46</v>
      </c>
      <c r="E121" s="273">
        <f t="shared" si="29"/>
        <v>299.86999999999995</v>
      </c>
      <c r="F121" s="273">
        <f t="shared" si="29"/>
        <v>4.71</v>
      </c>
      <c r="G121" s="273">
        <f t="shared" si="29"/>
        <v>92.21</v>
      </c>
      <c r="H121" s="273">
        <f t="shared" si="29"/>
        <v>93.59</v>
      </c>
      <c r="I121" s="273">
        <f t="shared" si="29"/>
        <v>138.87</v>
      </c>
      <c r="J121" s="273">
        <f>J122</f>
        <v>31.95</v>
      </c>
      <c r="K121" s="273"/>
      <c r="L121" s="273">
        <f>L122</f>
        <v>395.78999999999985</v>
      </c>
      <c r="M121" s="273">
        <f t="shared" si="25"/>
        <v>1570.8700000000003</v>
      </c>
    </row>
    <row r="122" spans="1:13" x14ac:dyDescent="0.35">
      <c r="A122" s="6" t="s">
        <v>22</v>
      </c>
      <c r="B122" s="12">
        <v>417.55000000000018</v>
      </c>
      <c r="C122" s="12">
        <v>66.87</v>
      </c>
      <c r="D122" s="12">
        <v>29.46</v>
      </c>
      <c r="E122" s="12">
        <v>299.86999999999995</v>
      </c>
      <c r="F122" s="12">
        <v>4.71</v>
      </c>
      <c r="G122" s="12">
        <v>92.21</v>
      </c>
      <c r="H122" s="12">
        <v>93.59</v>
      </c>
      <c r="I122" s="12">
        <v>138.87</v>
      </c>
      <c r="J122" s="12">
        <v>31.95</v>
      </c>
      <c r="K122" s="12"/>
      <c r="L122" s="12">
        <v>395.78999999999985</v>
      </c>
      <c r="M122" s="12">
        <f t="shared" si="25"/>
        <v>1570.8700000000003</v>
      </c>
    </row>
    <row r="123" spans="1:13" x14ac:dyDescent="0.35">
      <c r="A123" s="272" t="s">
        <v>23</v>
      </c>
      <c r="B123" s="273">
        <f t="shared" ref="B123:I123" si="30">B124</f>
        <v>26.12</v>
      </c>
      <c r="C123" s="273">
        <v>39.699999999999996</v>
      </c>
      <c r="D123" s="273">
        <f t="shared" si="30"/>
        <v>0.69</v>
      </c>
      <c r="E123" s="273">
        <f t="shared" si="30"/>
        <v>0.56000000000000005</v>
      </c>
      <c r="F123" s="273">
        <f t="shared" si="30"/>
        <v>0.42</v>
      </c>
      <c r="G123" s="273">
        <f t="shared" si="30"/>
        <v>17.149999999999999</v>
      </c>
      <c r="H123" s="273"/>
      <c r="I123" s="273">
        <f t="shared" si="30"/>
        <v>2.2799999999999998</v>
      </c>
      <c r="J123" s="273">
        <f>J124</f>
        <v>36.01</v>
      </c>
      <c r="K123" s="273"/>
      <c r="L123" s="273">
        <f>L124</f>
        <v>56.920000000000009</v>
      </c>
      <c r="M123" s="273">
        <f t="shared" si="25"/>
        <v>179.85</v>
      </c>
    </row>
    <row r="124" spans="1:13" x14ac:dyDescent="0.35">
      <c r="A124" s="6" t="s">
        <v>23</v>
      </c>
      <c r="B124" s="12">
        <v>26.12</v>
      </c>
      <c r="C124" s="12">
        <v>39.699999999999996</v>
      </c>
      <c r="D124" s="12">
        <v>0.69</v>
      </c>
      <c r="E124" s="12">
        <v>0.56000000000000005</v>
      </c>
      <c r="F124" s="12">
        <v>0.42</v>
      </c>
      <c r="G124" s="12">
        <v>17.149999999999999</v>
      </c>
      <c r="H124" s="12"/>
      <c r="I124" s="12">
        <v>2.2799999999999998</v>
      </c>
      <c r="J124" s="12">
        <v>36.01</v>
      </c>
      <c r="K124" s="12"/>
      <c r="L124" s="12">
        <v>56.920000000000009</v>
      </c>
      <c r="M124" s="12">
        <f t="shared" si="25"/>
        <v>179.85</v>
      </c>
    </row>
    <row r="125" spans="1:13" x14ac:dyDescent="0.35">
      <c r="A125" s="272" t="s">
        <v>76</v>
      </c>
      <c r="B125" s="273"/>
      <c r="C125" s="273">
        <v>0</v>
      </c>
      <c r="D125" s="273"/>
      <c r="E125" s="273"/>
      <c r="F125" s="273"/>
      <c r="G125" s="273"/>
      <c r="H125" s="273"/>
      <c r="I125" s="273"/>
      <c r="J125" s="273"/>
      <c r="K125" s="273"/>
      <c r="L125" s="273"/>
      <c r="M125" s="273">
        <f t="shared" si="25"/>
        <v>0</v>
      </c>
    </row>
    <row r="126" spans="1:13" x14ac:dyDescent="0.35">
      <c r="A126" s="6" t="s">
        <v>59</v>
      </c>
      <c r="B126" s="12"/>
      <c r="C126" s="12">
        <v>0</v>
      </c>
      <c r="D126" s="12"/>
      <c r="E126" s="12"/>
      <c r="F126" s="12"/>
      <c r="G126" s="12"/>
      <c r="H126" s="12"/>
      <c r="I126" s="12"/>
      <c r="J126" s="12"/>
      <c r="K126" s="12"/>
      <c r="L126" s="12"/>
      <c r="M126" s="12">
        <f t="shared" si="25"/>
        <v>0</v>
      </c>
    </row>
    <row r="127" spans="1:13" ht="15" customHeight="1" x14ac:dyDescent="0.35">
      <c r="A127" s="274" t="s">
        <v>25</v>
      </c>
      <c r="B127" s="275">
        <f t="shared" ref="B127:L127" si="31">SUM(B125,B123,B121,B119,B117,B115,B112,B102,B96,B91,B87,B83,B74)</f>
        <v>5095.5999999999995</v>
      </c>
      <c r="C127" s="275">
        <v>2520.04</v>
      </c>
      <c r="D127" s="275">
        <f t="shared" si="31"/>
        <v>779.03</v>
      </c>
      <c r="E127" s="275">
        <f t="shared" si="31"/>
        <v>1106.76</v>
      </c>
      <c r="F127" s="275">
        <f t="shared" si="31"/>
        <v>511.20000000000005</v>
      </c>
      <c r="G127" s="275">
        <f t="shared" si="31"/>
        <v>964.18999999999983</v>
      </c>
      <c r="H127" s="275">
        <f t="shared" si="31"/>
        <v>657.2</v>
      </c>
      <c r="I127" s="275">
        <f t="shared" si="31"/>
        <v>346.32</v>
      </c>
      <c r="J127" s="275">
        <f t="shared" si="31"/>
        <v>526.53</v>
      </c>
      <c r="K127" s="275">
        <f t="shared" si="31"/>
        <v>0</v>
      </c>
      <c r="L127" s="275">
        <f t="shared" si="31"/>
        <v>1692.0999999999997</v>
      </c>
      <c r="M127" s="275">
        <f t="shared" si="25"/>
        <v>14198.970000000003</v>
      </c>
    </row>
    <row r="130" spans="1:13" ht="18.5" x14ac:dyDescent="0.45">
      <c r="A130" s="223"/>
      <c r="B130" s="223"/>
    </row>
    <row r="131" spans="1:13" ht="15.5" x14ac:dyDescent="0.35">
      <c r="A131" s="276" t="s">
        <v>129</v>
      </c>
    </row>
    <row r="132" spans="1:13" ht="15" customHeight="1" x14ac:dyDescent="0.35">
      <c r="A132" s="713" t="s">
        <v>88</v>
      </c>
      <c r="B132" s="715" t="s">
        <v>113</v>
      </c>
      <c r="C132" s="715"/>
      <c r="D132" s="715"/>
      <c r="E132" s="715"/>
      <c r="F132" s="715"/>
      <c r="G132" s="715"/>
      <c r="H132" s="715"/>
      <c r="I132" s="715"/>
      <c r="J132" s="715"/>
      <c r="K132" s="715"/>
      <c r="L132" s="715"/>
      <c r="M132" s="715"/>
    </row>
    <row r="133" spans="1:13" ht="30" customHeight="1" x14ac:dyDescent="0.35">
      <c r="A133" s="714"/>
      <c r="B133" s="539" t="s">
        <v>114</v>
      </c>
      <c r="C133" s="542" t="s">
        <v>315</v>
      </c>
      <c r="D133" s="540" t="s">
        <v>119</v>
      </c>
      <c r="E133" s="267" t="s">
        <v>115</v>
      </c>
      <c r="F133" s="541" t="s">
        <v>125</v>
      </c>
      <c r="G133" s="540" t="s">
        <v>126</v>
      </c>
      <c r="H133" s="542" t="s">
        <v>127</v>
      </c>
      <c r="I133" s="267" t="s">
        <v>117</v>
      </c>
      <c r="J133" s="541" t="s">
        <v>116</v>
      </c>
      <c r="K133" s="267" t="s">
        <v>122</v>
      </c>
      <c r="L133" s="267" t="s">
        <v>123</v>
      </c>
      <c r="M133" s="268" t="s">
        <v>124</v>
      </c>
    </row>
    <row r="134" spans="1:13" x14ac:dyDescent="0.35">
      <c r="A134" s="272" t="s">
        <v>5</v>
      </c>
      <c r="B134" s="273">
        <v>3425.8799999999978</v>
      </c>
      <c r="C134" s="273">
        <v>14507.580000000007</v>
      </c>
      <c r="D134" s="273">
        <v>588.21999999999991</v>
      </c>
      <c r="E134" s="273">
        <v>646.29000000000019</v>
      </c>
      <c r="F134" s="273">
        <v>2162.9500000000003</v>
      </c>
      <c r="G134" s="273">
        <v>1112.32</v>
      </c>
      <c r="H134" s="273">
        <v>975.26000000000022</v>
      </c>
      <c r="I134" s="273">
        <v>334.41</v>
      </c>
      <c r="J134" s="273">
        <v>315.42</v>
      </c>
      <c r="K134" s="273"/>
      <c r="L134" s="273">
        <v>3761.5299999999997</v>
      </c>
      <c r="M134" s="273">
        <f t="shared" ref="M134:M153" si="32">M14-M74</f>
        <v>27829.860000000004</v>
      </c>
    </row>
    <row r="135" spans="1:13" x14ac:dyDescent="0.35">
      <c r="A135" s="15" t="s">
        <v>6</v>
      </c>
      <c r="B135" s="12">
        <v>263.3299999999997</v>
      </c>
      <c r="C135" s="12">
        <v>74.33</v>
      </c>
      <c r="D135" s="12">
        <v>10.5</v>
      </c>
      <c r="E135" s="12">
        <v>177.30999999999992</v>
      </c>
      <c r="F135" s="12">
        <v>7.999999999999996E-2</v>
      </c>
      <c r="G135" s="12">
        <v>26.85</v>
      </c>
      <c r="H135" s="12">
        <v>1.39</v>
      </c>
      <c r="I135" s="12">
        <v>97.990000000000023</v>
      </c>
      <c r="J135" s="12">
        <v>38.429999999999978</v>
      </c>
      <c r="K135" s="12"/>
      <c r="L135" s="12">
        <v>152.5800000000001</v>
      </c>
      <c r="M135" s="12">
        <f t="shared" si="32"/>
        <v>842.78999999999974</v>
      </c>
    </row>
    <row r="136" spans="1:13" x14ac:dyDescent="0.35">
      <c r="A136" s="16" t="s">
        <v>7</v>
      </c>
      <c r="B136" s="12">
        <v>16.600000000000001</v>
      </c>
      <c r="C136" s="12">
        <v>450.58000000000004</v>
      </c>
      <c r="D136" s="12"/>
      <c r="E136" s="12"/>
      <c r="F136" s="12">
        <v>118.92</v>
      </c>
      <c r="G136" s="12">
        <v>17.96</v>
      </c>
      <c r="H136" s="12">
        <v>40.270000000000003</v>
      </c>
      <c r="I136" s="12">
        <v>24.33</v>
      </c>
      <c r="J136" s="12"/>
      <c r="K136" s="12"/>
      <c r="L136" s="12">
        <v>136.04999999999998</v>
      </c>
      <c r="M136" s="12">
        <f t="shared" si="32"/>
        <v>804.71</v>
      </c>
    </row>
    <row r="137" spans="1:13" x14ac:dyDescent="0.35">
      <c r="A137" s="16" t="s">
        <v>8</v>
      </c>
      <c r="B137" s="12">
        <v>217.98000000000002</v>
      </c>
      <c r="C137" s="12">
        <v>5387.9900000000016</v>
      </c>
      <c r="D137" s="12">
        <v>12.91</v>
      </c>
      <c r="E137" s="12">
        <v>0.11</v>
      </c>
      <c r="F137" s="12">
        <v>840.86</v>
      </c>
      <c r="G137" s="12">
        <v>0.17000000000000004</v>
      </c>
      <c r="H137" s="12">
        <v>330.53</v>
      </c>
      <c r="I137" s="12">
        <v>11.459999999999999</v>
      </c>
      <c r="J137" s="12"/>
      <c r="K137" s="12"/>
      <c r="L137" s="12">
        <v>589.92000000000007</v>
      </c>
      <c r="M137" s="12">
        <f t="shared" si="32"/>
        <v>7391.9299999999994</v>
      </c>
    </row>
    <row r="138" spans="1:13" x14ac:dyDescent="0.35">
      <c r="A138" s="16" t="s">
        <v>26</v>
      </c>
      <c r="B138" s="12">
        <v>1844.6199999999983</v>
      </c>
      <c r="C138" s="12">
        <v>677.94999999999993</v>
      </c>
      <c r="D138" s="12">
        <v>255.72999999999988</v>
      </c>
      <c r="E138" s="12">
        <v>391.42000000000019</v>
      </c>
      <c r="F138" s="12">
        <v>28.73</v>
      </c>
      <c r="G138" s="12">
        <v>138.5</v>
      </c>
      <c r="H138" s="12">
        <v>278.55000000000018</v>
      </c>
      <c r="I138" s="12">
        <v>116.38000000000005</v>
      </c>
      <c r="J138" s="12">
        <v>250.89999999999998</v>
      </c>
      <c r="K138" s="12"/>
      <c r="L138" s="12">
        <v>907.63999999999965</v>
      </c>
      <c r="M138" s="12">
        <f t="shared" si="32"/>
        <v>4890.4199999999983</v>
      </c>
    </row>
    <row r="139" spans="1:13" x14ac:dyDescent="0.35">
      <c r="A139" s="16" t="s">
        <v>27</v>
      </c>
      <c r="B139" s="12">
        <v>41.45</v>
      </c>
      <c r="C139" s="12">
        <v>442.93999999999994</v>
      </c>
      <c r="D139" s="12">
        <v>14.08</v>
      </c>
      <c r="E139" s="12">
        <v>30.19</v>
      </c>
      <c r="F139" s="12"/>
      <c r="G139" s="12">
        <v>58.26</v>
      </c>
      <c r="H139" s="12">
        <v>53.17</v>
      </c>
      <c r="I139" s="12"/>
      <c r="J139" s="12"/>
      <c r="K139" s="12"/>
      <c r="L139" s="12">
        <v>104.43</v>
      </c>
      <c r="M139" s="12">
        <f t="shared" si="32"/>
        <v>744.52</v>
      </c>
    </row>
    <row r="140" spans="1:13" x14ac:dyDescent="0.35">
      <c r="A140" s="16" t="s">
        <v>28</v>
      </c>
      <c r="B140" s="12">
        <v>150.56</v>
      </c>
      <c r="C140" s="12">
        <v>711.37</v>
      </c>
      <c r="D140" s="12">
        <v>9.6</v>
      </c>
      <c r="E140" s="12">
        <v>4.1900000000000004</v>
      </c>
      <c r="F140" s="12">
        <v>140.05000000000001</v>
      </c>
      <c r="G140" s="12">
        <v>170.6</v>
      </c>
      <c r="H140" s="12">
        <v>75.23</v>
      </c>
      <c r="I140" s="12">
        <v>9.5399999999999991</v>
      </c>
      <c r="J140" s="12">
        <v>17.54</v>
      </c>
      <c r="K140" s="12"/>
      <c r="L140" s="12">
        <v>340.52999999999992</v>
      </c>
      <c r="M140" s="12">
        <f t="shared" si="32"/>
        <v>1629.2099999999998</v>
      </c>
    </row>
    <row r="141" spans="1:13" x14ac:dyDescent="0.35">
      <c r="A141" s="16" t="s">
        <v>29</v>
      </c>
      <c r="B141" s="12">
        <v>38.309999999999995</v>
      </c>
      <c r="C141" s="12">
        <v>144</v>
      </c>
      <c r="D141" s="12"/>
      <c r="E141" s="12">
        <v>7.87</v>
      </c>
      <c r="F141" s="12"/>
      <c r="G141" s="12">
        <v>7.07</v>
      </c>
      <c r="H141" s="12">
        <v>16.920000000000002</v>
      </c>
      <c r="I141" s="12">
        <v>12.53</v>
      </c>
      <c r="J141" s="12">
        <v>1.48</v>
      </c>
      <c r="K141" s="12"/>
      <c r="L141" s="12">
        <v>133.59</v>
      </c>
      <c r="M141" s="12">
        <f t="shared" si="32"/>
        <v>361.77000000000004</v>
      </c>
    </row>
    <row r="142" spans="1:13" x14ac:dyDescent="0.35">
      <c r="A142" s="16" t="s">
        <v>30</v>
      </c>
      <c r="B142" s="12">
        <v>853.02999999999952</v>
      </c>
      <c r="C142" s="12">
        <v>6618.4200000000073</v>
      </c>
      <c r="D142" s="12">
        <v>285.39999999999998</v>
      </c>
      <c r="E142" s="12">
        <v>35.200000000000003</v>
      </c>
      <c r="F142" s="12">
        <v>1034.3100000000002</v>
      </c>
      <c r="G142" s="12">
        <v>692.91</v>
      </c>
      <c r="H142" s="12">
        <v>179.2</v>
      </c>
      <c r="I142" s="12">
        <v>62.18</v>
      </c>
      <c r="J142" s="12">
        <v>7.07</v>
      </c>
      <c r="K142" s="12"/>
      <c r="L142" s="12">
        <v>1396.7900000000004</v>
      </c>
      <c r="M142" s="12">
        <f t="shared" si="32"/>
        <v>11164.510000000007</v>
      </c>
    </row>
    <row r="143" spans="1:13" x14ac:dyDescent="0.35">
      <c r="A143" s="272" t="s">
        <v>12</v>
      </c>
      <c r="B143" s="273">
        <v>7987.9600000000028</v>
      </c>
      <c r="C143" s="273">
        <v>2530.4600000000019</v>
      </c>
      <c r="D143" s="273">
        <v>2252.0099999999998</v>
      </c>
      <c r="E143" s="273">
        <v>929.70999999999958</v>
      </c>
      <c r="F143" s="273">
        <v>1833.0000000000007</v>
      </c>
      <c r="G143" s="273">
        <v>1473.5999999999997</v>
      </c>
      <c r="H143" s="273">
        <v>561.55000000000007</v>
      </c>
      <c r="I143" s="273">
        <v>202.25</v>
      </c>
      <c r="J143" s="273">
        <v>577.61</v>
      </c>
      <c r="K143" s="273"/>
      <c r="L143" s="273">
        <v>2518.7000000000012</v>
      </c>
      <c r="M143" s="273">
        <f t="shared" si="32"/>
        <v>20866.850000000006</v>
      </c>
    </row>
    <row r="144" spans="1:13" x14ac:dyDescent="0.35">
      <c r="A144" s="6" t="s">
        <v>31</v>
      </c>
      <c r="B144" s="12">
        <v>1013.8599999999992</v>
      </c>
      <c r="C144" s="12">
        <v>1086.3800000000012</v>
      </c>
      <c r="D144" s="12">
        <v>1135.6600000000003</v>
      </c>
      <c r="E144" s="12">
        <v>50.33</v>
      </c>
      <c r="F144" s="12">
        <v>717.12000000000023</v>
      </c>
      <c r="G144" s="12">
        <v>988.61</v>
      </c>
      <c r="H144" s="12">
        <v>469.81</v>
      </c>
      <c r="I144" s="12">
        <v>88.289999999999992</v>
      </c>
      <c r="J144" s="12">
        <v>91.61</v>
      </c>
      <c r="K144" s="12"/>
      <c r="L144" s="12">
        <v>1061.2500000000011</v>
      </c>
      <c r="M144" s="12">
        <f t="shared" si="32"/>
        <v>6702.9200000000019</v>
      </c>
    </row>
    <row r="145" spans="1:13" x14ac:dyDescent="0.35">
      <c r="A145" s="6" t="s">
        <v>32</v>
      </c>
      <c r="B145" s="12">
        <v>956.4399999999996</v>
      </c>
      <c r="C145" s="12">
        <v>71.88000000000001</v>
      </c>
      <c r="D145" s="12">
        <v>39.770000000000003</v>
      </c>
      <c r="E145" s="12">
        <v>176.25</v>
      </c>
      <c r="F145" s="12">
        <v>118.52</v>
      </c>
      <c r="G145" s="12">
        <v>79.03</v>
      </c>
      <c r="H145" s="12">
        <v>10.34</v>
      </c>
      <c r="I145" s="12">
        <v>9.14</v>
      </c>
      <c r="J145" s="12">
        <v>38.15</v>
      </c>
      <c r="K145" s="12"/>
      <c r="L145" s="12">
        <v>195.03000000000003</v>
      </c>
      <c r="M145" s="12">
        <f t="shared" si="32"/>
        <v>1694.5499999999995</v>
      </c>
    </row>
    <row r="146" spans="1:13" x14ac:dyDescent="0.35">
      <c r="A146" s="6" t="s">
        <v>33</v>
      </c>
      <c r="B146" s="12">
        <v>6017.6600000000035</v>
      </c>
      <c r="C146" s="12">
        <v>1372.2000000000005</v>
      </c>
      <c r="D146" s="12">
        <v>1076.5799999999997</v>
      </c>
      <c r="E146" s="12">
        <v>703.12999999999965</v>
      </c>
      <c r="F146" s="12">
        <v>997.36000000000024</v>
      </c>
      <c r="G146" s="12">
        <v>405.95999999999958</v>
      </c>
      <c r="H146" s="12">
        <v>81.400000000000006</v>
      </c>
      <c r="I146" s="12">
        <v>104.82000000000001</v>
      </c>
      <c r="J146" s="12">
        <v>447.85</v>
      </c>
      <c r="K146" s="12"/>
      <c r="L146" s="12">
        <v>1262.4200000000005</v>
      </c>
      <c r="M146" s="12">
        <f t="shared" si="32"/>
        <v>12469.380000000003</v>
      </c>
    </row>
    <row r="147" spans="1:13" x14ac:dyDescent="0.35">
      <c r="A147" s="272" t="s">
        <v>13</v>
      </c>
      <c r="B147" s="273">
        <v>1036.7499999999998</v>
      </c>
      <c r="C147" s="273">
        <v>703.58999999999992</v>
      </c>
      <c r="D147" s="273">
        <v>417.7700000000001</v>
      </c>
      <c r="E147" s="273">
        <v>643.91999999999996</v>
      </c>
      <c r="F147" s="273">
        <v>102.62</v>
      </c>
      <c r="G147" s="273">
        <v>161.32999999999998</v>
      </c>
      <c r="H147" s="273">
        <v>93.259999999999991</v>
      </c>
      <c r="I147" s="273">
        <v>936.92999999999927</v>
      </c>
      <c r="J147" s="273">
        <v>168.26000000000005</v>
      </c>
      <c r="K147" s="273"/>
      <c r="L147" s="273">
        <v>1520.1699999999996</v>
      </c>
      <c r="M147" s="273">
        <f t="shared" si="32"/>
        <v>5784.6</v>
      </c>
    </row>
    <row r="148" spans="1:13" x14ac:dyDescent="0.35">
      <c r="A148" s="6" t="s">
        <v>34</v>
      </c>
      <c r="B148" s="12">
        <v>785.31999999999948</v>
      </c>
      <c r="C148" s="12">
        <v>209.08999999999992</v>
      </c>
      <c r="D148" s="12">
        <v>154.71000000000004</v>
      </c>
      <c r="E148" s="12">
        <v>453.35999999999996</v>
      </c>
      <c r="F148" s="12">
        <v>69.960000000000008</v>
      </c>
      <c r="G148" s="12">
        <v>40.309999999999988</v>
      </c>
      <c r="H148" s="12">
        <v>69.069999999999993</v>
      </c>
      <c r="I148" s="12">
        <v>127.42000000000002</v>
      </c>
      <c r="J148" s="12">
        <v>2.37</v>
      </c>
      <c r="K148" s="12"/>
      <c r="L148" s="12">
        <v>471.23000000000036</v>
      </c>
      <c r="M148" s="12">
        <f t="shared" si="32"/>
        <v>2382.8399999999997</v>
      </c>
    </row>
    <row r="149" spans="1:13" x14ac:dyDescent="0.35">
      <c r="A149" s="6" t="s">
        <v>61</v>
      </c>
      <c r="B149" s="12">
        <v>43.33</v>
      </c>
      <c r="C149" s="12">
        <v>93.25</v>
      </c>
      <c r="D149" s="12">
        <v>159.29000000000002</v>
      </c>
      <c r="E149" s="12">
        <v>94.240000000000038</v>
      </c>
      <c r="F149" s="12">
        <v>17.71</v>
      </c>
      <c r="G149" s="12">
        <v>37.4</v>
      </c>
      <c r="H149" s="12">
        <v>9.8699999999999992</v>
      </c>
      <c r="I149" s="12">
        <v>573.79999999999927</v>
      </c>
      <c r="J149" s="12">
        <v>1.1499999999999999</v>
      </c>
      <c r="K149" s="12"/>
      <c r="L149" s="12">
        <v>383.00999999999976</v>
      </c>
      <c r="M149" s="12">
        <f t="shared" si="32"/>
        <v>1413.0499999999993</v>
      </c>
    </row>
    <row r="150" spans="1:13" x14ac:dyDescent="0.35">
      <c r="A150" s="6" t="s">
        <v>36</v>
      </c>
      <c r="B150" s="12">
        <v>208.1</v>
      </c>
      <c r="C150" s="12">
        <v>401.25</v>
      </c>
      <c r="D150" s="12">
        <v>103.76999999999998</v>
      </c>
      <c r="E150" s="12">
        <v>96.32</v>
      </c>
      <c r="F150" s="12">
        <v>14.95</v>
      </c>
      <c r="G150" s="12">
        <v>83.62</v>
      </c>
      <c r="H150" s="12">
        <v>14.319999999999999</v>
      </c>
      <c r="I150" s="12">
        <v>235.71000000000009</v>
      </c>
      <c r="J150" s="12">
        <v>164.74000000000007</v>
      </c>
      <c r="K150" s="12"/>
      <c r="L150" s="12">
        <v>665.92999999999961</v>
      </c>
      <c r="M150" s="12">
        <f t="shared" si="32"/>
        <v>1988.71</v>
      </c>
    </row>
    <row r="151" spans="1:13" x14ac:dyDescent="0.35">
      <c r="A151" s="272" t="s">
        <v>14</v>
      </c>
      <c r="B151" s="273">
        <v>614.24999999999989</v>
      </c>
      <c r="C151" s="273">
        <v>1249.73</v>
      </c>
      <c r="D151" s="273">
        <v>3224.92</v>
      </c>
      <c r="E151" s="273">
        <v>1793.1999999999962</v>
      </c>
      <c r="F151" s="273">
        <v>390.20999999999987</v>
      </c>
      <c r="G151" s="273">
        <v>1117.6099999999997</v>
      </c>
      <c r="H151" s="273">
        <v>224.88000000000002</v>
      </c>
      <c r="I151" s="273">
        <v>328.0200000000001</v>
      </c>
      <c r="J151" s="273">
        <v>490.44000000000005</v>
      </c>
      <c r="K151" s="273"/>
      <c r="L151" s="273">
        <v>1484.879999999999</v>
      </c>
      <c r="M151" s="273">
        <f t="shared" si="32"/>
        <v>10918.139999999996</v>
      </c>
    </row>
    <row r="152" spans="1:13" x14ac:dyDescent="0.35">
      <c r="A152" s="6" t="s">
        <v>37</v>
      </c>
      <c r="B152" s="12"/>
      <c r="C152" s="12">
        <v>0</v>
      </c>
      <c r="D152" s="12">
        <v>2.41</v>
      </c>
      <c r="E152" s="12">
        <v>3.84</v>
      </c>
      <c r="F152" s="12"/>
      <c r="G152" s="12">
        <v>2.67</v>
      </c>
      <c r="H152" s="12"/>
      <c r="I152" s="12">
        <v>5.67</v>
      </c>
      <c r="J152" s="12">
        <v>6.6</v>
      </c>
      <c r="K152" s="12"/>
      <c r="L152" s="12"/>
      <c r="M152" s="12">
        <f t="shared" si="32"/>
        <v>21.189999999999998</v>
      </c>
    </row>
    <row r="153" spans="1:13" x14ac:dyDescent="0.35">
      <c r="A153" s="6" t="s">
        <v>38</v>
      </c>
      <c r="B153" s="12">
        <v>10.94</v>
      </c>
      <c r="C153" s="12">
        <v>13.6</v>
      </c>
      <c r="D153" s="12"/>
      <c r="E153" s="12"/>
      <c r="F153" s="12">
        <v>0.09</v>
      </c>
      <c r="G153" s="12">
        <v>0.31000000000000005</v>
      </c>
      <c r="H153" s="12"/>
      <c r="I153" s="12"/>
      <c r="J153" s="12">
        <v>0.09</v>
      </c>
      <c r="K153" s="12"/>
      <c r="L153" s="12">
        <v>2.2800000000000002</v>
      </c>
      <c r="M153" s="12">
        <f t="shared" si="32"/>
        <v>27.31</v>
      </c>
    </row>
    <row r="154" spans="1:13" x14ac:dyDescent="0.35">
      <c r="A154" s="6" t="s">
        <v>39</v>
      </c>
      <c r="B154" s="12">
        <v>449.73999999999984</v>
      </c>
      <c r="C154" s="12">
        <v>1146.5800000000002</v>
      </c>
      <c r="D154" s="12">
        <v>2440.2600000000002</v>
      </c>
      <c r="E154" s="12">
        <v>756.36999999999978</v>
      </c>
      <c r="F154" s="12">
        <v>291.23999999999995</v>
      </c>
      <c r="G154" s="12">
        <v>743.17999999999972</v>
      </c>
      <c r="H154" s="12">
        <v>180.43</v>
      </c>
      <c r="I154" s="12">
        <v>103.03000000000002</v>
      </c>
      <c r="J154" s="12">
        <v>352.48</v>
      </c>
      <c r="K154" s="12"/>
      <c r="L154" s="12">
        <v>810.00999999999965</v>
      </c>
      <c r="M154" s="12">
        <f t="shared" ref="M154:M173" si="33">M34-M94</f>
        <v>7273.3199999999988</v>
      </c>
    </row>
    <row r="155" spans="1:13" x14ac:dyDescent="0.35">
      <c r="A155" s="6" t="s">
        <v>40</v>
      </c>
      <c r="B155" s="12">
        <v>153.57000000000005</v>
      </c>
      <c r="C155" s="12">
        <v>89.550000000000011</v>
      </c>
      <c r="D155" s="12">
        <v>782.25</v>
      </c>
      <c r="E155" s="12">
        <v>1032.9899999999964</v>
      </c>
      <c r="F155" s="12">
        <v>98.879999999999953</v>
      </c>
      <c r="G155" s="12">
        <v>371.44999999999993</v>
      </c>
      <c r="H155" s="12">
        <v>44.45</v>
      </c>
      <c r="I155" s="12">
        <v>219.32000000000008</v>
      </c>
      <c r="J155" s="12">
        <v>131.26999999999998</v>
      </c>
      <c r="K155" s="12"/>
      <c r="L155" s="12">
        <v>672.58999999999946</v>
      </c>
      <c r="M155" s="12">
        <f t="shared" si="33"/>
        <v>3596.3199999999956</v>
      </c>
    </row>
    <row r="156" spans="1:13" x14ac:dyDescent="0.35">
      <c r="A156" s="272" t="s">
        <v>15</v>
      </c>
      <c r="B156" s="273">
        <v>4595.9400000000005</v>
      </c>
      <c r="C156" s="273">
        <v>4911.5999999999985</v>
      </c>
      <c r="D156" s="273">
        <v>918.36000000000013</v>
      </c>
      <c r="E156" s="273">
        <v>351.40000000000003</v>
      </c>
      <c r="F156" s="273">
        <v>380.87000000000006</v>
      </c>
      <c r="G156" s="273">
        <v>1650.0599999999995</v>
      </c>
      <c r="H156" s="273">
        <v>2605.9899999999998</v>
      </c>
      <c r="I156" s="273">
        <v>166.71999999999997</v>
      </c>
      <c r="J156" s="273">
        <v>196.69999999999993</v>
      </c>
      <c r="K156" s="273"/>
      <c r="L156" s="273">
        <v>1724.4</v>
      </c>
      <c r="M156" s="273">
        <f t="shared" si="33"/>
        <v>17502.039999999994</v>
      </c>
    </row>
    <row r="157" spans="1:13" x14ac:dyDescent="0.35">
      <c r="A157" s="6" t="s">
        <v>41</v>
      </c>
      <c r="B157" s="12">
        <v>2981.7399999999993</v>
      </c>
      <c r="C157" s="12">
        <v>3293.349999999999</v>
      </c>
      <c r="D157" s="12">
        <v>450.46999999999997</v>
      </c>
      <c r="E157" s="12">
        <v>311.8</v>
      </c>
      <c r="F157" s="12">
        <v>66.69</v>
      </c>
      <c r="G157" s="12">
        <v>618.92000000000007</v>
      </c>
      <c r="H157" s="12">
        <v>2018.11</v>
      </c>
      <c r="I157" s="12">
        <v>142.88</v>
      </c>
      <c r="J157" s="12">
        <v>186.27999999999994</v>
      </c>
      <c r="K157" s="12"/>
      <c r="L157" s="12">
        <v>863.05000000000041</v>
      </c>
      <c r="M157" s="12">
        <f t="shared" si="33"/>
        <v>10933.289999999997</v>
      </c>
    </row>
    <row r="158" spans="1:13" x14ac:dyDescent="0.35">
      <c r="A158" s="6" t="s">
        <v>42</v>
      </c>
      <c r="B158" s="12">
        <v>663.51999999999941</v>
      </c>
      <c r="C158" s="12">
        <v>645.36999999999944</v>
      </c>
      <c r="D158" s="12">
        <v>239.22999999999996</v>
      </c>
      <c r="E158" s="12">
        <v>12.57</v>
      </c>
      <c r="F158" s="12">
        <v>52.73</v>
      </c>
      <c r="G158" s="12">
        <v>601.58999999999946</v>
      </c>
      <c r="H158" s="12">
        <v>254.92000000000002</v>
      </c>
      <c r="I158" s="12">
        <v>10.229999999999999</v>
      </c>
      <c r="J158" s="12">
        <v>2.65</v>
      </c>
      <c r="K158" s="12"/>
      <c r="L158" s="12">
        <v>353.26999999999987</v>
      </c>
      <c r="M158" s="12">
        <f t="shared" si="33"/>
        <v>2836.0799999999981</v>
      </c>
    </row>
    <row r="159" spans="1:13" x14ac:dyDescent="0.35">
      <c r="A159" s="6" t="s">
        <v>43</v>
      </c>
      <c r="B159" s="12">
        <v>88.6</v>
      </c>
      <c r="C159" s="12">
        <v>341.18</v>
      </c>
      <c r="D159" s="12">
        <v>15.57</v>
      </c>
      <c r="E159" s="12">
        <v>1.84</v>
      </c>
      <c r="F159" s="12">
        <v>51.03</v>
      </c>
      <c r="G159" s="12">
        <v>144.88</v>
      </c>
      <c r="H159" s="12">
        <v>105.32000000000001</v>
      </c>
      <c r="I159" s="12"/>
      <c r="J159" s="12">
        <v>0.22999999999999998</v>
      </c>
      <c r="K159" s="12"/>
      <c r="L159" s="12">
        <v>125.06000000000003</v>
      </c>
      <c r="M159" s="12">
        <f t="shared" si="33"/>
        <v>873.71</v>
      </c>
    </row>
    <row r="160" spans="1:13" x14ac:dyDescent="0.35">
      <c r="A160" s="6" t="s">
        <v>44</v>
      </c>
      <c r="B160" s="12">
        <v>8.02</v>
      </c>
      <c r="C160" s="12">
        <v>20.52</v>
      </c>
      <c r="D160" s="12"/>
      <c r="E160" s="12">
        <v>0.11</v>
      </c>
      <c r="F160" s="12"/>
      <c r="G160" s="12"/>
      <c r="H160" s="12"/>
      <c r="I160" s="12"/>
      <c r="J160" s="12">
        <v>0.09</v>
      </c>
      <c r="K160" s="12"/>
      <c r="L160" s="12">
        <v>6.2299999999999995</v>
      </c>
      <c r="M160" s="12">
        <f t="shared" si="33"/>
        <v>34.97</v>
      </c>
    </row>
    <row r="161" spans="1:13" x14ac:dyDescent="0.35">
      <c r="A161" s="6" t="s">
        <v>45</v>
      </c>
      <c r="B161" s="12">
        <v>854.06000000000108</v>
      </c>
      <c r="C161" s="12">
        <v>611.18000000000006</v>
      </c>
      <c r="D161" s="12">
        <v>213.08999999999997</v>
      </c>
      <c r="E161" s="12">
        <v>25.08</v>
      </c>
      <c r="F161" s="12">
        <v>210.42000000000002</v>
      </c>
      <c r="G161" s="12">
        <v>284.66999999999996</v>
      </c>
      <c r="H161" s="12">
        <v>227.64000000000001</v>
      </c>
      <c r="I161" s="12">
        <v>13.61</v>
      </c>
      <c r="J161" s="12">
        <v>7.4499999999999993</v>
      </c>
      <c r="K161" s="12"/>
      <c r="L161" s="12">
        <v>376.78999999999996</v>
      </c>
      <c r="M161" s="12">
        <f t="shared" si="33"/>
        <v>2823.9900000000011</v>
      </c>
    </row>
    <row r="162" spans="1:13" x14ac:dyDescent="0.35">
      <c r="A162" s="272" t="s">
        <v>16</v>
      </c>
      <c r="B162" s="273">
        <v>53.129999999999995</v>
      </c>
      <c r="C162" s="273">
        <v>51.47</v>
      </c>
      <c r="D162" s="273">
        <v>11.12</v>
      </c>
      <c r="E162" s="273">
        <v>2.46</v>
      </c>
      <c r="F162" s="273">
        <v>1.1100000000000001</v>
      </c>
      <c r="G162" s="273">
        <v>43.430000000000007</v>
      </c>
      <c r="H162" s="273">
        <v>249.01</v>
      </c>
      <c r="I162" s="273">
        <v>2.2400000000000002</v>
      </c>
      <c r="J162" s="273">
        <v>1.1499999999999995</v>
      </c>
      <c r="K162" s="273"/>
      <c r="L162" s="273">
        <v>133.27000000000004</v>
      </c>
      <c r="M162" s="273">
        <f t="shared" si="33"/>
        <v>548.39</v>
      </c>
    </row>
    <row r="163" spans="1:13" x14ac:dyDescent="0.35">
      <c r="A163" s="6" t="s">
        <v>46</v>
      </c>
      <c r="B163" s="12">
        <v>4.1399999999999997</v>
      </c>
      <c r="C163" s="12">
        <v>0</v>
      </c>
      <c r="D163" s="12"/>
      <c r="E163" s="12"/>
      <c r="F163" s="12"/>
      <c r="G163" s="12"/>
      <c r="H163" s="12">
        <v>1.83</v>
      </c>
      <c r="I163" s="12"/>
      <c r="J163" s="12"/>
      <c r="K163" s="12"/>
      <c r="L163" s="12">
        <v>6.37</v>
      </c>
      <c r="M163" s="12">
        <f t="shared" si="33"/>
        <v>12.34</v>
      </c>
    </row>
    <row r="164" spans="1:13" x14ac:dyDescent="0.35">
      <c r="A164" s="6" t="s">
        <v>47</v>
      </c>
      <c r="B164" s="12"/>
      <c r="C164" s="12">
        <v>0</v>
      </c>
      <c r="D164" s="12">
        <v>0.18</v>
      </c>
      <c r="E164" s="12"/>
      <c r="F164" s="12"/>
      <c r="G164" s="12"/>
      <c r="H164" s="12">
        <v>0.26</v>
      </c>
      <c r="I164" s="12">
        <v>0.16</v>
      </c>
      <c r="J164" s="12"/>
      <c r="K164" s="12"/>
      <c r="L164" s="12">
        <v>0.5</v>
      </c>
      <c r="M164" s="12">
        <f t="shared" si="33"/>
        <v>1.0999999999999999</v>
      </c>
    </row>
    <row r="165" spans="1:13" x14ac:dyDescent="0.35">
      <c r="A165" s="6" t="s">
        <v>48</v>
      </c>
      <c r="B165" s="12">
        <v>0.34</v>
      </c>
      <c r="C165" s="12">
        <v>0</v>
      </c>
      <c r="D165" s="12"/>
      <c r="E165" s="12"/>
      <c r="F165" s="12"/>
      <c r="G165" s="12"/>
      <c r="H165" s="12">
        <v>57.41</v>
      </c>
      <c r="I165" s="12"/>
      <c r="J165" s="12"/>
      <c r="K165" s="12"/>
      <c r="L165" s="12">
        <v>1.56</v>
      </c>
      <c r="M165" s="12">
        <f t="shared" si="33"/>
        <v>59.31</v>
      </c>
    </row>
    <row r="166" spans="1:13" x14ac:dyDescent="0.35">
      <c r="A166" s="6" t="s">
        <v>49</v>
      </c>
      <c r="B166" s="12"/>
      <c r="C166" s="12">
        <v>0</v>
      </c>
      <c r="D166" s="12"/>
      <c r="E166" s="12"/>
      <c r="F166" s="12"/>
      <c r="G166" s="12"/>
      <c r="H166" s="12">
        <v>9.1999999999999993</v>
      </c>
      <c r="I166" s="12"/>
      <c r="J166" s="12"/>
      <c r="K166" s="12"/>
      <c r="L166" s="12">
        <v>16.52</v>
      </c>
      <c r="M166" s="12">
        <f t="shared" si="33"/>
        <v>25.72</v>
      </c>
    </row>
    <row r="167" spans="1:13" x14ac:dyDescent="0.35">
      <c r="A167" s="6" t="s">
        <v>50</v>
      </c>
      <c r="B167" s="12"/>
      <c r="C167" s="12">
        <v>13.29</v>
      </c>
      <c r="D167" s="12"/>
      <c r="E167" s="12"/>
      <c r="F167" s="12"/>
      <c r="G167" s="12"/>
      <c r="H167" s="12">
        <v>49.44</v>
      </c>
      <c r="I167" s="12"/>
      <c r="J167" s="12"/>
      <c r="K167" s="12"/>
      <c r="L167" s="12">
        <v>0</v>
      </c>
      <c r="M167" s="12">
        <f t="shared" si="33"/>
        <v>62.73</v>
      </c>
    </row>
    <row r="168" spans="1:13" x14ac:dyDescent="0.35">
      <c r="A168" s="6" t="s">
        <v>51</v>
      </c>
      <c r="B168" s="12"/>
      <c r="C168" s="12">
        <v>0</v>
      </c>
      <c r="D168" s="12"/>
      <c r="E168" s="12"/>
      <c r="F168" s="12"/>
      <c r="G168" s="12"/>
      <c r="H168" s="12"/>
      <c r="I168" s="12"/>
      <c r="J168" s="12"/>
      <c r="K168" s="12"/>
      <c r="L168" s="12">
        <v>0</v>
      </c>
      <c r="M168" s="12">
        <f t="shared" si="33"/>
        <v>0</v>
      </c>
    </row>
    <row r="169" spans="1:13" x14ac:dyDescent="0.35">
      <c r="A169" s="6" t="s">
        <v>52</v>
      </c>
      <c r="B169" s="12">
        <v>14.32</v>
      </c>
      <c r="C169" s="12">
        <v>0</v>
      </c>
      <c r="D169" s="12"/>
      <c r="E169" s="12">
        <v>0.28999999999999998</v>
      </c>
      <c r="F169" s="12">
        <v>1.1100000000000001</v>
      </c>
      <c r="G169" s="12">
        <v>1.48</v>
      </c>
      <c r="H169" s="12">
        <v>54.05</v>
      </c>
      <c r="I169" s="12">
        <v>2.08</v>
      </c>
      <c r="J169" s="12">
        <v>1.1499999999999999</v>
      </c>
      <c r="K169" s="12"/>
      <c r="L169" s="12">
        <v>3.3600000000000012</v>
      </c>
      <c r="M169" s="12">
        <f t="shared" si="33"/>
        <v>77.84</v>
      </c>
    </row>
    <row r="170" spans="1:13" x14ac:dyDescent="0.35">
      <c r="A170" s="6" t="s">
        <v>53</v>
      </c>
      <c r="B170" s="12">
        <v>26.159999999999997</v>
      </c>
      <c r="C170" s="12">
        <v>38.18</v>
      </c>
      <c r="D170" s="12">
        <v>2.2400000000000002</v>
      </c>
      <c r="E170" s="12">
        <v>1.04</v>
      </c>
      <c r="F170" s="12"/>
      <c r="G170" s="12">
        <v>41.95</v>
      </c>
      <c r="H170" s="12">
        <v>57.07</v>
      </c>
      <c r="I170" s="12"/>
      <c r="J170" s="12"/>
      <c r="K170" s="12"/>
      <c r="L170" s="12">
        <v>98.600000000000023</v>
      </c>
      <c r="M170" s="12">
        <f t="shared" si="33"/>
        <v>265.24</v>
      </c>
    </row>
    <row r="171" spans="1:13" x14ac:dyDescent="0.35">
      <c r="A171" s="6" t="s">
        <v>54</v>
      </c>
      <c r="B171" s="12">
        <v>8.1700000000000017</v>
      </c>
      <c r="C171" s="12">
        <v>0</v>
      </c>
      <c r="D171" s="12">
        <v>8.6999999999999993</v>
      </c>
      <c r="E171" s="12">
        <v>1.1299999999999999</v>
      </c>
      <c r="F171" s="12"/>
      <c r="G171" s="12"/>
      <c r="H171" s="12">
        <v>19.75</v>
      </c>
      <c r="I171" s="12"/>
      <c r="J171" s="12"/>
      <c r="K171" s="12"/>
      <c r="L171" s="12">
        <v>6.36</v>
      </c>
      <c r="M171" s="12">
        <f t="shared" si="33"/>
        <v>44.110000000000007</v>
      </c>
    </row>
    <row r="172" spans="1:13" x14ac:dyDescent="0.35">
      <c r="A172" s="272" t="s">
        <v>17</v>
      </c>
      <c r="B172" s="273">
        <v>624.72000000000014</v>
      </c>
      <c r="C172" s="273">
        <v>3221.2399999999989</v>
      </c>
      <c r="D172" s="273">
        <v>633.01</v>
      </c>
      <c r="E172" s="273">
        <v>11.39</v>
      </c>
      <c r="F172" s="273">
        <v>1020.6400000000001</v>
      </c>
      <c r="G172" s="273">
        <v>443.68</v>
      </c>
      <c r="H172" s="273">
        <v>448.19</v>
      </c>
      <c r="I172" s="273">
        <v>30.57</v>
      </c>
      <c r="J172" s="273">
        <v>52.16</v>
      </c>
      <c r="K172" s="273"/>
      <c r="L172" s="273">
        <v>1735.1099999999997</v>
      </c>
      <c r="M172" s="273">
        <f t="shared" si="33"/>
        <v>8220.7099999999973</v>
      </c>
    </row>
    <row r="173" spans="1:13" x14ac:dyDescent="0.35">
      <c r="A173" s="6" t="s">
        <v>55</v>
      </c>
      <c r="B173" s="12">
        <v>434.05000000000013</v>
      </c>
      <c r="C173" s="12">
        <v>2293.4399999999991</v>
      </c>
      <c r="D173" s="12">
        <v>112.55</v>
      </c>
      <c r="E173" s="12">
        <v>11.39</v>
      </c>
      <c r="F173" s="12">
        <v>773.29</v>
      </c>
      <c r="G173" s="12">
        <v>126.14</v>
      </c>
      <c r="H173" s="12">
        <v>286.7</v>
      </c>
      <c r="I173" s="12">
        <v>29.29</v>
      </c>
      <c r="J173" s="12">
        <v>49.16</v>
      </c>
      <c r="K173" s="12"/>
      <c r="L173" s="12">
        <v>1591.5899999999997</v>
      </c>
      <c r="M173" s="12">
        <f t="shared" si="33"/>
        <v>5707.5999999999985</v>
      </c>
    </row>
    <row r="174" spans="1:13" x14ac:dyDescent="0.35">
      <c r="A174" s="6" t="s">
        <v>56</v>
      </c>
      <c r="B174" s="12">
        <v>190.67000000000002</v>
      </c>
      <c r="C174" s="12">
        <v>927.8</v>
      </c>
      <c r="D174" s="12">
        <v>520.45999999999992</v>
      </c>
      <c r="E174" s="12"/>
      <c r="F174" s="12">
        <v>247.35</v>
      </c>
      <c r="G174" s="12">
        <v>317.54000000000002</v>
      </c>
      <c r="H174" s="12">
        <v>161.49</v>
      </c>
      <c r="I174" s="12">
        <v>1.28</v>
      </c>
      <c r="J174" s="12">
        <v>3</v>
      </c>
      <c r="K174" s="12"/>
      <c r="L174" s="12">
        <v>143.51000000000002</v>
      </c>
      <c r="M174" s="12">
        <f t="shared" ref="M174:M187" si="34">M54-M114</f>
        <v>2513.1</v>
      </c>
    </row>
    <row r="175" spans="1:13" x14ac:dyDescent="0.35">
      <c r="A175" s="272" t="s">
        <v>18</v>
      </c>
      <c r="B175" s="273">
        <v>43.37</v>
      </c>
      <c r="C175" s="273">
        <v>0</v>
      </c>
      <c r="D175" s="273">
        <v>38.69</v>
      </c>
      <c r="E175" s="273"/>
      <c r="F175" s="273">
        <v>3.3</v>
      </c>
      <c r="G175" s="273">
        <v>99.04</v>
      </c>
      <c r="H175" s="273"/>
      <c r="I175" s="273"/>
      <c r="J175" s="273"/>
      <c r="K175" s="273"/>
      <c r="L175" s="273">
        <v>300.5100000000001</v>
      </c>
      <c r="M175" s="273">
        <f t="shared" si="34"/>
        <v>484.91000000000008</v>
      </c>
    </row>
    <row r="176" spans="1:13" x14ac:dyDescent="0.35">
      <c r="A176" s="6" t="s">
        <v>18</v>
      </c>
      <c r="B176" s="12">
        <v>43.37</v>
      </c>
      <c r="C176" s="12">
        <v>0</v>
      </c>
      <c r="D176" s="12">
        <v>38.69</v>
      </c>
      <c r="E176" s="12"/>
      <c r="F176" s="12">
        <v>3.3</v>
      </c>
      <c r="G176" s="12">
        <v>99.04</v>
      </c>
      <c r="H176" s="12"/>
      <c r="I176" s="12"/>
      <c r="J176" s="12"/>
      <c r="K176" s="12"/>
      <c r="L176" s="12">
        <v>300.5100000000001</v>
      </c>
      <c r="M176" s="12">
        <f t="shared" si="34"/>
        <v>484.91000000000008</v>
      </c>
    </row>
    <row r="177" spans="1:13" x14ac:dyDescent="0.35">
      <c r="A177" s="272" t="s">
        <v>20</v>
      </c>
      <c r="B177" s="273">
        <v>216.90999999999997</v>
      </c>
      <c r="C177" s="273">
        <v>190.87000000000003</v>
      </c>
      <c r="D177" s="273">
        <v>55.59</v>
      </c>
      <c r="E177" s="273">
        <v>7.48</v>
      </c>
      <c r="F177" s="273">
        <v>87.86</v>
      </c>
      <c r="G177" s="273">
        <v>19.48</v>
      </c>
      <c r="H177" s="273">
        <v>6.01</v>
      </c>
      <c r="I177" s="273">
        <v>19.190000000000001</v>
      </c>
      <c r="J177" s="273">
        <v>77.420000000000016</v>
      </c>
      <c r="K177" s="273"/>
      <c r="L177" s="273">
        <v>202.83999999999992</v>
      </c>
      <c r="M177" s="273">
        <f t="shared" si="34"/>
        <v>883.65000000000009</v>
      </c>
    </row>
    <row r="178" spans="1:13" x14ac:dyDescent="0.35">
      <c r="A178" s="6" t="s">
        <v>20</v>
      </c>
      <c r="B178" s="12">
        <v>216.90999999999997</v>
      </c>
      <c r="C178" s="12">
        <v>190.87000000000003</v>
      </c>
      <c r="D178" s="12">
        <v>55.59</v>
      </c>
      <c r="E178" s="12">
        <v>7.48</v>
      </c>
      <c r="F178" s="12">
        <v>87.86</v>
      </c>
      <c r="G178" s="12">
        <v>19.48</v>
      </c>
      <c r="H178" s="12">
        <v>6.01</v>
      </c>
      <c r="I178" s="12">
        <v>19.190000000000001</v>
      </c>
      <c r="J178" s="12">
        <v>77.420000000000016</v>
      </c>
      <c r="K178" s="12"/>
      <c r="L178" s="12">
        <v>202.83999999999992</v>
      </c>
      <c r="M178" s="12">
        <f t="shared" si="34"/>
        <v>883.65000000000009</v>
      </c>
    </row>
    <row r="179" spans="1:13" x14ac:dyDescent="0.35">
      <c r="A179" s="272" t="s">
        <v>21</v>
      </c>
      <c r="B179" s="273">
        <v>2.5299999999999998</v>
      </c>
      <c r="C179" s="273">
        <v>75.690000000000012</v>
      </c>
      <c r="D179" s="273"/>
      <c r="E179" s="273"/>
      <c r="F179" s="273">
        <v>0.43000000000000005</v>
      </c>
      <c r="G179" s="273">
        <v>1.84</v>
      </c>
      <c r="H179" s="273">
        <v>17.79</v>
      </c>
      <c r="I179" s="273">
        <v>7</v>
      </c>
      <c r="J179" s="273">
        <v>0.16000000000000014</v>
      </c>
      <c r="K179" s="273"/>
      <c r="L179" s="273">
        <v>17.059999999999999</v>
      </c>
      <c r="M179" s="273">
        <f t="shared" si="34"/>
        <v>122.50000000000001</v>
      </c>
    </row>
    <row r="180" spans="1:13" x14ac:dyDescent="0.35">
      <c r="A180" s="6" t="s">
        <v>21</v>
      </c>
      <c r="B180" s="12">
        <v>2.5299999999999998</v>
      </c>
      <c r="C180" s="12">
        <v>75.690000000000012</v>
      </c>
      <c r="D180" s="12"/>
      <c r="E180" s="12"/>
      <c r="F180" s="12">
        <v>0.43000000000000005</v>
      </c>
      <c r="G180" s="12">
        <v>1.84</v>
      </c>
      <c r="H180" s="12">
        <v>17.79</v>
      </c>
      <c r="I180" s="12">
        <v>7</v>
      </c>
      <c r="J180" s="12">
        <v>0.16000000000000014</v>
      </c>
      <c r="K180" s="12"/>
      <c r="L180" s="12">
        <v>17.059999999999999</v>
      </c>
      <c r="M180" s="12">
        <f t="shared" si="34"/>
        <v>122.50000000000001</v>
      </c>
    </row>
    <row r="181" spans="1:13" x14ac:dyDescent="0.35">
      <c r="A181" s="272" t="s">
        <v>22</v>
      </c>
      <c r="B181" s="273">
        <v>1337.9299999999992</v>
      </c>
      <c r="C181" s="273">
        <v>390.44000000000011</v>
      </c>
      <c r="D181" s="273">
        <v>99</v>
      </c>
      <c r="E181" s="273">
        <v>557.88000000000079</v>
      </c>
      <c r="F181" s="273">
        <v>19.43</v>
      </c>
      <c r="G181" s="273">
        <v>306.06</v>
      </c>
      <c r="H181" s="273">
        <v>315.98</v>
      </c>
      <c r="I181" s="273">
        <v>205.32999999999998</v>
      </c>
      <c r="J181" s="273">
        <v>57.92</v>
      </c>
      <c r="K181" s="273"/>
      <c r="L181" s="273">
        <v>2111.860000000001</v>
      </c>
      <c r="M181" s="273">
        <f t="shared" si="34"/>
        <v>5401.83</v>
      </c>
    </row>
    <row r="182" spans="1:13" x14ac:dyDescent="0.35">
      <c r="A182" s="6" t="s">
        <v>22</v>
      </c>
      <c r="B182" s="12">
        <v>1337.9299999999992</v>
      </c>
      <c r="C182" s="12">
        <v>390.44000000000011</v>
      </c>
      <c r="D182" s="12">
        <v>99</v>
      </c>
      <c r="E182" s="12">
        <v>557.88000000000079</v>
      </c>
      <c r="F182" s="12">
        <v>19.43</v>
      </c>
      <c r="G182" s="12">
        <v>306.06</v>
      </c>
      <c r="H182" s="12">
        <v>315.98</v>
      </c>
      <c r="I182" s="12">
        <v>205.32999999999998</v>
      </c>
      <c r="J182" s="12">
        <v>57.92</v>
      </c>
      <c r="K182" s="12"/>
      <c r="L182" s="12">
        <v>2111.860000000001</v>
      </c>
      <c r="M182" s="12">
        <f t="shared" si="34"/>
        <v>5401.83</v>
      </c>
    </row>
    <row r="183" spans="1:13" x14ac:dyDescent="0.35">
      <c r="A183" s="272" t="s">
        <v>23</v>
      </c>
      <c r="B183" s="273">
        <v>506.95999999999992</v>
      </c>
      <c r="C183" s="273">
        <v>464.12999999999982</v>
      </c>
      <c r="D183" s="273">
        <v>70.040000000000006</v>
      </c>
      <c r="E183" s="273">
        <v>12.549999999999999</v>
      </c>
      <c r="F183" s="273">
        <v>75.12</v>
      </c>
      <c r="G183" s="273">
        <v>59.49</v>
      </c>
      <c r="H183" s="273">
        <v>54.6</v>
      </c>
      <c r="I183" s="273">
        <v>80.669999999999987</v>
      </c>
      <c r="J183" s="273">
        <v>230.90000000000015</v>
      </c>
      <c r="K183" s="273"/>
      <c r="L183" s="273">
        <v>167.16000000000011</v>
      </c>
      <c r="M183" s="273">
        <f t="shared" si="34"/>
        <v>1721.6200000000001</v>
      </c>
    </row>
    <row r="184" spans="1:13" x14ac:dyDescent="0.35">
      <c r="A184" s="6" t="s">
        <v>23</v>
      </c>
      <c r="B184" s="12">
        <v>506.95999999999992</v>
      </c>
      <c r="C184" s="12">
        <v>464.12999999999982</v>
      </c>
      <c r="D184" s="12">
        <v>70.040000000000006</v>
      </c>
      <c r="E184" s="12">
        <v>12.549999999999999</v>
      </c>
      <c r="F184" s="12">
        <v>75.12</v>
      </c>
      <c r="G184" s="12">
        <v>59.49</v>
      </c>
      <c r="H184" s="12">
        <v>54.6</v>
      </c>
      <c r="I184" s="12">
        <v>80.669999999999987</v>
      </c>
      <c r="J184" s="12">
        <v>230.90000000000015</v>
      </c>
      <c r="K184" s="12"/>
      <c r="L184" s="12">
        <v>167.16000000000011</v>
      </c>
      <c r="M184" s="12">
        <f t="shared" si="34"/>
        <v>1721.6200000000001</v>
      </c>
    </row>
    <row r="185" spans="1:13" x14ac:dyDescent="0.35">
      <c r="A185" s="272" t="s">
        <v>76</v>
      </c>
      <c r="B185" s="273"/>
      <c r="C185" s="273">
        <v>0</v>
      </c>
      <c r="D185" s="273"/>
      <c r="E185" s="273"/>
      <c r="F185" s="273"/>
      <c r="G185" s="273"/>
      <c r="H185" s="273"/>
      <c r="I185" s="273"/>
      <c r="J185" s="273"/>
      <c r="K185" s="273"/>
      <c r="L185" s="273"/>
      <c r="M185" s="273">
        <f t="shared" si="34"/>
        <v>0</v>
      </c>
    </row>
    <row r="186" spans="1:13" x14ac:dyDescent="0.35">
      <c r="A186" s="6" t="s">
        <v>59</v>
      </c>
      <c r="B186" s="12"/>
      <c r="C186" s="12">
        <v>0</v>
      </c>
      <c r="D186" s="12"/>
      <c r="E186" s="12"/>
      <c r="F186" s="12"/>
      <c r="G186" s="12"/>
      <c r="H186" s="12"/>
      <c r="I186" s="12"/>
      <c r="J186" s="12"/>
      <c r="K186" s="12"/>
      <c r="L186" s="12"/>
      <c r="M186" s="12">
        <f t="shared" si="34"/>
        <v>0</v>
      </c>
    </row>
    <row r="187" spans="1:13" x14ac:dyDescent="0.35">
      <c r="A187" s="274" t="s">
        <v>25</v>
      </c>
      <c r="B187" s="275">
        <f t="shared" ref="B187:L187" si="35">B67-B127</f>
        <v>20446.330000000002</v>
      </c>
      <c r="C187" s="275">
        <v>28296.800000000007</v>
      </c>
      <c r="D187" s="275">
        <f t="shared" si="35"/>
        <v>8308.7299999999977</v>
      </c>
      <c r="E187" s="275">
        <f t="shared" si="35"/>
        <v>4956.279999999997</v>
      </c>
      <c r="F187" s="275">
        <f t="shared" si="35"/>
        <v>6077.5400000000009</v>
      </c>
      <c r="G187" s="275">
        <f t="shared" si="35"/>
        <v>6487.9399999999987</v>
      </c>
      <c r="H187" s="275">
        <f t="shared" si="35"/>
        <v>5552.52</v>
      </c>
      <c r="I187" s="275">
        <f t="shared" si="35"/>
        <v>2313.3299999999995</v>
      </c>
      <c r="J187" s="275">
        <f t="shared" si="35"/>
        <v>2168.1400000000003</v>
      </c>
      <c r="K187" s="275">
        <f t="shared" si="35"/>
        <v>0</v>
      </c>
      <c r="L187" s="275">
        <f t="shared" si="35"/>
        <v>15677.49</v>
      </c>
      <c r="M187" s="275">
        <f t="shared" si="34"/>
        <v>100285.09999999998</v>
      </c>
    </row>
  </sheetData>
  <mergeCells count="9">
    <mergeCell ref="S13:T13"/>
    <mergeCell ref="U13:V13"/>
    <mergeCell ref="P13:R13"/>
    <mergeCell ref="A132:A133"/>
    <mergeCell ref="B132:M132"/>
    <mergeCell ref="A12:A13"/>
    <mergeCell ref="B12:M12"/>
    <mergeCell ref="A72:A73"/>
    <mergeCell ref="B72:M72"/>
  </mergeCells>
  <hyperlinks>
    <hyperlink ref="B1" r:id="rId1" xr:uid="{00000000-0004-0000-1300-000000000000}"/>
    <hyperlink ref="M3" location="ÍNDICE!A1" display="ÍNDICE!A1" xr:uid="{00000000-0004-0000-1300-0000010000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190"/>
  <sheetViews>
    <sheetView workbookViewId="0"/>
  </sheetViews>
  <sheetFormatPr baseColWidth="10" defaultRowHeight="14.5" x14ac:dyDescent="0.35"/>
  <cols>
    <col min="1" max="1" width="24.54296875" bestFit="1" customWidth="1"/>
    <col min="2" max="5" width="11.453125" customWidth="1"/>
    <col min="15" max="15" width="11.453125" customWidth="1"/>
    <col min="17" max="17" width="24.453125" customWidth="1"/>
    <col min="20" max="20" width="21.453125" customWidth="1"/>
    <col min="21" max="21" width="10.08984375" customWidth="1"/>
    <col min="22" max="22" width="18.90625" customWidth="1"/>
    <col min="23" max="23" width="11.81640625" customWidth="1"/>
  </cols>
  <sheetData>
    <row r="1" spans="1:23" x14ac:dyDescent="0.35">
      <c r="A1" s="240" t="s">
        <v>10</v>
      </c>
      <c r="B1" s="2" t="s">
        <v>9</v>
      </c>
      <c r="N1" t="s">
        <v>143</v>
      </c>
      <c r="O1" s="2" t="s">
        <v>144</v>
      </c>
      <c r="Q1" s="2"/>
    </row>
    <row r="4" spans="1:23" ht="17.5" x14ac:dyDescent="0.35">
      <c r="A4" s="234" t="s">
        <v>161</v>
      </c>
      <c r="B4" s="230"/>
      <c r="C4" s="339" t="s">
        <v>243</v>
      </c>
      <c r="D4" s="230"/>
      <c r="E4" s="230"/>
      <c r="F4" s="230"/>
      <c r="G4" s="230"/>
    </row>
    <row r="5" spans="1:23" ht="15.5" x14ac:dyDescent="0.35">
      <c r="A5" s="235" t="s">
        <v>196</v>
      </c>
      <c r="B5" s="229"/>
      <c r="C5" s="340" t="s">
        <v>124</v>
      </c>
      <c r="D5" s="229"/>
      <c r="E5" s="229"/>
      <c r="F5" s="230"/>
      <c r="G5" s="231"/>
    </row>
    <row r="6" spans="1:23" ht="15.5" x14ac:dyDescent="0.35">
      <c r="A6" s="236" t="s">
        <v>197</v>
      </c>
      <c r="B6" s="229"/>
      <c r="C6" s="340" t="s">
        <v>213</v>
      </c>
      <c r="D6" s="229"/>
      <c r="E6" s="229"/>
      <c r="F6" s="230"/>
      <c r="G6" s="231"/>
    </row>
    <row r="7" spans="1:23" ht="15.5" x14ac:dyDescent="0.35">
      <c r="A7" s="236" t="s">
        <v>198</v>
      </c>
      <c r="B7" s="229"/>
      <c r="C7" s="340" t="s">
        <v>242</v>
      </c>
      <c r="D7" s="229"/>
      <c r="E7" s="229"/>
      <c r="F7" s="230"/>
      <c r="G7" s="231"/>
    </row>
    <row r="8" spans="1:23" ht="18.5" x14ac:dyDescent="0.45">
      <c r="A8" s="223"/>
    </row>
    <row r="9" spans="1:23" ht="18.5" x14ac:dyDescent="0.45">
      <c r="A9" s="223"/>
    </row>
    <row r="10" spans="1:23" ht="18.5" x14ac:dyDescent="0.45">
      <c r="A10" s="223"/>
      <c r="B10" s="223"/>
      <c r="C10" s="223"/>
      <c r="D10" s="223"/>
      <c r="E10" s="223"/>
      <c r="F10" s="223"/>
    </row>
    <row r="11" spans="1:23" ht="18.5" x14ac:dyDescent="0.45">
      <c r="A11" s="238" t="s">
        <v>136</v>
      </c>
      <c r="B11" s="221"/>
      <c r="C11" s="221"/>
      <c r="D11" s="221"/>
      <c r="E11" s="221"/>
      <c r="F11" s="223"/>
    </row>
    <row r="12" spans="1:23" ht="15" customHeight="1" x14ac:dyDescent="0.35">
      <c r="A12" s="703" t="s">
        <v>88</v>
      </c>
      <c r="B12" s="705" t="s">
        <v>113</v>
      </c>
      <c r="C12" s="705"/>
      <c r="D12" s="705"/>
      <c r="E12" s="705"/>
      <c r="F12" s="705"/>
      <c r="G12" s="705"/>
      <c r="H12" s="705"/>
      <c r="I12" s="705"/>
      <c r="J12" s="705"/>
      <c r="K12" s="705"/>
      <c r="L12" s="705"/>
      <c r="M12" s="705"/>
      <c r="N12" s="705"/>
      <c r="O12" s="228"/>
      <c r="P12" s="228"/>
      <c r="Q12" s="228"/>
      <c r="R12" s="228"/>
    </row>
    <row r="13" spans="1:23" ht="30" customHeight="1" x14ac:dyDescent="0.35">
      <c r="A13" s="704"/>
      <c r="B13" s="244" t="s">
        <v>154</v>
      </c>
      <c r="C13" s="244" t="s">
        <v>152</v>
      </c>
      <c r="D13" s="244" t="s">
        <v>157</v>
      </c>
      <c r="E13" s="244" t="s">
        <v>158</v>
      </c>
      <c r="F13" s="244" t="s">
        <v>149</v>
      </c>
      <c r="G13" s="244" t="s">
        <v>151</v>
      </c>
      <c r="H13" s="244" t="s">
        <v>155</v>
      </c>
      <c r="I13" s="244" t="s">
        <v>153</v>
      </c>
      <c r="J13" s="244" t="s">
        <v>156</v>
      </c>
      <c r="K13" s="244" t="s">
        <v>150</v>
      </c>
      <c r="L13" s="244" t="s">
        <v>122</v>
      </c>
      <c r="M13" s="244" t="s">
        <v>123</v>
      </c>
      <c r="N13" s="244" t="s">
        <v>124</v>
      </c>
      <c r="Q13" s="706" t="s">
        <v>190</v>
      </c>
      <c r="R13" s="707"/>
      <c r="S13" s="707"/>
      <c r="T13" s="719" t="s">
        <v>192</v>
      </c>
      <c r="U13" s="719"/>
      <c r="V13" s="720" t="s">
        <v>191</v>
      </c>
      <c r="W13" s="720"/>
    </row>
    <row r="14" spans="1:23" x14ac:dyDescent="0.35">
      <c r="A14" s="245" t="s">
        <v>5</v>
      </c>
      <c r="B14" s="246">
        <v>37.799999999999997</v>
      </c>
      <c r="C14" s="246">
        <v>227.02</v>
      </c>
      <c r="D14" s="246">
        <v>28.869999999999997</v>
      </c>
      <c r="E14" s="246">
        <v>3.11</v>
      </c>
      <c r="F14" s="246">
        <v>2584.6599999999994</v>
      </c>
      <c r="G14" s="246">
        <v>426.58000000000004</v>
      </c>
      <c r="H14" s="246">
        <v>139.30000000000001</v>
      </c>
      <c r="I14" s="246">
        <v>132.46</v>
      </c>
      <c r="J14" s="246">
        <v>62.679999999999993</v>
      </c>
      <c r="K14" s="246">
        <v>431.13000000000005</v>
      </c>
      <c r="L14" s="246"/>
      <c r="M14" s="246">
        <v>68.27</v>
      </c>
      <c r="N14" s="246">
        <f>SUM(B14:M14)</f>
        <v>4141.88</v>
      </c>
      <c r="Q14" s="246" t="s">
        <v>149</v>
      </c>
      <c r="R14" s="212">
        <v>29395.310000000005</v>
      </c>
      <c r="S14" s="549">
        <f t="shared" ref="S14:S23" si="0">R14/$R$26</f>
        <v>0.66774120491090716</v>
      </c>
      <c r="T14" s="553">
        <f>F190</f>
        <v>22461.79</v>
      </c>
      <c r="U14" s="459">
        <f>T14/$T$26</f>
        <v>0.66894504813131728</v>
      </c>
      <c r="V14" s="553">
        <f>F129</f>
        <v>6933.5199999999995</v>
      </c>
      <c r="W14" s="459">
        <f>V14/$V$26</f>
        <v>0.66387082442876721</v>
      </c>
    </row>
    <row r="15" spans="1:23" x14ac:dyDescent="0.35">
      <c r="A15" s="16" t="s">
        <v>6</v>
      </c>
      <c r="B15" s="12">
        <v>1.24</v>
      </c>
      <c r="C15" s="12"/>
      <c r="D15" s="12"/>
      <c r="E15" s="12">
        <v>2.94</v>
      </c>
      <c r="F15" s="12">
        <v>70.060000000000016</v>
      </c>
      <c r="G15" s="12">
        <v>4.37</v>
      </c>
      <c r="H15" s="12"/>
      <c r="I15" s="12"/>
      <c r="J15" s="12">
        <v>1.81</v>
      </c>
      <c r="K15" s="12">
        <v>41.12</v>
      </c>
      <c r="L15" s="12"/>
      <c r="M15" s="12"/>
      <c r="N15" s="12">
        <f t="shared" ref="N15:N67" si="1">SUM(B15:M15)</f>
        <v>121.54000000000002</v>
      </c>
      <c r="Q15" s="246" t="s">
        <v>150</v>
      </c>
      <c r="R15" s="212">
        <v>4414.13</v>
      </c>
      <c r="S15" s="549">
        <f t="shared" si="0"/>
        <v>0.10027097808573483</v>
      </c>
      <c r="T15" s="553">
        <f>K190</f>
        <v>3362.24</v>
      </c>
      <c r="U15" s="459">
        <f t="shared" ref="U15:U26" si="2">T15/$T$26</f>
        <v>0.10013243818186528</v>
      </c>
      <c r="V15" s="553">
        <f>K129</f>
        <v>1051.8899999999999</v>
      </c>
      <c r="W15" s="459">
        <f t="shared" ref="W15:W25" si="3">V15/$V$26</f>
        <v>0.10071638669945078</v>
      </c>
    </row>
    <row r="16" spans="1:23" ht="15" customHeight="1" x14ac:dyDescent="0.35">
      <c r="A16" s="16" t="s">
        <v>7</v>
      </c>
      <c r="B16" s="12">
        <v>0.27</v>
      </c>
      <c r="C16" s="12">
        <v>1.03</v>
      </c>
      <c r="D16" s="12"/>
      <c r="E16" s="12"/>
      <c r="F16" s="12">
        <v>33.49</v>
      </c>
      <c r="G16" s="12">
        <v>93.32</v>
      </c>
      <c r="H16" s="12">
        <v>9.9</v>
      </c>
      <c r="I16" s="12">
        <v>45.67</v>
      </c>
      <c r="J16" s="12"/>
      <c r="K16" s="12">
        <v>35.89</v>
      </c>
      <c r="L16" s="12"/>
      <c r="M16" s="12">
        <v>0.21</v>
      </c>
      <c r="N16" s="12">
        <f t="shared" si="1"/>
        <v>219.78</v>
      </c>
      <c r="Q16" s="246" t="s">
        <v>151</v>
      </c>
      <c r="R16" s="212">
        <v>1824.96</v>
      </c>
      <c r="S16" s="549">
        <f t="shared" si="0"/>
        <v>4.1455626401429649E-2</v>
      </c>
      <c r="T16" s="553">
        <f>G190</f>
        <v>1369.4799999999998</v>
      </c>
      <c r="U16" s="459">
        <f t="shared" si="2"/>
        <v>4.0785122847060547E-2</v>
      </c>
      <c r="V16" s="553">
        <f>G129</f>
        <v>455.47999999999996</v>
      </c>
      <c r="W16" s="459">
        <f t="shared" si="3"/>
        <v>4.3611308990356257E-2</v>
      </c>
    </row>
    <row r="17" spans="1:23" x14ac:dyDescent="0.35">
      <c r="A17" s="16" t="s">
        <v>8</v>
      </c>
      <c r="B17" s="12">
        <v>4.54</v>
      </c>
      <c r="C17" s="12"/>
      <c r="D17" s="12">
        <v>10.6</v>
      </c>
      <c r="E17" s="12"/>
      <c r="F17" s="12">
        <v>230.89999999999998</v>
      </c>
      <c r="G17" s="12">
        <v>31.51</v>
      </c>
      <c r="H17" s="12"/>
      <c r="I17" s="12">
        <v>2.56</v>
      </c>
      <c r="J17" s="12">
        <v>9.27</v>
      </c>
      <c r="K17" s="12">
        <v>45</v>
      </c>
      <c r="L17" s="12"/>
      <c r="M17" s="12">
        <v>5.5500000000000007</v>
      </c>
      <c r="N17" s="12">
        <f t="shared" si="1"/>
        <v>339.92999999999995</v>
      </c>
      <c r="Q17" s="246" t="s">
        <v>155</v>
      </c>
      <c r="R17" s="212">
        <v>504.71</v>
      </c>
      <c r="S17" s="550">
        <f t="shared" si="0"/>
        <v>1.1464946739142532E-2</v>
      </c>
      <c r="T17" s="553">
        <f>H190</f>
        <v>342.45</v>
      </c>
      <c r="U17" s="554">
        <f t="shared" si="2"/>
        <v>1.0198663229091251E-2</v>
      </c>
      <c r="V17" s="553">
        <f>H129</f>
        <v>162.26000000000002</v>
      </c>
      <c r="W17" s="554">
        <f t="shared" si="3"/>
        <v>1.5536074024710651E-2</v>
      </c>
    </row>
    <row r="18" spans="1:23" x14ac:dyDescent="0.35">
      <c r="A18" s="16" t="s">
        <v>26</v>
      </c>
      <c r="B18" s="12">
        <v>19.380000000000003</v>
      </c>
      <c r="C18" s="12"/>
      <c r="D18" s="12"/>
      <c r="E18" s="12"/>
      <c r="F18" s="12">
        <v>1367.0399999999995</v>
      </c>
      <c r="G18" s="12">
        <v>145.64000000000001</v>
      </c>
      <c r="H18" s="12">
        <v>77.850000000000009</v>
      </c>
      <c r="I18" s="12">
        <v>0.84000000000000008</v>
      </c>
      <c r="J18" s="12">
        <v>44.019999999999996</v>
      </c>
      <c r="K18" s="12">
        <v>228.59000000000003</v>
      </c>
      <c r="L18" s="12"/>
      <c r="M18" s="12">
        <v>41.96</v>
      </c>
      <c r="N18" s="12">
        <f t="shared" si="1"/>
        <v>1925.3199999999997</v>
      </c>
      <c r="Q18" s="246" t="s">
        <v>154</v>
      </c>
      <c r="R18" s="212">
        <v>379.89000000000004</v>
      </c>
      <c r="S18" s="550">
        <f t="shared" si="0"/>
        <v>8.6295469016521506E-3</v>
      </c>
      <c r="T18" s="553">
        <f>B190</f>
        <v>365.11999999999995</v>
      </c>
      <c r="U18" s="554">
        <f t="shared" si="2"/>
        <v>1.0873809076378442E-2</v>
      </c>
      <c r="V18" s="553">
        <f>B129</f>
        <v>14.77</v>
      </c>
      <c r="W18" s="554">
        <f t="shared" si="3"/>
        <v>1.4141982826634801E-3</v>
      </c>
    </row>
    <row r="19" spans="1:23" ht="15" customHeight="1" x14ac:dyDescent="0.35">
      <c r="A19" s="16" t="s">
        <v>27</v>
      </c>
      <c r="B19" s="12"/>
      <c r="C19" s="12">
        <v>1.1000000000000001</v>
      </c>
      <c r="D19" s="12"/>
      <c r="E19" s="12"/>
      <c r="F19" s="12"/>
      <c r="G19" s="12">
        <v>30.91</v>
      </c>
      <c r="H19" s="12"/>
      <c r="I19" s="12">
        <v>4.66</v>
      </c>
      <c r="J19" s="12"/>
      <c r="K19" s="12">
        <v>6.3</v>
      </c>
      <c r="L19" s="12"/>
      <c r="M19" s="12">
        <v>7.71</v>
      </c>
      <c r="N19" s="12">
        <f t="shared" si="1"/>
        <v>50.68</v>
      </c>
      <c r="Q19" s="246" t="s">
        <v>152</v>
      </c>
      <c r="R19" s="212">
        <v>334.83000000000004</v>
      </c>
      <c r="S19" s="550">
        <f t="shared" si="0"/>
        <v>7.6059680146363159E-3</v>
      </c>
      <c r="T19" s="553">
        <f>C190</f>
        <v>132.94999999999999</v>
      </c>
      <c r="U19" s="554">
        <f t="shared" si="2"/>
        <v>3.9594459813335724E-3</v>
      </c>
      <c r="V19" s="553">
        <f>C129</f>
        <v>201.88</v>
      </c>
      <c r="W19" s="554">
        <f t="shared" si="3"/>
        <v>1.9329610650243967E-2</v>
      </c>
    </row>
    <row r="20" spans="1:23" ht="15" customHeight="1" x14ac:dyDescent="0.35">
      <c r="A20" s="16" t="s">
        <v>28</v>
      </c>
      <c r="B20" s="12">
        <v>8.42</v>
      </c>
      <c r="C20" s="12"/>
      <c r="D20" s="12"/>
      <c r="E20" s="12">
        <v>0.17</v>
      </c>
      <c r="F20" s="12">
        <v>486.93999999999988</v>
      </c>
      <c r="G20" s="12"/>
      <c r="H20" s="12">
        <v>1.08</v>
      </c>
      <c r="I20" s="12">
        <v>43.430000000000007</v>
      </c>
      <c r="J20" s="12">
        <v>7.58</v>
      </c>
      <c r="K20" s="12">
        <v>21.76</v>
      </c>
      <c r="L20" s="12"/>
      <c r="M20" s="12">
        <v>3.81</v>
      </c>
      <c r="N20" s="12">
        <f t="shared" si="1"/>
        <v>573.18999999999983</v>
      </c>
      <c r="Q20" s="246" t="s">
        <v>156</v>
      </c>
      <c r="R20" s="212">
        <v>257.37</v>
      </c>
      <c r="S20" s="550">
        <f t="shared" si="0"/>
        <v>5.8463936562642184E-3</v>
      </c>
      <c r="T20" s="553">
        <f>J190</f>
        <v>198.71000000000004</v>
      </c>
      <c r="U20" s="554">
        <f t="shared" si="2"/>
        <v>5.9178752233982274E-3</v>
      </c>
      <c r="V20" s="553">
        <f>J129</f>
        <v>58.66</v>
      </c>
      <c r="W20" s="554">
        <f t="shared" si="3"/>
        <v>5.6165789614786559E-3</v>
      </c>
    </row>
    <row r="21" spans="1:23" ht="15" customHeight="1" x14ac:dyDescent="0.35">
      <c r="A21" s="16" t="s">
        <v>29</v>
      </c>
      <c r="B21" s="12">
        <v>3.6199999999999997</v>
      </c>
      <c r="C21" s="12">
        <v>4.21</v>
      </c>
      <c r="D21" s="12">
        <v>4.17</v>
      </c>
      <c r="E21" s="12"/>
      <c r="F21" s="12">
        <v>369.10999999999996</v>
      </c>
      <c r="G21" s="12">
        <v>32.339999999999996</v>
      </c>
      <c r="H21" s="12">
        <v>17.8</v>
      </c>
      <c r="I21" s="12">
        <v>10.579999999999998</v>
      </c>
      <c r="J21" s="12"/>
      <c r="K21" s="12">
        <v>30.099999999999998</v>
      </c>
      <c r="L21" s="12"/>
      <c r="M21" s="12">
        <v>7.76</v>
      </c>
      <c r="N21" s="12">
        <f t="shared" si="1"/>
        <v>479.68999999999994</v>
      </c>
      <c r="Q21" s="246" t="s">
        <v>153</v>
      </c>
      <c r="R21" s="212">
        <v>232.34999999999997</v>
      </c>
      <c r="S21" s="550">
        <f t="shared" si="0"/>
        <v>5.2780415978279944E-3</v>
      </c>
      <c r="T21" s="553">
        <f>I190</f>
        <v>149.25999999999996</v>
      </c>
      <c r="U21" s="554">
        <f t="shared" si="2"/>
        <v>4.4451817011948013E-3</v>
      </c>
      <c r="V21" s="553">
        <f>I129</f>
        <v>83.09</v>
      </c>
      <c r="W21" s="554">
        <f t="shared" si="3"/>
        <v>7.9557031351732282E-3</v>
      </c>
    </row>
    <row r="22" spans="1:23" ht="15" customHeight="1" x14ac:dyDescent="0.35">
      <c r="A22" s="16" t="s">
        <v>30</v>
      </c>
      <c r="B22" s="12">
        <v>0.33</v>
      </c>
      <c r="C22" s="12">
        <v>220.68</v>
      </c>
      <c r="D22" s="12">
        <v>14.1</v>
      </c>
      <c r="E22" s="12"/>
      <c r="F22" s="12">
        <v>27.12</v>
      </c>
      <c r="G22" s="12">
        <v>88.490000000000009</v>
      </c>
      <c r="H22" s="12">
        <v>32.669999999999995</v>
      </c>
      <c r="I22" s="12">
        <v>24.72</v>
      </c>
      <c r="J22" s="12"/>
      <c r="K22" s="12">
        <v>22.37</v>
      </c>
      <c r="L22" s="12"/>
      <c r="M22" s="12">
        <v>1.27</v>
      </c>
      <c r="N22" s="12">
        <f t="shared" si="1"/>
        <v>431.75</v>
      </c>
      <c r="Q22" s="246" t="s">
        <v>158</v>
      </c>
      <c r="R22" s="212">
        <v>177.83</v>
      </c>
      <c r="S22" s="550">
        <f t="shared" si="0"/>
        <v>4.0395702059038193E-3</v>
      </c>
      <c r="T22" s="553">
        <f>E190</f>
        <v>76.160000000000011</v>
      </c>
      <c r="U22" s="554">
        <f t="shared" si="2"/>
        <v>2.2681564944593072E-3</v>
      </c>
      <c r="V22" s="553">
        <f>E129</f>
        <v>101.67</v>
      </c>
      <c r="W22" s="554">
        <f t="shared" si="3"/>
        <v>9.7347013810694678E-3</v>
      </c>
    </row>
    <row r="23" spans="1:23" ht="15" customHeight="1" x14ac:dyDescent="0.35">
      <c r="A23" s="245" t="s">
        <v>12</v>
      </c>
      <c r="B23" s="246">
        <v>29.029999999999998</v>
      </c>
      <c r="C23" s="246"/>
      <c r="D23" s="246">
        <v>3.4299999999999997</v>
      </c>
      <c r="E23" s="246">
        <v>1.1800000000000002</v>
      </c>
      <c r="F23" s="246">
        <v>254.81</v>
      </c>
      <c r="G23" s="246">
        <v>33.979999999999997</v>
      </c>
      <c r="H23" s="246">
        <v>2.65</v>
      </c>
      <c r="I23" s="246">
        <v>1.78</v>
      </c>
      <c r="J23" s="246">
        <v>11.010000000000002</v>
      </c>
      <c r="K23" s="246">
        <v>88.539999999999992</v>
      </c>
      <c r="L23" s="246"/>
      <c r="M23" s="246">
        <v>13.749999999999998</v>
      </c>
      <c r="N23" s="246">
        <f t="shared" si="1"/>
        <v>440.15999999999997</v>
      </c>
      <c r="Q23" s="246" t="s">
        <v>157</v>
      </c>
      <c r="R23" s="212">
        <v>93.759999999999991</v>
      </c>
      <c r="S23" s="550">
        <f t="shared" si="0"/>
        <v>2.129843685011202E-3</v>
      </c>
      <c r="T23" s="553">
        <f>D190</f>
        <v>69.679999999999978</v>
      </c>
      <c r="U23" s="554">
        <f t="shared" si="2"/>
        <v>2.0751725910441764E-3</v>
      </c>
      <c r="V23" s="553">
        <f>D129</f>
        <v>24.08</v>
      </c>
      <c r="W23" s="554">
        <f t="shared" si="3"/>
        <v>2.3056123660485173E-3</v>
      </c>
    </row>
    <row r="24" spans="1:23" ht="15" customHeight="1" x14ac:dyDescent="0.35">
      <c r="A24" s="6" t="s">
        <v>31</v>
      </c>
      <c r="B24" s="12"/>
      <c r="C24" s="12"/>
      <c r="D24" s="12"/>
      <c r="E24" s="12"/>
      <c r="F24" s="12">
        <v>28.18</v>
      </c>
      <c r="G24" s="12"/>
      <c r="H24" s="12"/>
      <c r="I24" s="12"/>
      <c r="J24" s="12">
        <v>5.57</v>
      </c>
      <c r="K24" s="12">
        <v>4.26</v>
      </c>
      <c r="L24" s="12"/>
      <c r="M24" s="12">
        <v>0.45</v>
      </c>
      <c r="N24" s="12">
        <f t="shared" si="1"/>
        <v>38.46</v>
      </c>
      <c r="Q24" s="246" t="s">
        <v>122</v>
      </c>
      <c r="R24" s="212">
        <v>1.56</v>
      </c>
      <c r="S24" s="551">
        <f t="shared" ref="S24:S26" si="4">R24/$R$26</f>
        <v>3.5436818991227345E-5</v>
      </c>
      <c r="T24" s="553">
        <f>L190</f>
        <v>1.56</v>
      </c>
      <c r="U24" s="555">
        <f t="shared" si="2"/>
        <v>4.6459087859197995E-5</v>
      </c>
      <c r="V24" s="553">
        <f>L129</f>
        <v>0</v>
      </c>
      <c r="W24" s="555">
        <f t="shared" si="3"/>
        <v>0</v>
      </c>
    </row>
    <row r="25" spans="1:23" ht="15" customHeight="1" x14ac:dyDescent="0.35">
      <c r="A25" s="6" t="s">
        <v>32</v>
      </c>
      <c r="B25" s="12">
        <v>20.669999999999998</v>
      </c>
      <c r="C25" s="12"/>
      <c r="D25" s="12"/>
      <c r="E25" s="12">
        <v>0.64</v>
      </c>
      <c r="F25" s="12">
        <v>69.12</v>
      </c>
      <c r="G25" s="12">
        <v>5.34</v>
      </c>
      <c r="H25" s="12">
        <v>0.6</v>
      </c>
      <c r="I25" s="12">
        <v>0.89</v>
      </c>
      <c r="J25" s="12">
        <v>0.13</v>
      </c>
      <c r="K25" s="12">
        <v>39.259999999999991</v>
      </c>
      <c r="L25" s="12"/>
      <c r="M25" s="12">
        <v>10.199999999999999</v>
      </c>
      <c r="N25" s="12">
        <f t="shared" si="1"/>
        <v>146.84999999999997</v>
      </c>
      <c r="Q25" s="246" t="s">
        <v>123</v>
      </c>
      <c r="R25" s="212">
        <v>6405.3099999999995</v>
      </c>
      <c r="S25" s="549">
        <f t="shared" si="4"/>
        <v>0.14550244298249895</v>
      </c>
      <c r="T25" s="553">
        <f>M190</f>
        <v>5048.53</v>
      </c>
      <c r="U25" s="459">
        <f t="shared" si="2"/>
        <v>0.15035262745499797</v>
      </c>
      <c r="V25" s="553">
        <f>M129</f>
        <v>1356.78</v>
      </c>
      <c r="W25" s="459">
        <f t="shared" si="3"/>
        <v>0.12990900108003769</v>
      </c>
    </row>
    <row r="26" spans="1:23" ht="15" customHeight="1" x14ac:dyDescent="0.35">
      <c r="A26" s="6" t="s">
        <v>33</v>
      </c>
      <c r="B26" s="12">
        <v>8.36</v>
      </c>
      <c r="C26" s="12"/>
      <c r="D26" s="12">
        <v>3.4299999999999997</v>
      </c>
      <c r="E26" s="12">
        <v>0.54</v>
      </c>
      <c r="F26" s="12">
        <v>157.51</v>
      </c>
      <c r="G26" s="12">
        <v>28.639999999999997</v>
      </c>
      <c r="H26" s="12">
        <v>2.0499999999999998</v>
      </c>
      <c r="I26" s="12">
        <v>0.89</v>
      </c>
      <c r="J26" s="12">
        <v>5.3100000000000005</v>
      </c>
      <c r="K26" s="12">
        <v>45.02</v>
      </c>
      <c r="L26" s="12"/>
      <c r="M26" s="12">
        <v>3.0999999999999996</v>
      </c>
      <c r="N26" s="12">
        <f t="shared" si="1"/>
        <v>254.84999999999997</v>
      </c>
      <c r="Q26" s="243" t="s">
        <v>130</v>
      </c>
      <c r="R26" s="259">
        <v>44022.01</v>
      </c>
      <c r="S26" s="552">
        <f t="shared" si="4"/>
        <v>1</v>
      </c>
      <c r="T26" s="558">
        <f>N190</f>
        <v>33577.93</v>
      </c>
      <c r="U26" s="559">
        <f t="shared" si="2"/>
        <v>1</v>
      </c>
      <c r="V26" s="556">
        <f>N129</f>
        <v>10444.08</v>
      </c>
      <c r="W26" s="557">
        <f>V26/$V$26</f>
        <v>1</v>
      </c>
    </row>
    <row r="27" spans="1:23" ht="15" customHeight="1" x14ac:dyDescent="0.35">
      <c r="A27" s="245" t="s">
        <v>13</v>
      </c>
      <c r="B27" s="246">
        <v>1.1000000000000001</v>
      </c>
      <c r="C27" s="246">
        <v>0.27</v>
      </c>
      <c r="D27" s="246"/>
      <c r="E27" s="246">
        <v>0.36</v>
      </c>
      <c r="F27" s="246">
        <v>192.93</v>
      </c>
      <c r="G27" s="246">
        <v>6.77</v>
      </c>
      <c r="H27" s="246"/>
      <c r="I27" s="246">
        <v>2.52</v>
      </c>
      <c r="J27" s="246">
        <v>0.06</v>
      </c>
      <c r="K27" s="246">
        <v>37.57</v>
      </c>
      <c r="L27" s="246"/>
      <c r="M27" s="246">
        <v>2.8400000000000003</v>
      </c>
      <c r="N27" s="246">
        <f t="shared" si="1"/>
        <v>244.42000000000002</v>
      </c>
    </row>
    <row r="28" spans="1:23" ht="15" customHeight="1" x14ac:dyDescent="0.35">
      <c r="A28" s="6" t="s">
        <v>34</v>
      </c>
      <c r="B28" s="12"/>
      <c r="C28" s="12"/>
      <c r="D28" s="12"/>
      <c r="E28" s="12"/>
      <c r="F28" s="12">
        <v>2.19</v>
      </c>
      <c r="G28" s="12">
        <v>0.21</v>
      </c>
      <c r="H28" s="12"/>
      <c r="I28" s="12"/>
      <c r="J28" s="12"/>
      <c r="K28" s="12"/>
      <c r="L28" s="12"/>
      <c r="M28" s="12"/>
      <c r="N28" s="12">
        <f t="shared" si="1"/>
        <v>2.4</v>
      </c>
    </row>
    <row r="29" spans="1:23" ht="15" customHeight="1" x14ac:dyDescent="0.35">
      <c r="A29" s="6" t="s">
        <v>61</v>
      </c>
      <c r="B29" s="12"/>
      <c r="C29" s="12"/>
      <c r="D29" s="12"/>
      <c r="E29" s="12"/>
      <c r="F29" s="12">
        <v>1.59</v>
      </c>
      <c r="G29" s="12"/>
      <c r="H29" s="12"/>
      <c r="I29" s="12"/>
      <c r="J29" s="12">
        <v>0.06</v>
      </c>
      <c r="K29" s="12">
        <v>5.99</v>
      </c>
      <c r="L29" s="12"/>
      <c r="M29" s="12">
        <v>0.47000000000000003</v>
      </c>
      <c r="N29" s="12">
        <f t="shared" si="1"/>
        <v>8.1100000000000012</v>
      </c>
    </row>
    <row r="30" spans="1:23" ht="15" customHeight="1" x14ac:dyDescent="0.35">
      <c r="A30" s="6" t="s">
        <v>36</v>
      </c>
      <c r="B30" s="12">
        <v>1.1000000000000001</v>
      </c>
      <c r="C30" s="12">
        <v>0.27</v>
      </c>
      <c r="D30" s="12"/>
      <c r="E30" s="12">
        <v>0.36</v>
      </c>
      <c r="F30" s="12">
        <v>189.15</v>
      </c>
      <c r="G30" s="12">
        <v>6.56</v>
      </c>
      <c r="H30" s="12"/>
      <c r="I30" s="12">
        <v>2.52</v>
      </c>
      <c r="J30" s="12"/>
      <c r="K30" s="12">
        <v>31.58</v>
      </c>
      <c r="L30" s="12"/>
      <c r="M30" s="12">
        <v>2.37</v>
      </c>
      <c r="N30" s="12">
        <f t="shared" si="1"/>
        <v>233.91000000000003</v>
      </c>
    </row>
    <row r="31" spans="1:23" ht="15" customHeight="1" x14ac:dyDescent="0.35">
      <c r="A31" s="245" t="s">
        <v>16</v>
      </c>
      <c r="B31" s="246">
        <v>145.80000000000001</v>
      </c>
      <c r="C31" s="246">
        <v>2.48</v>
      </c>
      <c r="D31" s="246"/>
      <c r="E31" s="246"/>
      <c r="F31" s="246">
        <v>1232.3800000000001</v>
      </c>
      <c r="G31" s="246">
        <v>15.36</v>
      </c>
      <c r="H31" s="246">
        <v>58.9</v>
      </c>
      <c r="I31" s="246">
        <v>0.23</v>
      </c>
      <c r="J31" s="246">
        <v>39.68</v>
      </c>
      <c r="K31" s="246">
        <v>388.32000000000005</v>
      </c>
      <c r="L31" s="246"/>
      <c r="M31" s="246">
        <v>72.419999999999987</v>
      </c>
      <c r="N31" s="246">
        <f t="shared" si="1"/>
        <v>1955.5700000000002</v>
      </c>
    </row>
    <row r="32" spans="1:23" ht="15" customHeight="1" x14ac:dyDescent="0.35">
      <c r="A32" s="6" t="s">
        <v>46</v>
      </c>
      <c r="B32" s="12">
        <v>6.13</v>
      </c>
      <c r="C32" s="12"/>
      <c r="D32" s="12"/>
      <c r="E32" s="12"/>
      <c r="F32" s="12">
        <v>88.149999999999991</v>
      </c>
      <c r="G32" s="12">
        <v>0.05</v>
      </c>
      <c r="H32" s="12"/>
      <c r="I32" s="12"/>
      <c r="J32" s="12">
        <v>4.13</v>
      </c>
      <c r="K32" s="12"/>
      <c r="L32" s="12"/>
      <c r="M32" s="12"/>
      <c r="N32" s="12">
        <f t="shared" si="1"/>
        <v>98.45999999999998</v>
      </c>
    </row>
    <row r="33" spans="1:14" ht="15" customHeight="1" x14ac:dyDescent="0.35">
      <c r="A33" s="6" t="s">
        <v>47</v>
      </c>
      <c r="B33" s="12">
        <v>8.7800000000000011</v>
      </c>
      <c r="C33" s="12"/>
      <c r="D33" s="12"/>
      <c r="E33" s="12"/>
      <c r="F33" s="12">
        <v>37.280000000000008</v>
      </c>
      <c r="G33" s="12"/>
      <c r="H33" s="12">
        <v>2.62</v>
      </c>
      <c r="I33" s="12"/>
      <c r="J33" s="12">
        <v>3.34</v>
      </c>
      <c r="K33" s="12">
        <v>4.8600000000000003</v>
      </c>
      <c r="L33" s="12"/>
      <c r="M33" s="12">
        <v>15.91</v>
      </c>
      <c r="N33" s="12">
        <f t="shared" si="1"/>
        <v>72.790000000000006</v>
      </c>
    </row>
    <row r="34" spans="1:14" ht="15" customHeight="1" x14ac:dyDescent="0.35">
      <c r="A34" s="6" t="s">
        <v>48</v>
      </c>
      <c r="B34" s="12">
        <v>1.3</v>
      </c>
      <c r="C34" s="12"/>
      <c r="D34" s="12"/>
      <c r="E34" s="12"/>
      <c r="F34" s="12">
        <v>10.159999999999998</v>
      </c>
      <c r="G34" s="12">
        <v>1.29</v>
      </c>
      <c r="H34" s="12"/>
      <c r="I34" s="12"/>
      <c r="J34" s="12">
        <v>1.22</v>
      </c>
      <c r="K34" s="12"/>
      <c r="L34" s="12"/>
      <c r="M34" s="12"/>
      <c r="N34" s="12">
        <f t="shared" si="1"/>
        <v>13.97</v>
      </c>
    </row>
    <row r="35" spans="1:14" ht="15" customHeight="1" x14ac:dyDescent="0.35">
      <c r="A35" s="6" t="s">
        <v>49</v>
      </c>
      <c r="B35" s="12">
        <v>8.51</v>
      </c>
      <c r="C35" s="12"/>
      <c r="D35" s="12"/>
      <c r="E35" s="12"/>
      <c r="F35" s="12">
        <v>53.70000000000001</v>
      </c>
      <c r="G35" s="12"/>
      <c r="H35" s="12"/>
      <c r="I35" s="12"/>
      <c r="J35" s="12">
        <v>0.19</v>
      </c>
      <c r="K35" s="12"/>
      <c r="L35" s="12"/>
      <c r="M35" s="12"/>
      <c r="N35" s="12">
        <f t="shared" si="1"/>
        <v>62.400000000000006</v>
      </c>
    </row>
    <row r="36" spans="1:14" x14ac:dyDescent="0.35">
      <c r="A36" s="6" t="s">
        <v>50</v>
      </c>
      <c r="B36" s="12"/>
      <c r="C36" s="12"/>
      <c r="D36" s="12"/>
      <c r="E36" s="12"/>
      <c r="F36" s="12">
        <v>83.479999999999976</v>
      </c>
      <c r="G36" s="12">
        <v>0.78</v>
      </c>
      <c r="H36" s="12">
        <v>1</v>
      </c>
      <c r="I36" s="12"/>
      <c r="J36" s="12">
        <v>13.820000000000002</v>
      </c>
      <c r="K36" s="12">
        <v>11.66</v>
      </c>
      <c r="L36" s="12"/>
      <c r="M36" s="12">
        <v>0.27</v>
      </c>
      <c r="N36" s="12">
        <f t="shared" si="1"/>
        <v>111.00999999999998</v>
      </c>
    </row>
    <row r="37" spans="1:14" x14ac:dyDescent="0.35">
      <c r="A37" s="6" t="s">
        <v>51</v>
      </c>
      <c r="B37" s="12">
        <v>43.480000000000004</v>
      </c>
      <c r="C37" s="12"/>
      <c r="D37" s="12"/>
      <c r="E37" s="12"/>
      <c r="F37" s="12">
        <v>98.84</v>
      </c>
      <c r="G37" s="12">
        <v>10.85</v>
      </c>
      <c r="H37" s="12"/>
      <c r="I37" s="12"/>
      <c r="J37" s="12"/>
      <c r="K37" s="12">
        <v>23.07</v>
      </c>
      <c r="L37" s="12"/>
      <c r="M37" s="12">
        <v>12</v>
      </c>
      <c r="N37" s="12">
        <f t="shared" si="1"/>
        <v>188.23999999999998</v>
      </c>
    </row>
    <row r="38" spans="1:14" x14ac:dyDescent="0.35">
      <c r="A38" s="6" t="s">
        <v>52</v>
      </c>
      <c r="B38" s="12">
        <v>28.740000000000002</v>
      </c>
      <c r="C38" s="12"/>
      <c r="D38" s="12"/>
      <c r="E38" s="12"/>
      <c r="F38" s="12">
        <v>4.29</v>
      </c>
      <c r="G38" s="12"/>
      <c r="H38" s="12"/>
      <c r="I38" s="12"/>
      <c r="J38" s="12"/>
      <c r="K38" s="12"/>
      <c r="L38" s="12"/>
      <c r="M38" s="12"/>
      <c r="N38" s="12">
        <f t="shared" si="1"/>
        <v>33.03</v>
      </c>
    </row>
    <row r="39" spans="1:14" x14ac:dyDescent="0.35">
      <c r="A39" s="6" t="s">
        <v>53</v>
      </c>
      <c r="B39" s="12">
        <v>33.42</v>
      </c>
      <c r="C39" s="12"/>
      <c r="D39" s="12"/>
      <c r="E39" s="12"/>
      <c r="F39" s="12">
        <v>412.39999999999992</v>
      </c>
      <c r="G39" s="12">
        <v>1.21</v>
      </c>
      <c r="H39" s="12">
        <v>39.53</v>
      </c>
      <c r="I39" s="12"/>
      <c r="J39" s="12">
        <v>10.330000000000002</v>
      </c>
      <c r="K39" s="12">
        <v>283.12000000000006</v>
      </c>
      <c r="L39" s="12"/>
      <c r="M39" s="12"/>
      <c r="N39" s="12">
        <f t="shared" si="1"/>
        <v>780.01</v>
      </c>
    </row>
    <row r="40" spans="1:14" x14ac:dyDescent="0.35">
      <c r="A40" s="6" t="s">
        <v>54</v>
      </c>
      <c r="B40" s="12">
        <v>15.440000000000001</v>
      </c>
      <c r="C40" s="12">
        <v>2.48</v>
      </c>
      <c r="D40" s="12"/>
      <c r="E40" s="12"/>
      <c r="F40" s="12">
        <v>444.08000000000004</v>
      </c>
      <c r="G40" s="12">
        <v>1.18</v>
      </c>
      <c r="H40" s="12">
        <v>15.749999999999998</v>
      </c>
      <c r="I40" s="12">
        <v>0.23</v>
      </c>
      <c r="J40" s="12">
        <v>6.65</v>
      </c>
      <c r="K40" s="12">
        <v>65.609999999999985</v>
      </c>
      <c r="L40" s="12"/>
      <c r="M40" s="12">
        <v>44.239999999999995</v>
      </c>
      <c r="N40" s="12">
        <f t="shared" si="1"/>
        <v>595.66000000000008</v>
      </c>
    </row>
    <row r="41" spans="1:14" x14ac:dyDescent="0.35">
      <c r="A41" s="245" t="s">
        <v>15</v>
      </c>
      <c r="B41" s="246">
        <v>53.689999999999991</v>
      </c>
      <c r="C41" s="246">
        <v>87.07</v>
      </c>
      <c r="D41" s="246">
        <v>59.03</v>
      </c>
      <c r="E41" s="246">
        <v>172.99</v>
      </c>
      <c r="F41" s="246">
        <v>23929.58</v>
      </c>
      <c r="G41" s="246">
        <v>852.38000000000011</v>
      </c>
      <c r="H41" s="246">
        <v>296.14</v>
      </c>
      <c r="I41" s="246">
        <v>27.600000000000005</v>
      </c>
      <c r="J41" s="246">
        <v>128.01999999999998</v>
      </c>
      <c r="K41" s="246">
        <v>2807.2799999999997</v>
      </c>
      <c r="L41" s="246">
        <v>1.56</v>
      </c>
      <c r="M41" s="246">
        <v>6189.11</v>
      </c>
      <c r="N41" s="246">
        <f t="shared" si="1"/>
        <v>34604.449999999997</v>
      </c>
    </row>
    <row r="42" spans="1:14" x14ac:dyDescent="0.35">
      <c r="A42" s="6" t="s">
        <v>41</v>
      </c>
      <c r="B42" s="12">
        <v>14.729999999999999</v>
      </c>
      <c r="C42" s="12">
        <v>31.180000000000003</v>
      </c>
      <c r="D42" s="12">
        <v>13.02</v>
      </c>
      <c r="E42" s="12">
        <v>61.29</v>
      </c>
      <c r="F42" s="12">
        <v>5692.4900000000025</v>
      </c>
      <c r="G42" s="12">
        <v>173.10000000000002</v>
      </c>
      <c r="H42" s="12">
        <v>104.23</v>
      </c>
      <c r="I42" s="12">
        <v>0.63</v>
      </c>
      <c r="J42" s="12">
        <v>69.429999999999993</v>
      </c>
      <c r="K42" s="12">
        <v>653.83000000000004</v>
      </c>
      <c r="L42" s="12"/>
      <c r="M42" s="12">
        <v>1517.9999999999993</v>
      </c>
      <c r="N42" s="12">
        <f t="shared" si="1"/>
        <v>8331.9300000000021</v>
      </c>
    </row>
    <row r="43" spans="1:14" x14ac:dyDescent="0.35">
      <c r="A43" s="6" t="s">
        <v>42</v>
      </c>
      <c r="B43" s="12">
        <v>7.35</v>
      </c>
      <c r="C43" s="12">
        <v>52.550000000000004</v>
      </c>
      <c r="D43" s="12"/>
      <c r="E43" s="12">
        <v>94.31</v>
      </c>
      <c r="F43" s="12">
        <v>7055.3999999999905</v>
      </c>
      <c r="G43" s="12">
        <v>239.47999999999996</v>
      </c>
      <c r="H43" s="12">
        <v>84.960000000000008</v>
      </c>
      <c r="I43" s="12">
        <v>5.6300000000000008</v>
      </c>
      <c r="J43" s="12">
        <v>29.319999999999997</v>
      </c>
      <c r="K43" s="12">
        <v>924.00999999999965</v>
      </c>
      <c r="L43" s="12"/>
      <c r="M43" s="12">
        <v>2003.2200000000007</v>
      </c>
      <c r="N43" s="12">
        <f t="shared" si="1"/>
        <v>10496.22999999999</v>
      </c>
    </row>
    <row r="44" spans="1:14" x14ac:dyDescent="0.35">
      <c r="A44" s="6" t="s">
        <v>43</v>
      </c>
      <c r="B44" s="12">
        <v>16.349999999999998</v>
      </c>
      <c r="C44" s="12">
        <v>1.49</v>
      </c>
      <c r="D44" s="12"/>
      <c r="E44" s="12">
        <v>9.4600000000000009</v>
      </c>
      <c r="F44" s="12">
        <v>3952.1399999999985</v>
      </c>
      <c r="G44" s="12">
        <v>109.2</v>
      </c>
      <c r="H44" s="12">
        <v>14.819999999999999</v>
      </c>
      <c r="I44" s="12">
        <v>0.86</v>
      </c>
      <c r="J44" s="12">
        <v>20.16</v>
      </c>
      <c r="K44" s="12">
        <v>479.19</v>
      </c>
      <c r="L44" s="12">
        <v>1.56</v>
      </c>
      <c r="M44" s="12">
        <v>1328.57</v>
      </c>
      <c r="N44" s="12">
        <f t="shared" si="1"/>
        <v>5933.7999999999975</v>
      </c>
    </row>
    <row r="45" spans="1:14" x14ac:dyDescent="0.35">
      <c r="A45" s="6" t="s">
        <v>44</v>
      </c>
      <c r="B45" s="12">
        <v>0.75</v>
      </c>
      <c r="C45" s="12"/>
      <c r="D45" s="12"/>
      <c r="E45" s="12"/>
      <c r="F45" s="12">
        <v>211.54000000000002</v>
      </c>
      <c r="G45" s="12">
        <v>9.98</v>
      </c>
      <c r="H45" s="12"/>
      <c r="I45" s="12"/>
      <c r="J45" s="12">
        <v>0.47</v>
      </c>
      <c r="K45" s="12">
        <v>35.769999999999996</v>
      </c>
      <c r="L45" s="12"/>
      <c r="M45" s="12">
        <v>33.15</v>
      </c>
      <c r="N45" s="12">
        <f t="shared" si="1"/>
        <v>291.65999999999997</v>
      </c>
    </row>
    <row r="46" spans="1:14" x14ac:dyDescent="0.35">
      <c r="A46" s="6" t="s">
        <v>45</v>
      </c>
      <c r="B46" s="12">
        <v>14.509999999999996</v>
      </c>
      <c r="C46" s="12">
        <v>1.85</v>
      </c>
      <c r="D46" s="12">
        <v>46.010000000000005</v>
      </c>
      <c r="E46" s="12">
        <v>7.93</v>
      </c>
      <c r="F46" s="12">
        <v>7018.0100000000084</v>
      </c>
      <c r="G46" s="12">
        <v>320.62000000000006</v>
      </c>
      <c r="H46" s="12">
        <v>92.13</v>
      </c>
      <c r="I46" s="12">
        <v>20.480000000000004</v>
      </c>
      <c r="J46" s="12">
        <v>8.64</v>
      </c>
      <c r="K46" s="12">
        <v>714.4799999999999</v>
      </c>
      <c r="L46" s="12"/>
      <c r="M46" s="12">
        <v>1306.1699999999998</v>
      </c>
      <c r="N46" s="12">
        <f t="shared" si="1"/>
        <v>9550.830000000009</v>
      </c>
    </row>
    <row r="47" spans="1:14" x14ac:dyDescent="0.35">
      <c r="A47" s="245" t="s">
        <v>14</v>
      </c>
      <c r="B47" s="246">
        <v>2.54</v>
      </c>
      <c r="C47" s="246"/>
      <c r="D47" s="246"/>
      <c r="E47" s="246"/>
      <c r="F47" s="246">
        <v>31.310000000000002</v>
      </c>
      <c r="G47" s="246"/>
      <c r="H47" s="246">
        <v>0.03</v>
      </c>
      <c r="I47" s="246"/>
      <c r="J47" s="246">
        <v>3.36</v>
      </c>
      <c r="K47" s="246">
        <v>194.72000000000003</v>
      </c>
      <c r="L47" s="246"/>
      <c r="M47" s="246">
        <v>194.72000000000003</v>
      </c>
      <c r="N47" s="246">
        <f t="shared" si="1"/>
        <v>426.68000000000006</v>
      </c>
    </row>
    <row r="48" spans="1:14" x14ac:dyDescent="0.35">
      <c r="A48" s="6" t="s">
        <v>37</v>
      </c>
      <c r="B48" s="12"/>
      <c r="C48" s="12"/>
      <c r="D48" s="12"/>
      <c r="E48" s="12"/>
      <c r="F48" s="12">
        <v>2.94</v>
      </c>
      <c r="G48" s="12"/>
      <c r="H48" s="12">
        <v>0.03</v>
      </c>
      <c r="I48" s="12"/>
      <c r="J48" s="12"/>
      <c r="K48" s="12">
        <v>0.4</v>
      </c>
      <c r="L48" s="12"/>
      <c r="M48" s="12">
        <v>0.4</v>
      </c>
      <c r="N48" s="12">
        <f t="shared" si="1"/>
        <v>3.7699999999999996</v>
      </c>
    </row>
    <row r="49" spans="1:14" x14ac:dyDescent="0.35">
      <c r="A49" s="6" t="s">
        <v>38</v>
      </c>
      <c r="B49" s="12">
        <v>2.54</v>
      </c>
      <c r="C49" s="12"/>
      <c r="D49" s="12"/>
      <c r="E49" s="12"/>
      <c r="F49" s="12"/>
      <c r="G49" s="12"/>
      <c r="H49" s="12"/>
      <c r="I49" s="12"/>
      <c r="J49" s="12"/>
      <c r="K49" s="12"/>
      <c r="L49" s="12"/>
      <c r="M49" s="12"/>
      <c r="N49" s="12">
        <f t="shared" si="1"/>
        <v>2.54</v>
      </c>
    </row>
    <row r="50" spans="1:14" x14ac:dyDescent="0.35">
      <c r="A50" s="6" t="s">
        <v>39</v>
      </c>
      <c r="B50" s="12"/>
      <c r="C50" s="12"/>
      <c r="D50" s="12"/>
      <c r="E50" s="12"/>
      <c r="F50" s="12">
        <v>27.76</v>
      </c>
      <c r="G50" s="12"/>
      <c r="H50" s="12"/>
      <c r="I50" s="12"/>
      <c r="J50" s="12">
        <v>3.36</v>
      </c>
      <c r="K50" s="12">
        <v>191.10000000000002</v>
      </c>
      <c r="L50" s="12"/>
      <c r="M50" s="12">
        <v>191.10000000000002</v>
      </c>
      <c r="N50" s="12">
        <f t="shared" si="1"/>
        <v>413.32000000000005</v>
      </c>
    </row>
    <row r="51" spans="1:14" x14ac:dyDescent="0.35">
      <c r="A51" s="6" t="s">
        <v>40</v>
      </c>
      <c r="B51" s="12"/>
      <c r="C51" s="12"/>
      <c r="D51" s="12"/>
      <c r="E51" s="12"/>
      <c r="F51" s="12">
        <v>0.61</v>
      </c>
      <c r="G51" s="12"/>
      <c r="H51" s="12"/>
      <c r="I51" s="12"/>
      <c r="J51" s="12"/>
      <c r="K51" s="12">
        <v>3.2199999999999993</v>
      </c>
      <c r="L51" s="12"/>
      <c r="M51" s="12">
        <v>3.2199999999999993</v>
      </c>
      <c r="N51" s="12">
        <f t="shared" si="1"/>
        <v>7.0499999999999989</v>
      </c>
    </row>
    <row r="52" spans="1:14" x14ac:dyDescent="0.35">
      <c r="A52" s="245" t="s">
        <v>17</v>
      </c>
      <c r="B52" s="246">
        <v>57.38</v>
      </c>
      <c r="C52" s="246">
        <v>13.11</v>
      </c>
      <c r="D52" s="246">
        <v>2.4300000000000002</v>
      </c>
      <c r="E52" s="246"/>
      <c r="F52" s="246">
        <v>656.13000000000011</v>
      </c>
      <c r="G52" s="246">
        <v>397.38999999999993</v>
      </c>
      <c r="H52" s="246">
        <v>5.05</v>
      </c>
      <c r="I52" s="246">
        <v>3.91</v>
      </c>
      <c r="J52" s="246"/>
      <c r="K52" s="246">
        <v>261.27000000000004</v>
      </c>
      <c r="L52" s="246"/>
      <c r="M52" s="246">
        <v>38.449999999999996</v>
      </c>
      <c r="N52" s="246">
        <f t="shared" si="1"/>
        <v>1435.1200000000001</v>
      </c>
    </row>
    <row r="53" spans="1:14" x14ac:dyDescent="0.35">
      <c r="A53" s="6" t="s">
        <v>55</v>
      </c>
      <c r="B53" s="12">
        <v>56.71</v>
      </c>
      <c r="C53" s="12">
        <v>13.11</v>
      </c>
      <c r="D53" s="12">
        <v>0.1</v>
      </c>
      <c r="E53" s="12"/>
      <c r="F53" s="12">
        <v>561.5100000000001</v>
      </c>
      <c r="G53" s="12">
        <v>357.56999999999994</v>
      </c>
      <c r="H53" s="12"/>
      <c r="I53" s="12">
        <v>3.91</v>
      </c>
      <c r="J53" s="12"/>
      <c r="K53" s="12">
        <v>235.88000000000002</v>
      </c>
      <c r="L53" s="12"/>
      <c r="M53" s="12">
        <v>37.429999999999993</v>
      </c>
      <c r="N53" s="12">
        <f t="shared" si="1"/>
        <v>1266.22</v>
      </c>
    </row>
    <row r="54" spans="1:14" x14ac:dyDescent="0.35">
      <c r="A54" s="6" t="s">
        <v>56</v>
      </c>
      <c r="B54" s="12">
        <v>0.67</v>
      </c>
      <c r="C54" s="12"/>
      <c r="D54" s="12">
        <v>2.33</v>
      </c>
      <c r="E54" s="12"/>
      <c r="F54" s="12">
        <v>94.62</v>
      </c>
      <c r="G54" s="12">
        <v>39.82</v>
      </c>
      <c r="H54" s="12">
        <v>5.05</v>
      </c>
      <c r="I54" s="12"/>
      <c r="J54" s="12"/>
      <c r="K54" s="12">
        <v>25.389999999999997</v>
      </c>
      <c r="L54" s="12"/>
      <c r="M54" s="12">
        <v>1.02</v>
      </c>
      <c r="N54" s="12">
        <f t="shared" si="1"/>
        <v>168.9</v>
      </c>
    </row>
    <row r="55" spans="1:14" x14ac:dyDescent="0.35">
      <c r="A55" s="245" t="s">
        <v>64</v>
      </c>
      <c r="B55" s="246"/>
      <c r="C55" s="246"/>
      <c r="D55" s="246"/>
      <c r="E55" s="246"/>
      <c r="F55" s="246">
        <v>2.39</v>
      </c>
      <c r="G55" s="246"/>
      <c r="H55" s="246"/>
      <c r="I55" s="246"/>
      <c r="J55" s="246"/>
      <c r="K55" s="246">
        <v>0.3</v>
      </c>
      <c r="L55" s="246"/>
      <c r="M55" s="246">
        <v>0.3</v>
      </c>
      <c r="N55" s="246">
        <f t="shared" si="1"/>
        <v>2.9899999999999998</v>
      </c>
    </row>
    <row r="56" spans="1:14" x14ac:dyDescent="0.35">
      <c r="A56" s="16" t="s">
        <v>65</v>
      </c>
      <c r="B56" s="12"/>
      <c r="C56" s="12"/>
      <c r="D56" s="12"/>
      <c r="E56" s="12"/>
      <c r="F56" s="12"/>
      <c r="G56" s="12"/>
      <c r="H56" s="12"/>
      <c r="I56" s="12"/>
      <c r="J56" s="12"/>
      <c r="K56" s="12">
        <v>0.3</v>
      </c>
      <c r="L56" s="12"/>
      <c r="M56" s="12">
        <v>0.3</v>
      </c>
      <c r="N56" s="12">
        <f t="shared" si="1"/>
        <v>0.6</v>
      </c>
    </row>
    <row r="57" spans="1:14" x14ac:dyDescent="0.35">
      <c r="A57" s="16" t="s">
        <v>66</v>
      </c>
      <c r="B57" s="12"/>
      <c r="C57" s="12"/>
      <c r="D57" s="12"/>
      <c r="E57" s="12"/>
      <c r="F57" s="12">
        <v>2.39</v>
      </c>
      <c r="G57" s="12"/>
      <c r="H57" s="12"/>
      <c r="I57" s="12"/>
      <c r="J57" s="12"/>
      <c r="K57" s="12"/>
      <c r="L57" s="12"/>
      <c r="M57" s="12"/>
      <c r="N57" s="12">
        <f t="shared" si="1"/>
        <v>2.39</v>
      </c>
    </row>
    <row r="58" spans="1:14" x14ac:dyDescent="0.35">
      <c r="A58" s="245" t="s">
        <v>18</v>
      </c>
      <c r="B58" s="246"/>
      <c r="C58" s="246"/>
      <c r="D58" s="246"/>
      <c r="E58" s="246"/>
      <c r="F58" s="246"/>
      <c r="G58" s="246"/>
      <c r="H58" s="246"/>
      <c r="I58" s="246"/>
      <c r="J58" s="246"/>
      <c r="K58" s="246"/>
      <c r="L58" s="246"/>
      <c r="M58" s="246">
        <v>0.15</v>
      </c>
      <c r="N58" s="246">
        <f t="shared" si="1"/>
        <v>0.15</v>
      </c>
    </row>
    <row r="59" spans="1:14" x14ac:dyDescent="0.35">
      <c r="A59" s="6" t="s">
        <v>202</v>
      </c>
      <c r="B59" s="12"/>
      <c r="C59" s="12"/>
      <c r="D59" s="12"/>
      <c r="E59" s="12"/>
      <c r="F59" s="12"/>
      <c r="G59" s="12"/>
      <c r="H59" s="12"/>
      <c r="I59" s="12"/>
      <c r="J59" s="12"/>
      <c r="K59" s="12"/>
      <c r="L59" s="12"/>
      <c r="M59" s="12">
        <v>0.15</v>
      </c>
      <c r="N59" s="12">
        <f t="shared" si="1"/>
        <v>0.15</v>
      </c>
    </row>
    <row r="60" spans="1:14" x14ac:dyDescent="0.35">
      <c r="A60" s="245" t="s">
        <v>20</v>
      </c>
      <c r="B60" s="246"/>
      <c r="C60" s="246"/>
      <c r="D60" s="246"/>
      <c r="E60" s="246"/>
      <c r="F60" s="246">
        <v>49.319999999999993</v>
      </c>
      <c r="G60" s="246">
        <v>1.98</v>
      </c>
      <c r="H60" s="246">
        <v>2.0499999999999998</v>
      </c>
      <c r="I60" s="246"/>
      <c r="J60" s="246">
        <v>0.46</v>
      </c>
      <c r="K60" s="246">
        <v>4.43</v>
      </c>
      <c r="L60" s="246"/>
      <c r="M60" s="246">
        <v>1.49</v>
      </c>
      <c r="N60" s="246">
        <f t="shared" si="1"/>
        <v>59.72999999999999</v>
      </c>
    </row>
    <row r="61" spans="1:14" x14ac:dyDescent="0.35">
      <c r="A61" s="6" t="s">
        <v>20</v>
      </c>
      <c r="B61" s="12"/>
      <c r="C61" s="12"/>
      <c r="D61" s="12"/>
      <c r="E61" s="12"/>
      <c r="F61" s="12">
        <v>49.319999999999993</v>
      </c>
      <c r="G61" s="12">
        <v>1.98</v>
      </c>
      <c r="H61" s="12">
        <v>2.0499999999999998</v>
      </c>
      <c r="I61" s="12"/>
      <c r="J61" s="12">
        <v>0.46</v>
      </c>
      <c r="K61" s="12">
        <v>4.43</v>
      </c>
      <c r="L61" s="12"/>
      <c r="M61" s="12">
        <v>1.49</v>
      </c>
      <c r="N61" s="12">
        <f t="shared" si="1"/>
        <v>59.72999999999999</v>
      </c>
    </row>
    <row r="62" spans="1:14" x14ac:dyDescent="0.35">
      <c r="A62" s="245" t="s">
        <v>21</v>
      </c>
      <c r="B62" s="246">
        <v>32.480000000000004</v>
      </c>
      <c r="C62" s="246">
        <v>1.18</v>
      </c>
      <c r="D62" s="246"/>
      <c r="E62" s="246"/>
      <c r="F62" s="246">
        <v>226.15000000000006</v>
      </c>
      <c r="G62" s="246">
        <v>4.28</v>
      </c>
      <c r="H62" s="246"/>
      <c r="I62" s="246"/>
      <c r="J62" s="246">
        <v>1.5899999999999999</v>
      </c>
      <c r="K62" s="246">
        <v>62.99</v>
      </c>
      <c r="L62" s="246"/>
      <c r="M62" s="246">
        <v>14.22</v>
      </c>
      <c r="N62" s="246">
        <f t="shared" si="1"/>
        <v>342.89000000000004</v>
      </c>
    </row>
    <row r="63" spans="1:14" x14ac:dyDescent="0.35">
      <c r="A63" s="6" t="s">
        <v>21</v>
      </c>
      <c r="B63" s="12">
        <v>32.480000000000004</v>
      </c>
      <c r="C63" s="12">
        <v>1.18</v>
      </c>
      <c r="D63" s="12"/>
      <c r="E63" s="12"/>
      <c r="F63" s="12">
        <v>226.15000000000006</v>
      </c>
      <c r="G63" s="12">
        <v>4.28</v>
      </c>
      <c r="H63" s="12"/>
      <c r="I63" s="12"/>
      <c r="J63" s="12">
        <v>1.5899999999999999</v>
      </c>
      <c r="K63" s="12">
        <v>62.99</v>
      </c>
      <c r="L63" s="12"/>
      <c r="M63" s="12">
        <v>14.22</v>
      </c>
      <c r="N63" s="12">
        <f t="shared" si="1"/>
        <v>342.89000000000004</v>
      </c>
    </row>
    <row r="64" spans="1:14" x14ac:dyDescent="0.35">
      <c r="A64" s="245" t="s">
        <v>22</v>
      </c>
      <c r="B64" s="246">
        <v>20.07</v>
      </c>
      <c r="C64" s="246">
        <v>3.7</v>
      </c>
      <c r="D64" s="246"/>
      <c r="E64" s="246"/>
      <c r="F64" s="246">
        <v>234.35999999999996</v>
      </c>
      <c r="G64" s="246">
        <v>84.33</v>
      </c>
      <c r="H64" s="246">
        <v>0.59</v>
      </c>
      <c r="I64" s="246">
        <v>63.85</v>
      </c>
      <c r="J64" s="246">
        <v>10.51</v>
      </c>
      <c r="K64" s="246">
        <v>126.32000000000001</v>
      </c>
      <c r="L64" s="246"/>
      <c r="M64" s="246">
        <v>4.1500000000000004</v>
      </c>
      <c r="N64" s="246">
        <f t="shared" si="1"/>
        <v>547.87999999999988</v>
      </c>
    </row>
    <row r="65" spans="1:19" x14ac:dyDescent="0.35">
      <c r="A65" s="6" t="s">
        <v>22</v>
      </c>
      <c r="B65" s="12">
        <v>20.07</v>
      </c>
      <c r="C65" s="12">
        <v>3.7</v>
      </c>
      <c r="D65" s="12"/>
      <c r="E65" s="12"/>
      <c r="F65" s="12">
        <v>234.35999999999996</v>
      </c>
      <c r="G65" s="12">
        <v>84.33</v>
      </c>
      <c r="H65" s="12">
        <v>0.59</v>
      </c>
      <c r="I65" s="12">
        <v>63.85</v>
      </c>
      <c r="J65" s="12">
        <v>10.51</v>
      </c>
      <c r="K65" s="12">
        <v>126.32000000000001</v>
      </c>
      <c r="L65" s="12"/>
      <c r="M65" s="12">
        <v>4.1500000000000004</v>
      </c>
      <c r="N65" s="12">
        <f t="shared" si="1"/>
        <v>547.87999999999988</v>
      </c>
    </row>
    <row r="66" spans="1:19" x14ac:dyDescent="0.35">
      <c r="A66" s="245" t="s">
        <v>23</v>
      </c>
      <c r="B66" s="246"/>
      <c r="C66" s="246"/>
      <c r="D66" s="246"/>
      <c r="E66" s="246">
        <v>0.19</v>
      </c>
      <c r="F66" s="246">
        <v>1.29</v>
      </c>
      <c r="G66" s="246">
        <v>1.91</v>
      </c>
      <c r="H66" s="246"/>
      <c r="I66" s="246"/>
      <c r="J66" s="246"/>
      <c r="K66" s="246">
        <v>11.26</v>
      </c>
      <c r="L66" s="246"/>
      <c r="M66" s="246">
        <v>0.46</v>
      </c>
      <c r="N66" s="246">
        <f t="shared" si="1"/>
        <v>15.11</v>
      </c>
    </row>
    <row r="67" spans="1:19" x14ac:dyDescent="0.35">
      <c r="A67" s="6" t="s">
        <v>23</v>
      </c>
      <c r="B67" s="12"/>
      <c r="C67" s="12"/>
      <c r="D67" s="12"/>
      <c r="E67" s="12">
        <v>0.19</v>
      </c>
      <c r="F67" s="12">
        <v>1.29</v>
      </c>
      <c r="G67" s="12">
        <v>1.91</v>
      </c>
      <c r="H67" s="12"/>
      <c r="I67" s="12"/>
      <c r="J67" s="12"/>
      <c r="K67" s="12">
        <v>11.26</v>
      </c>
      <c r="L67" s="12"/>
      <c r="M67" s="12">
        <v>0.46</v>
      </c>
      <c r="N67" s="12">
        <f t="shared" si="1"/>
        <v>15.11</v>
      </c>
    </row>
    <row r="68" spans="1:19" ht="15.5" x14ac:dyDescent="0.35">
      <c r="A68" s="258" t="s">
        <v>25</v>
      </c>
      <c r="B68" s="251">
        <v>379.89000000000004</v>
      </c>
      <c r="C68" s="251">
        <v>334.83000000000004</v>
      </c>
      <c r="D68" s="253">
        <v>93.759999999999991</v>
      </c>
      <c r="E68" s="255">
        <v>177.83</v>
      </c>
      <c r="F68" s="251">
        <f>SUM(F66,F64,F62,F60,F58,F55,F52,F47,F41,F31,F27,F23,F14)</f>
        <v>29395.310000000005</v>
      </c>
      <c r="G68" s="256">
        <v>1824.96</v>
      </c>
      <c r="H68" s="249">
        <v>504.71</v>
      </c>
      <c r="I68" s="248">
        <v>232.34999999999997</v>
      </c>
      <c r="J68" s="250">
        <v>257.37</v>
      </c>
      <c r="K68" s="248">
        <v>4414.13</v>
      </c>
      <c r="L68" s="251">
        <v>1.56</v>
      </c>
      <c r="M68" s="253">
        <v>6405.3099999999995</v>
      </c>
      <c r="N68" s="254">
        <f>SUM(B68:M68)</f>
        <v>44022.01</v>
      </c>
    </row>
    <row r="72" spans="1:19" ht="18.5" x14ac:dyDescent="0.45">
      <c r="A72" s="238" t="s">
        <v>128</v>
      </c>
      <c r="B72" s="221"/>
      <c r="C72" s="221"/>
      <c r="D72" s="221"/>
      <c r="E72" s="221"/>
      <c r="F72" s="223"/>
    </row>
    <row r="73" spans="1:19" ht="15.75" customHeight="1" x14ac:dyDescent="0.35">
      <c r="A73" s="703" t="s">
        <v>88</v>
      </c>
      <c r="B73" s="705" t="s">
        <v>113</v>
      </c>
      <c r="C73" s="705"/>
      <c r="D73" s="705"/>
      <c r="E73" s="705"/>
      <c r="F73" s="705"/>
      <c r="G73" s="705"/>
      <c r="H73" s="705"/>
      <c r="I73" s="705"/>
      <c r="J73" s="705"/>
      <c r="K73" s="705"/>
      <c r="L73" s="705"/>
      <c r="M73" s="705"/>
      <c r="N73" s="705"/>
      <c r="O73" s="228"/>
      <c r="P73" s="228"/>
      <c r="Q73" s="228"/>
      <c r="R73" s="228"/>
    </row>
    <row r="74" spans="1:19" ht="30" customHeight="1" x14ac:dyDescent="0.35">
      <c r="A74" s="704"/>
      <c r="B74" s="244" t="s">
        <v>154</v>
      </c>
      <c r="C74" s="244" t="s">
        <v>152</v>
      </c>
      <c r="D74" s="244" t="s">
        <v>157</v>
      </c>
      <c r="E74" s="244" t="s">
        <v>158</v>
      </c>
      <c r="F74" s="244" t="s">
        <v>149</v>
      </c>
      <c r="G74" s="244" t="s">
        <v>151</v>
      </c>
      <c r="H74" s="244" t="s">
        <v>155</v>
      </c>
      <c r="I74" s="244" t="s">
        <v>153</v>
      </c>
      <c r="J74" s="244" t="s">
        <v>156</v>
      </c>
      <c r="K74" s="244" t="s">
        <v>150</v>
      </c>
      <c r="L74" s="244" t="s">
        <v>122</v>
      </c>
      <c r="M74" s="244" t="s">
        <v>123</v>
      </c>
      <c r="N74" s="244" t="s">
        <v>124</v>
      </c>
      <c r="Q74" s="706" t="s">
        <v>191</v>
      </c>
      <c r="R74" s="707"/>
      <c r="S74" s="708"/>
    </row>
    <row r="75" spans="1:19" x14ac:dyDescent="0.35">
      <c r="A75" s="245" t="s">
        <v>5</v>
      </c>
      <c r="B75" s="246">
        <v>0.01</v>
      </c>
      <c r="C75" s="246">
        <v>172.92999999999998</v>
      </c>
      <c r="D75" s="246"/>
      <c r="E75" s="246"/>
      <c r="F75" s="246">
        <v>585.45999999999981</v>
      </c>
      <c r="G75" s="246">
        <v>79.61</v>
      </c>
      <c r="H75" s="246">
        <v>9.23</v>
      </c>
      <c r="I75" s="246"/>
      <c r="J75" s="246">
        <v>25.439999999999998</v>
      </c>
      <c r="K75" s="246">
        <v>199.78999999999996</v>
      </c>
      <c r="L75" s="246"/>
      <c r="M75" s="246">
        <v>19.5</v>
      </c>
      <c r="N75" s="246">
        <f>SUM(B75:M75)</f>
        <v>1091.9699999999998</v>
      </c>
      <c r="Q75" s="246" t="s">
        <v>149</v>
      </c>
      <c r="R75" s="212">
        <v>6933.5199999999995</v>
      </c>
      <c r="S75" s="22">
        <f t="shared" ref="S75:S84" si="5">R75/$R$87</f>
        <v>0.66387082442876721</v>
      </c>
    </row>
    <row r="76" spans="1:19" x14ac:dyDescent="0.35">
      <c r="A76" s="16" t="s">
        <v>6</v>
      </c>
      <c r="B76" s="12"/>
      <c r="C76" s="12"/>
      <c r="D76" s="12"/>
      <c r="E76" s="12"/>
      <c r="F76" s="12">
        <v>8.9700000000000006</v>
      </c>
      <c r="G76" s="12"/>
      <c r="H76" s="12"/>
      <c r="I76" s="12"/>
      <c r="J76" s="12"/>
      <c r="K76" s="12">
        <v>16.43</v>
      </c>
      <c r="L76" s="12"/>
      <c r="M76" s="12"/>
      <c r="N76" s="12">
        <f t="shared" ref="N76:N129" si="6">SUM(B76:M76)</f>
        <v>25.4</v>
      </c>
      <c r="Q76" s="246" t="s">
        <v>150</v>
      </c>
      <c r="R76" s="212">
        <v>1051.8899999999999</v>
      </c>
      <c r="S76" s="22">
        <f t="shared" si="5"/>
        <v>0.10071638669945078</v>
      </c>
    </row>
    <row r="77" spans="1:19" x14ac:dyDescent="0.35">
      <c r="A77" s="16" t="s">
        <v>7</v>
      </c>
      <c r="B77" s="12"/>
      <c r="C77" s="12"/>
      <c r="D77" s="12"/>
      <c r="E77" s="12"/>
      <c r="F77" s="12"/>
      <c r="G77" s="12">
        <v>29.080000000000002</v>
      </c>
      <c r="H77" s="12"/>
      <c r="I77" s="12"/>
      <c r="J77" s="12"/>
      <c r="K77" s="12"/>
      <c r="L77" s="12"/>
      <c r="M77" s="12">
        <v>0.18</v>
      </c>
      <c r="N77" s="12">
        <f t="shared" si="6"/>
        <v>29.26</v>
      </c>
      <c r="Q77" s="246" t="s">
        <v>151</v>
      </c>
      <c r="R77" s="212">
        <v>455.47999999999996</v>
      </c>
      <c r="S77" s="22">
        <f t="shared" si="5"/>
        <v>4.3611308990356257E-2</v>
      </c>
    </row>
    <row r="78" spans="1:19" x14ac:dyDescent="0.35">
      <c r="A78" s="16" t="s">
        <v>8</v>
      </c>
      <c r="B78" s="12"/>
      <c r="C78" s="12"/>
      <c r="D78" s="12"/>
      <c r="E78" s="12"/>
      <c r="F78" s="12">
        <v>74.75</v>
      </c>
      <c r="G78" s="12">
        <v>20.190000000000001</v>
      </c>
      <c r="H78" s="12"/>
      <c r="I78" s="12"/>
      <c r="J78" s="12"/>
      <c r="K78" s="12">
        <v>4.42</v>
      </c>
      <c r="L78" s="12"/>
      <c r="M78" s="12"/>
      <c r="N78" s="12">
        <f t="shared" si="6"/>
        <v>99.36</v>
      </c>
      <c r="Q78" s="246" t="s">
        <v>152</v>
      </c>
      <c r="R78" s="212">
        <v>201.88</v>
      </c>
      <c r="S78" s="22">
        <f t="shared" si="5"/>
        <v>1.9329610650243967E-2</v>
      </c>
    </row>
    <row r="79" spans="1:19" x14ac:dyDescent="0.35">
      <c r="A79" s="16" t="s">
        <v>26</v>
      </c>
      <c r="B79" s="12"/>
      <c r="C79" s="12"/>
      <c r="D79" s="12"/>
      <c r="E79" s="12"/>
      <c r="F79" s="12">
        <v>297.1699999999999</v>
      </c>
      <c r="G79" s="12"/>
      <c r="H79" s="12">
        <v>4.3600000000000003</v>
      </c>
      <c r="I79" s="12"/>
      <c r="J79" s="12">
        <v>25.439999999999998</v>
      </c>
      <c r="K79" s="12">
        <v>173.32999999999998</v>
      </c>
      <c r="L79" s="12"/>
      <c r="M79" s="12">
        <v>19.32</v>
      </c>
      <c r="N79" s="12">
        <f t="shared" si="6"/>
        <v>519.61999999999989</v>
      </c>
      <c r="Q79" s="246" t="s">
        <v>155</v>
      </c>
      <c r="R79" s="212">
        <v>162.26000000000002</v>
      </c>
      <c r="S79" s="384">
        <f t="shared" si="5"/>
        <v>1.5536074024710651E-2</v>
      </c>
    </row>
    <row r="80" spans="1:19" x14ac:dyDescent="0.35">
      <c r="A80" s="16" t="s">
        <v>27</v>
      </c>
      <c r="B80" s="12"/>
      <c r="C80" s="12">
        <v>1.1000000000000001</v>
      </c>
      <c r="D80" s="12"/>
      <c r="E80" s="12"/>
      <c r="F80" s="12"/>
      <c r="G80" s="12">
        <v>6.68</v>
      </c>
      <c r="H80" s="12"/>
      <c r="I80" s="12"/>
      <c r="J80" s="12"/>
      <c r="K80" s="12"/>
      <c r="L80" s="12"/>
      <c r="M80" s="12"/>
      <c r="N80" s="12">
        <f t="shared" si="6"/>
        <v>7.7799999999999994</v>
      </c>
      <c r="Q80" s="246" t="s">
        <v>158</v>
      </c>
      <c r="R80" s="212">
        <v>101.67</v>
      </c>
      <c r="S80" s="384">
        <f t="shared" si="5"/>
        <v>9.7347013810694678E-3</v>
      </c>
    </row>
    <row r="81" spans="1:19" x14ac:dyDescent="0.35">
      <c r="A81" s="16" t="s">
        <v>28</v>
      </c>
      <c r="B81" s="12"/>
      <c r="C81" s="12"/>
      <c r="D81" s="12"/>
      <c r="E81" s="12"/>
      <c r="F81" s="12">
        <v>182.66</v>
      </c>
      <c r="G81" s="12"/>
      <c r="H81" s="12"/>
      <c r="I81" s="12"/>
      <c r="J81" s="12"/>
      <c r="K81" s="12">
        <v>5.6099999999999994</v>
      </c>
      <c r="L81" s="12"/>
      <c r="M81" s="12"/>
      <c r="N81" s="12">
        <f t="shared" si="6"/>
        <v>188.26999999999998</v>
      </c>
      <c r="Q81" s="246" t="s">
        <v>153</v>
      </c>
      <c r="R81" s="212">
        <v>83.09</v>
      </c>
      <c r="S81" s="384">
        <f t="shared" si="5"/>
        <v>7.9557031351732282E-3</v>
      </c>
    </row>
    <row r="82" spans="1:19" x14ac:dyDescent="0.35">
      <c r="A82" s="16" t="s">
        <v>29</v>
      </c>
      <c r="B82" s="12">
        <v>0.01</v>
      </c>
      <c r="C82" s="12"/>
      <c r="D82" s="12"/>
      <c r="E82" s="12"/>
      <c r="F82" s="12"/>
      <c r="G82" s="12"/>
      <c r="H82" s="12"/>
      <c r="I82" s="12"/>
      <c r="J82" s="12"/>
      <c r="K82" s="12"/>
      <c r="L82" s="12"/>
      <c r="M82" s="12"/>
      <c r="N82" s="12">
        <f t="shared" si="6"/>
        <v>0.01</v>
      </c>
      <c r="Q82" s="246" t="s">
        <v>156</v>
      </c>
      <c r="R82" s="212">
        <v>58.66</v>
      </c>
      <c r="S82" s="384">
        <f t="shared" si="5"/>
        <v>5.6165789614786559E-3</v>
      </c>
    </row>
    <row r="83" spans="1:19" x14ac:dyDescent="0.35">
      <c r="A83" s="16" t="s">
        <v>30</v>
      </c>
      <c r="B83" s="12"/>
      <c r="C83" s="12">
        <v>171.82999999999998</v>
      </c>
      <c r="D83" s="12"/>
      <c r="E83" s="12"/>
      <c r="F83" s="12">
        <v>21.909999999999997</v>
      </c>
      <c r="G83" s="12">
        <v>23.659999999999997</v>
      </c>
      <c r="H83" s="12">
        <v>4.87</v>
      </c>
      <c r="I83" s="12"/>
      <c r="J83" s="12"/>
      <c r="K83" s="12"/>
      <c r="L83" s="12"/>
      <c r="M83" s="12"/>
      <c r="N83" s="12">
        <f t="shared" si="6"/>
        <v>222.26999999999998</v>
      </c>
      <c r="Q83" s="246" t="s">
        <v>157</v>
      </c>
      <c r="R83" s="212">
        <v>24.08</v>
      </c>
      <c r="S83" s="384">
        <f t="shared" si="5"/>
        <v>2.3056123660485173E-3</v>
      </c>
    </row>
    <row r="84" spans="1:19" x14ac:dyDescent="0.35">
      <c r="A84" s="245" t="s">
        <v>12</v>
      </c>
      <c r="B84" s="246"/>
      <c r="C84" s="246"/>
      <c r="D84" s="246"/>
      <c r="E84" s="246"/>
      <c r="F84" s="246">
        <v>33.269999999999996</v>
      </c>
      <c r="G84" s="246">
        <v>13.059999999999999</v>
      </c>
      <c r="H84" s="246"/>
      <c r="I84" s="246"/>
      <c r="J84" s="246"/>
      <c r="K84" s="246">
        <v>21.25</v>
      </c>
      <c r="L84" s="246"/>
      <c r="M84" s="246"/>
      <c r="N84" s="246">
        <f t="shared" si="6"/>
        <v>67.58</v>
      </c>
      <c r="Q84" s="246" t="s">
        <v>154</v>
      </c>
      <c r="R84" s="212">
        <v>14.77</v>
      </c>
      <c r="S84" s="384">
        <f t="shared" si="5"/>
        <v>1.4141982826634801E-3</v>
      </c>
    </row>
    <row r="85" spans="1:19" x14ac:dyDescent="0.35">
      <c r="A85" s="6" t="s">
        <v>31</v>
      </c>
      <c r="B85" s="12"/>
      <c r="C85" s="12"/>
      <c r="D85" s="12"/>
      <c r="E85" s="12"/>
      <c r="F85" s="12">
        <v>1.92</v>
      </c>
      <c r="G85" s="12"/>
      <c r="H85" s="12"/>
      <c r="I85" s="12"/>
      <c r="J85" s="12"/>
      <c r="K85" s="12"/>
      <c r="L85" s="12"/>
      <c r="M85" s="12"/>
      <c r="N85" s="12">
        <f t="shared" si="6"/>
        <v>1.92</v>
      </c>
      <c r="Q85" s="246" t="s">
        <v>122</v>
      </c>
      <c r="R85" s="212"/>
      <c r="S85" s="384">
        <f t="shared" ref="S85:S87" si="7">R85/$R$87</f>
        <v>0</v>
      </c>
    </row>
    <row r="86" spans="1:19" x14ac:dyDescent="0.35">
      <c r="A86" s="6" t="s">
        <v>32</v>
      </c>
      <c r="B86" s="12"/>
      <c r="C86" s="12"/>
      <c r="D86" s="12"/>
      <c r="E86" s="12"/>
      <c r="F86" s="12">
        <v>10.959999999999999</v>
      </c>
      <c r="G86" s="12">
        <v>1.59</v>
      </c>
      <c r="H86" s="12"/>
      <c r="I86" s="12"/>
      <c r="J86" s="12"/>
      <c r="K86" s="12">
        <v>7.7200000000000006</v>
      </c>
      <c r="L86" s="12"/>
      <c r="M86" s="12"/>
      <c r="N86" s="12">
        <f t="shared" si="6"/>
        <v>20.27</v>
      </c>
      <c r="Q86" s="246" t="s">
        <v>123</v>
      </c>
      <c r="R86" s="212">
        <v>1356.78</v>
      </c>
      <c r="S86" s="22">
        <f t="shared" si="7"/>
        <v>0.12990900108003769</v>
      </c>
    </row>
    <row r="87" spans="1:19" x14ac:dyDescent="0.35">
      <c r="A87" s="6" t="s">
        <v>33</v>
      </c>
      <c r="B87" s="12"/>
      <c r="C87" s="12"/>
      <c r="D87" s="12"/>
      <c r="E87" s="12"/>
      <c r="F87" s="12">
        <v>20.39</v>
      </c>
      <c r="G87" s="12">
        <v>11.469999999999999</v>
      </c>
      <c r="H87" s="12"/>
      <c r="I87" s="12"/>
      <c r="J87" s="12"/>
      <c r="K87" s="12">
        <v>13.530000000000001</v>
      </c>
      <c r="L87" s="12"/>
      <c r="M87" s="12"/>
      <c r="N87" s="12">
        <f t="shared" si="6"/>
        <v>45.39</v>
      </c>
      <c r="Q87" s="243" t="s">
        <v>130</v>
      </c>
      <c r="R87" s="259">
        <v>10444.08</v>
      </c>
      <c r="S87" s="260">
        <f t="shared" si="7"/>
        <v>1</v>
      </c>
    </row>
    <row r="88" spans="1:19" x14ac:dyDescent="0.35">
      <c r="A88" s="245" t="s">
        <v>13</v>
      </c>
      <c r="B88" s="246"/>
      <c r="C88" s="246"/>
      <c r="D88" s="246"/>
      <c r="E88" s="246">
        <v>0.36</v>
      </c>
      <c r="F88" s="246">
        <v>66.909999999999982</v>
      </c>
      <c r="G88" s="246"/>
      <c r="H88" s="246"/>
      <c r="I88" s="246">
        <v>2.52</v>
      </c>
      <c r="J88" s="246">
        <v>0.06</v>
      </c>
      <c r="K88" s="246">
        <v>5.99</v>
      </c>
      <c r="L88" s="246"/>
      <c r="M88" s="246"/>
      <c r="N88" s="246">
        <f t="shared" si="6"/>
        <v>75.839999999999975</v>
      </c>
    </row>
    <row r="89" spans="1:19" x14ac:dyDescent="0.35">
      <c r="A89" s="6" t="s">
        <v>34</v>
      </c>
      <c r="B89" s="12"/>
      <c r="C89" s="12"/>
      <c r="D89" s="12"/>
      <c r="E89" s="12"/>
      <c r="F89" s="12">
        <v>1.58</v>
      </c>
      <c r="G89" s="12"/>
      <c r="H89" s="12"/>
      <c r="I89" s="12"/>
      <c r="J89" s="12"/>
      <c r="K89" s="12"/>
      <c r="L89" s="12"/>
      <c r="M89" s="12"/>
      <c r="N89" s="12">
        <f t="shared" si="6"/>
        <v>1.58</v>
      </c>
    </row>
    <row r="90" spans="1:19" x14ac:dyDescent="0.35">
      <c r="A90" s="6" t="s">
        <v>61</v>
      </c>
      <c r="B90" s="12"/>
      <c r="C90" s="12"/>
      <c r="D90" s="12"/>
      <c r="E90" s="12"/>
      <c r="F90" s="12"/>
      <c r="G90" s="12"/>
      <c r="H90" s="12"/>
      <c r="I90" s="12"/>
      <c r="J90" s="12">
        <v>0.06</v>
      </c>
      <c r="K90" s="12">
        <v>5.99</v>
      </c>
      <c r="L90" s="12"/>
      <c r="M90" s="12"/>
      <c r="N90" s="12">
        <f t="shared" si="6"/>
        <v>6.05</v>
      </c>
    </row>
    <row r="91" spans="1:19" x14ac:dyDescent="0.35">
      <c r="A91" s="6" t="s">
        <v>36</v>
      </c>
      <c r="B91" s="12"/>
      <c r="C91" s="12"/>
      <c r="D91" s="12"/>
      <c r="E91" s="12">
        <v>0.36</v>
      </c>
      <c r="F91" s="12">
        <v>65.329999999999984</v>
      </c>
      <c r="G91" s="12"/>
      <c r="H91" s="12"/>
      <c r="I91" s="12">
        <v>2.52</v>
      </c>
      <c r="J91" s="12"/>
      <c r="K91" s="12"/>
      <c r="L91" s="12"/>
      <c r="M91" s="12"/>
      <c r="N91" s="12">
        <f t="shared" si="6"/>
        <v>68.20999999999998</v>
      </c>
    </row>
    <row r="92" spans="1:19" x14ac:dyDescent="0.35">
      <c r="A92" s="245" t="s">
        <v>16</v>
      </c>
      <c r="B92" s="246"/>
      <c r="C92" s="246"/>
      <c r="D92" s="246"/>
      <c r="E92" s="246"/>
      <c r="F92" s="246">
        <v>350.96</v>
      </c>
      <c r="G92" s="246">
        <v>2.3899999999999997</v>
      </c>
      <c r="H92" s="246">
        <v>29.919999999999995</v>
      </c>
      <c r="I92" s="246"/>
      <c r="J92" s="246">
        <v>6.65</v>
      </c>
      <c r="K92" s="246">
        <v>15.98</v>
      </c>
      <c r="L92" s="246"/>
      <c r="M92" s="246">
        <v>28.299999999999997</v>
      </c>
      <c r="N92" s="246">
        <f t="shared" si="6"/>
        <v>434.2</v>
      </c>
    </row>
    <row r="93" spans="1:19" x14ac:dyDescent="0.35">
      <c r="A93" s="6" t="s">
        <v>46</v>
      </c>
      <c r="B93" s="12"/>
      <c r="C93" s="12"/>
      <c r="D93" s="12"/>
      <c r="E93" s="12"/>
      <c r="F93" s="12">
        <v>8.879999999999999</v>
      </c>
      <c r="G93" s="12"/>
      <c r="H93" s="12"/>
      <c r="I93" s="12"/>
      <c r="J93" s="12"/>
      <c r="K93" s="12"/>
      <c r="L93" s="12"/>
      <c r="M93" s="12"/>
      <c r="N93" s="12">
        <f t="shared" si="6"/>
        <v>8.879999999999999</v>
      </c>
    </row>
    <row r="94" spans="1:19" x14ac:dyDescent="0.35">
      <c r="A94" s="6" t="s">
        <v>47</v>
      </c>
      <c r="B94" s="12"/>
      <c r="C94" s="12"/>
      <c r="D94" s="12"/>
      <c r="E94" s="12"/>
      <c r="F94" s="12"/>
      <c r="G94" s="12"/>
      <c r="H94" s="12"/>
      <c r="I94" s="12"/>
      <c r="J94" s="12"/>
      <c r="K94" s="12"/>
      <c r="L94" s="12"/>
      <c r="M94" s="12">
        <v>14.93</v>
      </c>
      <c r="N94" s="12">
        <f t="shared" si="6"/>
        <v>14.93</v>
      </c>
    </row>
    <row r="95" spans="1:19" x14ac:dyDescent="0.35">
      <c r="A95" s="6" t="s">
        <v>48</v>
      </c>
      <c r="B95" s="12"/>
      <c r="C95" s="12"/>
      <c r="D95" s="12"/>
      <c r="E95" s="12"/>
      <c r="F95" s="12">
        <v>3.87</v>
      </c>
      <c r="G95" s="12"/>
      <c r="H95" s="12"/>
      <c r="I95" s="12"/>
      <c r="J95" s="12"/>
      <c r="K95" s="12"/>
      <c r="L95" s="12"/>
      <c r="M95" s="12"/>
      <c r="N95" s="12">
        <f t="shared" si="6"/>
        <v>3.87</v>
      </c>
    </row>
    <row r="96" spans="1:19" x14ac:dyDescent="0.35">
      <c r="A96" s="6" t="s">
        <v>49</v>
      </c>
      <c r="B96" s="12"/>
      <c r="C96" s="12"/>
      <c r="D96" s="12"/>
      <c r="E96" s="12"/>
      <c r="F96" s="12">
        <v>1.81</v>
      </c>
      <c r="G96" s="12"/>
      <c r="H96" s="12"/>
      <c r="I96" s="12"/>
      <c r="J96" s="12"/>
      <c r="K96" s="12"/>
      <c r="L96" s="12"/>
      <c r="M96" s="12"/>
      <c r="N96" s="12">
        <f t="shared" si="6"/>
        <v>1.81</v>
      </c>
    </row>
    <row r="97" spans="1:14" x14ac:dyDescent="0.35">
      <c r="A97" s="6" t="s">
        <v>50</v>
      </c>
      <c r="B97" s="12"/>
      <c r="C97" s="12"/>
      <c r="D97" s="12"/>
      <c r="E97" s="12"/>
      <c r="F97" s="12">
        <v>19.349999999999998</v>
      </c>
      <c r="G97" s="12"/>
      <c r="H97" s="12"/>
      <c r="I97" s="12"/>
      <c r="J97" s="12"/>
      <c r="K97" s="12"/>
      <c r="L97" s="12"/>
      <c r="M97" s="12"/>
      <c r="N97" s="12">
        <f t="shared" si="6"/>
        <v>19.349999999999998</v>
      </c>
    </row>
    <row r="98" spans="1:14" x14ac:dyDescent="0.35">
      <c r="A98" s="6" t="s">
        <v>51</v>
      </c>
      <c r="B98" s="12"/>
      <c r="C98" s="12"/>
      <c r="D98" s="12"/>
      <c r="E98" s="12"/>
      <c r="F98" s="12"/>
      <c r="G98" s="12"/>
      <c r="H98" s="12"/>
      <c r="I98" s="12"/>
      <c r="J98" s="12"/>
      <c r="K98" s="12"/>
      <c r="L98" s="12"/>
      <c r="M98" s="12"/>
      <c r="N98" s="12">
        <f t="shared" si="6"/>
        <v>0</v>
      </c>
    </row>
    <row r="99" spans="1:14" x14ac:dyDescent="0.35">
      <c r="A99" s="6" t="s">
        <v>52</v>
      </c>
      <c r="B99" s="12"/>
      <c r="C99" s="12"/>
      <c r="D99" s="12"/>
      <c r="E99" s="12"/>
      <c r="F99" s="12"/>
      <c r="G99" s="12"/>
      <c r="H99" s="12"/>
      <c r="I99" s="12"/>
      <c r="J99" s="12"/>
      <c r="K99" s="12"/>
      <c r="L99" s="12"/>
      <c r="M99" s="12"/>
      <c r="N99" s="12">
        <f t="shared" si="6"/>
        <v>0</v>
      </c>
    </row>
    <row r="100" spans="1:14" x14ac:dyDescent="0.35">
      <c r="A100" s="6" t="s">
        <v>53</v>
      </c>
      <c r="B100" s="12"/>
      <c r="C100" s="12"/>
      <c r="D100" s="12"/>
      <c r="E100" s="12"/>
      <c r="F100" s="12">
        <v>66.62</v>
      </c>
      <c r="G100" s="12">
        <v>1.21</v>
      </c>
      <c r="H100" s="12">
        <v>27.519999999999996</v>
      </c>
      <c r="I100" s="12"/>
      <c r="J100" s="12"/>
      <c r="K100" s="12">
        <v>8.69</v>
      </c>
      <c r="L100" s="12"/>
      <c r="M100" s="12"/>
      <c r="N100" s="12">
        <f t="shared" si="6"/>
        <v>104.03999999999999</v>
      </c>
    </row>
    <row r="101" spans="1:14" x14ac:dyDescent="0.35">
      <c r="A101" s="6" t="s">
        <v>54</v>
      </c>
      <c r="B101" s="12"/>
      <c r="C101" s="12"/>
      <c r="D101" s="12"/>
      <c r="E101" s="12"/>
      <c r="F101" s="12">
        <v>250.42999999999998</v>
      </c>
      <c r="G101" s="12">
        <v>1.18</v>
      </c>
      <c r="H101" s="12">
        <v>2.4</v>
      </c>
      <c r="I101" s="12"/>
      <c r="J101" s="12">
        <v>6.65</v>
      </c>
      <c r="K101" s="12">
        <v>7.29</v>
      </c>
      <c r="L101" s="12"/>
      <c r="M101" s="12">
        <v>13.37</v>
      </c>
      <c r="N101" s="12">
        <f t="shared" si="6"/>
        <v>281.32</v>
      </c>
    </row>
    <row r="102" spans="1:14" x14ac:dyDescent="0.35">
      <c r="A102" s="245" t="s">
        <v>15</v>
      </c>
      <c r="B102" s="246">
        <v>0.43</v>
      </c>
      <c r="C102" s="246">
        <v>28.830000000000002</v>
      </c>
      <c r="D102" s="246">
        <v>23.689999999999998</v>
      </c>
      <c r="E102" s="246">
        <v>101.12</v>
      </c>
      <c r="F102" s="246">
        <v>5612.6399999999994</v>
      </c>
      <c r="G102" s="246">
        <v>280.12</v>
      </c>
      <c r="H102" s="246">
        <v>123.11000000000001</v>
      </c>
      <c r="I102" s="246">
        <v>16.720000000000002</v>
      </c>
      <c r="J102" s="246">
        <v>16.77</v>
      </c>
      <c r="K102" s="246">
        <v>693.21999999999991</v>
      </c>
      <c r="L102" s="246"/>
      <c r="M102" s="246">
        <v>1303.4100000000001</v>
      </c>
      <c r="N102" s="246">
        <f t="shared" si="6"/>
        <v>8200.06</v>
      </c>
    </row>
    <row r="103" spans="1:14" x14ac:dyDescent="0.35">
      <c r="A103" s="6" t="s">
        <v>41</v>
      </c>
      <c r="B103" s="12">
        <v>0.43</v>
      </c>
      <c r="C103" s="12">
        <v>26.900000000000002</v>
      </c>
      <c r="D103" s="12">
        <v>9</v>
      </c>
      <c r="E103" s="12">
        <v>52.19</v>
      </c>
      <c r="F103" s="12">
        <v>1557.2399999999996</v>
      </c>
      <c r="G103" s="12">
        <v>77.289999999999992</v>
      </c>
      <c r="H103" s="12">
        <v>26.39</v>
      </c>
      <c r="I103" s="12"/>
      <c r="J103" s="12">
        <v>16.77</v>
      </c>
      <c r="K103" s="12">
        <v>189.74999999999997</v>
      </c>
      <c r="L103" s="12"/>
      <c r="M103" s="12">
        <v>312.72000000000014</v>
      </c>
      <c r="N103" s="12">
        <f t="shared" si="6"/>
        <v>2268.6799999999998</v>
      </c>
    </row>
    <row r="104" spans="1:14" x14ac:dyDescent="0.35">
      <c r="A104" s="6" t="s">
        <v>42</v>
      </c>
      <c r="B104" s="12"/>
      <c r="C104" s="12">
        <v>1.86</v>
      </c>
      <c r="D104" s="12"/>
      <c r="E104" s="12">
        <v>38.250000000000007</v>
      </c>
      <c r="F104" s="12">
        <v>1715.15</v>
      </c>
      <c r="G104" s="12">
        <v>48.69</v>
      </c>
      <c r="H104" s="12">
        <v>50.290000000000006</v>
      </c>
      <c r="I104" s="12"/>
      <c r="J104" s="12"/>
      <c r="K104" s="12">
        <v>225.11</v>
      </c>
      <c r="L104" s="12"/>
      <c r="M104" s="12">
        <v>313.61999999999995</v>
      </c>
      <c r="N104" s="12">
        <f t="shared" si="6"/>
        <v>2392.9699999999998</v>
      </c>
    </row>
    <row r="105" spans="1:14" x14ac:dyDescent="0.35">
      <c r="A105" s="6" t="s">
        <v>43</v>
      </c>
      <c r="B105" s="12"/>
      <c r="C105" s="12"/>
      <c r="D105" s="12"/>
      <c r="E105" s="12">
        <v>8.36</v>
      </c>
      <c r="F105" s="12">
        <v>799.53999999999962</v>
      </c>
      <c r="G105" s="12">
        <v>58.9</v>
      </c>
      <c r="H105" s="12"/>
      <c r="I105" s="12">
        <v>0.86</v>
      </c>
      <c r="J105" s="12"/>
      <c r="K105" s="12">
        <v>91.789999999999992</v>
      </c>
      <c r="L105" s="12"/>
      <c r="M105" s="12">
        <v>434.00999999999993</v>
      </c>
      <c r="N105" s="12">
        <f t="shared" si="6"/>
        <v>1393.4599999999996</v>
      </c>
    </row>
    <row r="106" spans="1:14" x14ac:dyDescent="0.35">
      <c r="A106" s="6" t="s">
        <v>44</v>
      </c>
      <c r="B106" s="12"/>
      <c r="C106" s="12"/>
      <c r="D106" s="12"/>
      <c r="E106" s="12"/>
      <c r="F106" s="12">
        <v>28.979999999999997</v>
      </c>
      <c r="G106" s="12">
        <v>7.87</v>
      </c>
      <c r="H106" s="12"/>
      <c r="I106" s="12"/>
      <c r="J106" s="12"/>
      <c r="K106" s="12">
        <v>2.14</v>
      </c>
      <c r="L106" s="12"/>
      <c r="M106" s="12">
        <v>8.2900000000000009</v>
      </c>
      <c r="N106" s="12">
        <f t="shared" si="6"/>
        <v>47.279999999999994</v>
      </c>
    </row>
    <row r="107" spans="1:14" x14ac:dyDescent="0.35">
      <c r="A107" s="6" t="s">
        <v>45</v>
      </c>
      <c r="B107" s="12"/>
      <c r="C107" s="12">
        <v>7.0000000000000007E-2</v>
      </c>
      <c r="D107" s="12">
        <v>14.69</v>
      </c>
      <c r="E107" s="12">
        <v>2.3200000000000003</v>
      </c>
      <c r="F107" s="12">
        <v>1511.7300000000007</v>
      </c>
      <c r="G107" s="12">
        <v>87.36999999999999</v>
      </c>
      <c r="H107" s="12">
        <v>46.430000000000007</v>
      </c>
      <c r="I107" s="12">
        <v>15.860000000000001</v>
      </c>
      <c r="J107" s="12"/>
      <c r="K107" s="12">
        <v>184.42999999999992</v>
      </c>
      <c r="L107" s="12"/>
      <c r="M107" s="12">
        <v>234.76999999999998</v>
      </c>
      <c r="N107" s="12">
        <f t="shared" si="6"/>
        <v>2097.67</v>
      </c>
    </row>
    <row r="108" spans="1:14" x14ac:dyDescent="0.35">
      <c r="A108" s="245" t="s">
        <v>14</v>
      </c>
      <c r="B108" s="246"/>
      <c r="C108" s="246"/>
      <c r="D108" s="246"/>
      <c r="E108" s="246"/>
      <c r="F108" s="246">
        <v>2.95</v>
      </c>
      <c r="G108" s="246"/>
      <c r="H108" s="246"/>
      <c r="I108" s="246"/>
      <c r="J108" s="246"/>
      <c r="K108" s="246">
        <v>3.0700000000000003</v>
      </c>
      <c r="L108" s="246"/>
      <c r="M108" s="246"/>
      <c r="N108" s="246">
        <f t="shared" si="6"/>
        <v>6.0200000000000005</v>
      </c>
    </row>
    <row r="109" spans="1:14" x14ac:dyDescent="0.35">
      <c r="A109" s="6" t="s">
        <v>37</v>
      </c>
      <c r="B109" s="12"/>
      <c r="C109" s="12"/>
      <c r="D109" s="12"/>
      <c r="E109" s="12"/>
      <c r="F109" s="12"/>
      <c r="G109" s="12"/>
      <c r="H109" s="12"/>
      <c r="I109" s="12"/>
      <c r="J109" s="12"/>
      <c r="K109" s="12">
        <v>0.4</v>
      </c>
      <c r="L109" s="12"/>
      <c r="M109" s="12"/>
      <c r="N109" s="12">
        <f t="shared" si="6"/>
        <v>0.4</v>
      </c>
    </row>
    <row r="110" spans="1:14" x14ac:dyDescent="0.35">
      <c r="A110" s="6" t="s">
        <v>38</v>
      </c>
      <c r="B110" s="12"/>
      <c r="C110" s="12"/>
      <c r="D110" s="12"/>
      <c r="E110" s="12"/>
      <c r="F110" s="12"/>
      <c r="G110" s="12"/>
      <c r="H110" s="12"/>
      <c r="I110" s="12"/>
      <c r="J110" s="12"/>
      <c r="K110" s="12"/>
      <c r="L110" s="12"/>
      <c r="M110" s="12"/>
      <c r="N110" s="12">
        <f t="shared" si="6"/>
        <v>0</v>
      </c>
    </row>
    <row r="111" spans="1:14" x14ac:dyDescent="0.35">
      <c r="A111" s="6" t="s">
        <v>39</v>
      </c>
      <c r="B111" s="12"/>
      <c r="C111" s="12"/>
      <c r="D111" s="12"/>
      <c r="E111" s="12"/>
      <c r="F111" s="12">
        <v>2.95</v>
      </c>
      <c r="G111" s="12"/>
      <c r="H111" s="12"/>
      <c r="I111" s="12"/>
      <c r="J111" s="12"/>
      <c r="K111" s="12">
        <v>0.78</v>
      </c>
      <c r="L111" s="12"/>
      <c r="M111" s="12"/>
      <c r="N111" s="12">
        <f t="shared" si="6"/>
        <v>3.7300000000000004</v>
      </c>
    </row>
    <row r="112" spans="1:14" x14ac:dyDescent="0.35">
      <c r="A112" s="6" t="s">
        <v>40</v>
      </c>
      <c r="B112" s="12"/>
      <c r="C112" s="12"/>
      <c r="D112" s="12"/>
      <c r="E112" s="12"/>
      <c r="F112" s="12"/>
      <c r="G112" s="12"/>
      <c r="H112" s="12"/>
      <c r="I112" s="12"/>
      <c r="J112" s="12"/>
      <c r="K112" s="12">
        <v>1.89</v>
      </c>
      <c r="L112" s="12"/>
      <c r="M112" s="12"/>
      <c r="N112" s="12">
        <f t="shared" si="6"/>
        <v>1.89</v>
      </c>
    </row>
    <row r="113" spans="1:14" x14ac:dyDescent="0.35">
      <c r="A113" s="245" t="s">
        <v>17</v>
      </c>
      <c r="B113" s="246">
        <v>3.6599999999999997</v>
      </c>
      <c r="C113" s="246">
        <v>0.12</v>
      </c>
      <c r="D113" s="246">
        <v>0.39</v>
      </c>
      <c r="E113" s="246"/>
      <c r="F113" s="246">
        <v>99.740000000000009</v>
      </c>
      <c r="G113" s="246">
        <v>48.069999999999993</v>
      </c>
      <c r="H113" s="246"/>
      <c r="I113" s="246"/>
      <c r="J113" s="246"/>
      <c r="K113" s="246">
        <v>50.750000000000007</v>
      </c>
      <c r="L113" s="246"/>
      <c r="M113" s="246">
        <v>5.57</v>
      </c>
      <c r="N113" s="246">
        <f t="shared" si="6"/>
        <v>208.3</v>
      </c>
    </row>
    <row r="114" spans="1:14" x14ac:dyDescent="0.35">
      <c r="A114" s="6" t="s">
        <v>55</v>
      </c>
      <c r="B114" s="12">
        <v>3.6199999999999997</v>
      </c>
      <c r="C114" s="12">
        <v>0.12</v>
      </c>
      <c r="D114" s="12"/>
      <c r="E114" s="12"/>
      <c r="F114" s="12">
        <v>91.87</v>
      </c>
      <c r="G114" s="12">
        <v>38.739999999999995</v>
      </c>
      <c r="H114" s="12"/>
      <c r="I114" s="12"/>
      <c r="J114" s="12"/>
      <c r="K114" s="12">
        <v>50.750000000000007</v>
      </c>
      <c r="L114" s="12"/>
      <c r="M114" s="12">
        <v>5.57</v>
      </c>
      <c r="N114" s="12">
        <f t="shared" si="6"/>
        <v>190.67</v>
      </c>
    </row>
    <row r="115" spans="1:14" x14ac:dyDescent="0.35">
      <c r="A115" s="6" t="s">
        <v>56</v>
      </c>
      <c r="B115" s="12">
        <v>0.04</v>
      </c>
      <c r="C115" s="12"/>
      <c r="D115" s="12">
        <v>0.39</v>
      </c>
      <c r="E115" s="12"/>
      <c r="F115" s="12">
        <v>7.870000000000001</v>
      </c>
      <c r="G115" s="12">
        <v>9.33</v>
      </c>
      <c r="H115" s="12"/>
      <c r="I115" s="12"/>
      <c r="J115" s="12"/>
      <c r="K115" s="12"/>
      <c r="L115" s="12"/>
      <c r="M115" s="12"/>
      <c r="N115" s="12">
        <f t="shared" si="6"/>
        <v>17.630000000000003</v>
      </c>
    </row>
    <row r="116" spans="1:14" x14ac:dyDescent="0.35">
      <c r="A116" s="245" t="s">
        <v>64</v>
      </c>
      <c r="B116" s="246"/>
      <c r="C116" s="246"/>
      <c r="D116" s="246"/>
      <c r="E116" s="246"/>
      <c r="F116" s="246"/>
      <c r="G116" s="246"/>
      <c r="H116" s="246"/>
      <c r="I116" s="246"/>
      <c r="J116" s="246"/>
      <c r="K116" s="246"/>
      <c r="L116" s="246"/>
      <c r="M116" s="246"/>
      <c r="N116" s="246">
        <f t="shared" si="6"/>
        <v>0</v>
      </c>
    </row>
    <row r="117" spans="1:14" x14ac:dyDescent="0.35">
      <c r="A117" s="16" t="s">
        <v>65</v>
      </c>
      <c r="B117" s="12"/>
      <c r="C117" s="12"/>
      <c r="D117" s="12"/>
      <c r="E117" s="12"/>
      <c r="F117" s="12"/>
      <c r="G117" s="12"/>
      <c r="H117" s="12"/>
      <c r="I117" s="12"/>
      <c r="J117" s="12"/>
      <c r="K117" s="12"/>
      <c r="L117" s="12"/>
      <c r="M117" s="12"/>
      <c r="N117" s="12">
        <f t="shared" si="6"/>
        <v>0</v>
      </c>
    </row>
    <row r="118" spans="1:14" x14ac:dyDescent="0.35">
      <c r="A118" s="16" t="s">
        <v>66</v>
      </c>
      <c r="B118" s="12"/>
      <c r="C118" s="12"/>
      <c r="D118" s="12"/>
      <c r="E118" s="12"/>
      <c r="F118" s="12"/>
      <c r="G118" s="12"/>
      <c r="H118" s="12"/>
      <c r="I118" s="12"/>
      <c r="J118" s="12"/>
      <c r="K118" s="12"/>
      <c r="L118" s="12"/>
      <c r="M118" s="12"/>
      <c r="N118" s="12">
        <f t="shared" si="6"/>
        <v>0</v>
      </c>
    </row>
    <row r="119" spans="1:14" x14ac:dyDescent="0.35">
      <c r="A119" s="245" t="s">
        <v>18</v>
      </c>
      <c r="B119" s="246"/>
      <c r="C119" s="246"/>
      <c r="D119" s="246"/>
      <c r="E119" s="246"/>
      <c r="F119" s="246"/>
      <c r="G119" s="246"/>
      <c r="H119" s="246"/>
      <c r="I119" s="246"/>
      <c r="J119" s="246"/>
      <c r="K119" s="246"/>
      <c r="L119" s="246"/>
      <c r="M119" s="246"/>
      <c r="N119" s="246">
        <f t="shared" si="6"/>
        <v>0</v>
      </c>
    </row>
    <row r="120" spans="1:14" x14ac:dyDescent="0.35">
      <c r="A120" s="6" t="s">
        <v>202</v>
      </c>
      <c r="B120" s="12"/>
      <c r="C120" s="12"/>
      <c r="D120" s="12"/>
      <c r="E120" s="12"/>
      <c r="F120" s="12"/>
      <c r="G120" s="12"/>
      <c r="H120" s="12"/>
      <c r="I120" s="12"/>
      <c r="J120" s="12"/>
      <c r="K120" s="12"/>
      <c r="L120" s="12"/>
      <c r="M120" s="12"/>
      <c r="N120" s="12">
        <f t="shared" si="6"/>
        <v>0</v>
      </c>
    </row>
    <row r="121" spans="1:14" x14ac:dyDescent="0.35">
      <c r="A121" s="245" t="s">
        <v>20</v>
      </c>
      <c r="B121" s="246"/>
      <c r="C121" s="246"/>
      <c r="D121" s="246"/>
      <c r="E121" s="246"/>
      <c r="F121" s="246">
        <v>5.26</v>
      </c>
      <c r="G121" s="246"/>
      <c r="H121" s="246"/>
      <c r="I121" s="246"/>
      <c r="J121" s="246"/>
      <c r="K121" s="246"/>
      <c r="L121" s="246"/>
      <c r="M121" s="246"/>
      <c r="N121" s="246">
        <f t="shared" si="6"/>
        <v>5.26</v>
      </c>
    </row>
    <row r="122" spans="1:14" x14ac:dyDescent="0.35">
      <c r="A122" s="6" t="s">
        <v>20</v>
      </c>
      <c r="B122" s="12"/>
      <c r="C122" s="12"/>
      <c r="D122" s="12"/>
      <c r="E122" s="12"/>
      <c r="F122" s="12">
        <v>5.26</v>
      </c>
      <c r="G122" s="12"/>
      <c r="H122" s="12"/>
      <c r="I122" s="12"/>
      <c r="J122" s="12"/>
      <c r="K122" s="12"/>
      <c r="L122" s="12"/>
      <c r="M122" s="12"/>
      <c r="N122" s="12">
        <f t="shared" si="6"/>
        <v>5.26</v>
      </c>
    </row>
    <row r="123" spans="1:14" x14ac:dyDescent="0.35">
      <c r="A123" s="245" t="s">
        <v>21</v>
      </c>
      <c r="B123" s="246"/>
      <c r="C123" s="246"/>
      <c r="D123" s="246"/>
      <c r="E123" s="246"/>
      <c r="F123" s="246">
        <v>50.889999999999993</v>
      </c>
      <c r="G123" s="246"/>
      <c r="H123" s="246"/>
      <c r="I123" s="246"/>
      <c r="J123" s="246"/>
      <c r="K123" s="246"/>
      <c r="L123" s="246"/>
      <c r="M123" s="246"/>
      <c r="N123" s="246">
        <f t="shared" si="6"/>
        <v>50.889999999999993</v>
      </c>
    </row>
    <row r="124" spans="1:14" x14ac:dyDescent="0.35">
      <c r="A124" s="6" t="s">
        <v>21</v>
      </c>
      <c r="B124" s="12"/>
      <c r="C124" s="12"/>
      <c r="D124" s="12"/>
      <c r="E124" s="12"/>
      <c r="F124" s="12">
        <v>50.889999999999993</v>
      </c>
      <c r="G124" s="12"/>
      <c r="H124" s="12"/>
      <c r="I124" s="12"/>
      <c r="J124" s="12"/>
      <c r="K124" s="12"/>
      <c r="L124" s="12"/>
      <c r="M124" s="12"/>
      <c r="N124" s="12">
        <f t="shared" si="6"/>
        <v>50.889999999999993</v>
      </c>
    </row>
    <row r="125" spans="1:14" x14ac:dyDescent="0.35">
      <c r="A125" s="245" t="s">
        <v>22</v>
      </c>
      <c r="B125" s="246">
        <v>10.67</v>
      </c>
      <c r="C125" s="246"/>
      <c r="D125" s="246"/>
      <c r="E125" s="246"/>
      <c r="F125" s="246">
        <v>124.14999999999999</v>
      </c>
      <c r="G125" s="246">
        <v>32.229999999999997</v>
      </c>
      <c r="H125" s="246"/>
      <c r="I125" s="246">
        <v>63.85</v>
      </c>
      <c r="J125" s="246">
        <v>9.74</v>
      </c>
      <c r="K125" s="246">
        <v>61.84</v>
      </c>
      <c r="L125" s="246"/>
      <c r="M125" s="246"/>
      <c r="N125" s="246">
        <f t="shared" si="6"/>
        <v>302.48</v>
      </c>
    </row>
    <row r="126" spans="1:14" x14ac:dyDescent="0.35">
      <c r="A126" s="6" t="s">
        <v>22</v>
      </c>
      <c r="B126" s="12">
        <v>10.67</v>
      </c>
      <c r="C126" s="12"/>
      <c r="D126" s="12"/>
      <c r="E126" s="12"/>
      <c r="F126" s="12">
        <v>124.14999999999999</v>
      </c>
      <c r="G126" s="12">
        <v>32.229999999999997</v>
      </c>
      <c r="H126" s="12"/>
      <c r="I126" s="12">
        <v>63.85</v>
      </c>
      <c r="J126" s="12">
        <v>9.74</v>
      </c>
      <c r="K126" s="12">
        <v>61.84</v>
      </c>
      <c r="L126" s="12"/>
      <c r="M126" s="12"/>
      <c r="N126" s="12">
        <f t="shared" si="6"/>
        <v>302.48</v>
      </c>
    </row>
    <row r="127" spans="1:14" x14ac:dyDescent="0.35">
      <c r="A127" s="245" t="s">
        <v>23</v>
      </c>
      <c r="B127" s="246"/>
      <c r="C127" s="246"/>
      <c r="D127" s="246"/>
      <c r="E127" s="246">
        <v>0.19</v>
      </c>
      <c r="F127" s="246">
        <v>1.29</v>
      </c>
      <c r="G127" s="246"/>
      <c r="H127" s="246"/>
      <c r="I127" s="246"/>
      <c r="J127" s="246"/>
      <c r="K127" s="246"/>
      <c r="L127" s="246"/>
      <c r="M127" s="246"/>
      <c r="N127" s="246">
        <f t="shared" si="6"/>
        <v>1.48</v>
      </c>
    </row>
    <row r="128" spans="1:14" x14ac:dyDescent="0.35">
      <c r="A128" s="6" t="s">
        <v>23</v>
      </c>
      <c r="B128" s="12"/>
      <c r="C128" s="12"/>
      <c r="D128" s="12"/>
      <c r="E128" s="12">
        <v>0.19</v>
      </c>
      <c r="F128" s="12">
        <v>1.29</v>
      </c>
      <c r="G128" s="12"/>
      <c r="H128" s="12"/>
      <c r="I128" s="12"/>
      <c r="J128" s="12"/>
      <c r="K128" s="12"/>
      <c r="L128" s="12"/>
      <c r="M128" s="12"/>
      <c r="N128" s="12">
        <f t="shared" si="6"/>
        <v>1.48</v>
      </c>
    </row>
    <row r="129" spans="1:19" ht="15.5" x14ac:dyDescent="0.35">
      <c r="A129" s="258" t="s">
        <v>25</v>
      </c>
      <c r="B129" s="251">
        <v>14.77</v>
      </c>
      <c r="C129" s="251">
        <v>201.88</v>
      </c>
      <c r="D129" s="253">
        <v>24.08</v>
      </c>
      <c r="E129" s="255">
        <v>101.67</v>
      </c>
      <c r="F129" s="251">
        <v>6933.5199999999995</v>
      </c>
      <c r="G129" s="256">
        <v>455.47999999999996</v>
      </c>
      <c r="H129" s="249">
        <v>162.26000000000002</v>
      </c>
      <c r="I129" s="248">
        <v>83.09</v>
      </c>
      <c r="J129" s="250">
        <v>58.66</v>
      </c>
      <c r="K129" s="248">
        <v>1051.8899999999999</v>
      </c>
      <c r="L129" s="251"/>
      <c r="M129" s="253">
        <v>1356.78</v>
      </c>
      <c r="N129" s="254">
        <f t="shared" si="6"/>
        <v>10444.08</v>
      </c>
    </row>
    <row r="132" spans="1:19" ht="18.5" x14ac:dyDescent="0.45">
      <c r="A132" s="223"/>
      <c r="B132" s="223"/>
      <c r="C132" s="223"/>
      <c r="D132" s="223"/>
      <c r="E132" s="223"/>
      <c r="F132" s="223"/>
    </row>
    <row r="133" spans="1:19" ht="18.5" x14ac:dyDescent="0.45">
      <c r="A133" s="238" t="s">
        <v>159</v>
      </c>
      <c r="B133" s="221"/>
      <c r="C133" s="221"/>
      <c r="D133" s="221"/>
      <c r="E133" s="221"/>
      <c r="F133" s="223"/>
    </row>
    <row r="134" spans="1:19" ht="15.75" customHeight="1" x14ac:dyDescent="0.35">
      <c r="A134" s="703" t="s">
        <v>88</v>
      </c>
      <c r="B134" s="705" t="s">
        <v>113</v>
      </c>
      <c r="C134" s="705"/>
      <c r="D134" s="705"/>
      <c r="E134" s="705"/>
      <c r="F134" s="705"/>
      <c r="G134" s="705"/>
      <c r="H134" s="705"/>
      <c r="I134" s="705"/>
      <c r="J134" s="705"/>
      <c r="K134" s="705"/>
      <c r="L134" s="705"/>
      <c r="M134" s="705"/>
      <c r="N134" s="705"/>
      <c r="O134" s="228"/>
      <c r="P134" s="228"/>
      <c r="Q134" s="228"/>
      <c r="R134" s="228"/>
    </row>
    <row r="135" spans="1:19" ht="30" customHeight="1" x14ac:dyDescent="0.35">
      <c r="A135" s="704"/>
      <c r="B135" s="244" t="s">
        <v>154</v>
      </c>
      <c r="C135" s="244" t="s">
        <v>152</v>
      </c>
      <c r="D135" s="244" t="s">
        <v>157</v>
      </c>
      <c r="E135" s="244" t="s">
        <v>158</v>
      </c>
      <c r="F135" s="244" t="s">
        <v>149</v>
      </c>
      <c r="G135" s="244" t="s">
        <v>151</v>
      </c>
      <c r="H135" s="244" t="s">
        <v>155</v>
      </c>
      <c r="I135" s="244" t="s">
        <v>153</v>
      </c>
      <c r="J135" s="244" t="s">
        <v>156</v>
      </c>
      <c r="K135" s="244" t="s">
        <v>150</v>
      </c>
      <c r="L135" s="244" t="s">
        <v>122</v>
      </c>
      <c r="M135" s="244" t="s">
        <v>123</v>
      </c>
      <c r="N135" s="244" t="s">
        <v>124</v>
      </c>
      <c r="Q135" s="706" t="s">
        <v>192</v>
      </c>
      <c r="R135" s="707"/>
      <c r="S135" s="708"/>
    </row>
    <row r="136" spans="1:19" x14ac:dyDescent="0.35">
      <c r="A136" s="245" t="s">
        <v>5</v>
      </c>
      <c r="B136" s="246">
        <v>37.789999999999992</v>
      </c>
      <c r="C136" s="246">
        <v>54.09</v>
      </c>
      <c r="D136" s="246">
        <v>28.869999999999997</v>
      </c>
      <c r="E136" s="246">
        <v>3.11</v>
      </c>
      <c r="F136" s="246">
        <v>1999.1999999999987</v>
      </c>
      <c r="G136" s="246">
        <v>346.96999999999997</v>
      </c>
      <c r="H136" s="246">
        <v>130.07000000000002</v>
      </c>
      <c r="I136" s="246">
        <v>132.46</v>
      </c>
      <c r="J136" s="246">
        <v>37.24</v>
      </c>
      <c r="K136" s="246">
        <v>231.34</v>
      </c>
      <c r="L136" s="246"/>
      <c r="M136" s="246">
        <v>48.77</v>
      </c>
      <c r="N136" s="246">
        <f>SUM(B136:M136)</f>
        <v>3049.9099999999985</v>
      </c>
      <c r="Q136" s="246" t="s">
        <v>149</v>
      </c>
      <c r="R136" s="212">
        <v>22461.79</v>
      </c>
      <c r="S136" s="22">
        <f t="shared" ref="S136:S145" si="8">R136/$R$148</f>
        <v>0.66894504813131728</v>
      </c>
    </row>
    <row r="137" spans="1:19" x14ac:dyDescent="0.35">
      <c r="A137" s="16" t="s">
        <v>6</v>
      </c>
      <c r="B137" s="12">
        <v>1.24</v>
      </c>
      <c r="C137" s="12"/>
      <c r="D137" s="12"/>
      <c r="E137" s="12">
        <v>2.94</v>
      </c>
      <c r="F137" s="12">
        <v>61.089999999999996</v>
      </c>
      <c r="G137" s="12">
        <v>4.37</v>
      </c>
      <c r="H137" s="12"/>
      <c r="I137" s="12"/>
      <c r="J137" s="12">
        <v>1.81</v>
      </c>
      <c r="K137" s="12">
        <v>24.689999999999998</v>
      </c>
      <c r="L137" s="12"/>
      <c r="M137" s="12"/>
      <c r="N137" s="12">
        <f t="shared" ref="N137:N190" si="9">SUM(B137:M137)</f>
        <v>96.14</v>
      </c>
      <c r="Q137" s="246" t="s">
        <v>150</v>
      </c>
      <c r="R137" s="212">
        <v>3362.24</v>
      </c>
      <c r="S137" s="22">
        <f t="shared" si="8"/>
        <v>0.10013243818186528</v>
      </c>
    </row>
    <row r="138" spans="1:19" x14ac:dyDescent="0.35">
      <c r="A138" s="16" t="s">
        <v>7</v>
      </c>
      <c r="B138" s="12">
        <v>0.27</v>
      </c>
      <c r="C138" s="12">
        <v>1.03</v>
      </c>
      <c r="D138" s="12"/>
      <c r="E138" s="12"/>
      <c r="F138" s="12">
        <v>33.49</v>
      </c>
      <c r="G138" s="12">
        <v>64.239999999999995</v>
      </c>
      <c r="H138" s="12">
        <v>9.9</v>
      </c>
      <c r="I138" s="12">
        <v>45.67</v>
      </c>
      <c r="J138" s="12"/>
      <c r="K138" s="12">
        <v>35.89</v>
      </c>
      <c r="L138" s="12"/>
      <c r="M138" s="12">
        <v>0.03</v>
      </c>
      <c r="N138" s="12">
        <f t="shared" si="9"/>
        <v>190.52</v>
      </c>
      <c r="Q138" s="246" t="s">
        <v>151</v>
      </c>
      <c r="R138" s="212">
        <v>1369.4799999999998</v>
      </c>
      <c r="S138" s="22">
        <f t="shared" si="8"/>
        <v>4.0785122847060547E-2</v>
      </c>
    </row>
    <row r="139" spans="1:19" x14ac:dyDescent="0.35">
      <c r="A139" s="16" t="s">
        <v>8</v>
      </c>
      <c r="B139" s="12">
        <v>4.5400000000000009</v>
      </c>
      <c r="C139" s="12"/>
      <c r="D139" s="12">
        <v>10.6</v>
      </c>
      <c r="E139" s="12"/>
      <c r="F139" s="12">
        <v>156.14999999999998</v>
      </c>
      <c r="G139" s="12">
        <v>11.32</v>
      </c>
      <c r="H139" s="12"/>
      <c r="I139" s="12">
        <v>2.56</v>
      </c>
      <c r="J139" s="12">
        <v>9.27</v>
      </c>
      <c r="K139" s="12">
        <v>40.58</v>
      </c>
      <c r="L139" s="12"/>
      <c r="M139" s="12">
        <v>5.5500000000000007</v>
      </c>
      <c r="N139" s="12">
        <f t="shared" si="9"/>
        <v>240.57</v>
      </c>
      <c r="Q139" s="246" t="s">
        <v>154</v>
      </c>
      <c r="R139" s="212">
        <v>365.11999999999995</v>
      </c>
      <c r="S139" s="384">
        <f t="shared" si="8"/>
        <v>1.0873809076378442E-2</v>
      </c>
    </row>
    <row r="140" spans="1:19" x14ac:dyDescent="0.35">
      <c r="A140" s="16" t="s">
        <v>26</v>
      </c>
      <c r="B140" s="12">
        <v>19.379999999999995</v>
      </c>
      <c r="C140" s="12"/>
      <c r="D140" s="12"/>
      <c r="E140" s="12"/>
      <c r="F140" s="12">
        <v>1069.8699999999988</v>
      </c>
      <c r="G140" s="12">
        <v>145.64000000000001</v>
      </c>
      <c r="H140" s="12">
        <v>73.490000000000009</v>
      </c>
      <c r="I140" s="12">
        <v>0.84000000000000008</v>
      </c>
      <c r="J140" s="12">
        <v>18.580000000000002</v>
      </c>
      <c r="K140" s="12">
        <v>55.259999999999991</v>
      </c>
      <c r="L140" s="12"/>
      <c r="M140" s="12">
        <v>22.64</v>
      </c>
      <c r="N140" s="12">
        <f t="shared" si="9"/>
        <v>1405.6999999999987</v>
      </c>
      <c r="Q140" s="246" t="s">
        <v>155</v>
      </c>
      <c r="R140" s="212">
        <v>342.45</v>
      </c>
      <c r="S140" s="384">
        <f t="shared" si="8"/>
        <v>1.0198663229091251E-2</v>
      </c>
    </row>
    <row r="141" spans="1:19" x14ac:dyDescent="0.35">
      <c r="A141" s="16" t="s">
        <v>27</v>
      </c>
      <c r="B141" s="12"/>
      <c r="C141" s="12"/>
      <c r="D141" s="12"/>
      <c r="E141" s="12"/>
      <c r="F141" s="12"/>
      <c r="G141" s="12">
        <v>24.23</v>
      </c>
      <c r="H141" s="12"/>
      <c r="I141" s="12">
        <v>4.66</v>
      </c>
      <c r="J141" s="12"/>
      <c r="K141" s="12">
        <v>6.3</v>
      </c>
      <c r="L141" s="12"/>
      <c r="M141" s="12">
        <v>7.71</v>
      </c>
      <c r="N141" s="12">
        <f t="shared" si="9"/>
        <v>42.9</v>
      </c>
      <c r="Q141" s="246" t="s">
        <v>156</v>
      </c>
      <c r="R141" s="212">
        <v>198.71000000000004</v>
      </c>
      <c r="S141" s="384">
        <f t="shared" si="8"/>
        <v>5.9178752233982274E-3</v>
      </c>
    </row>
    <row r="142" spans="1:19" x14ac:dyDescent="0.35">
      <c r="A142" s="16" t="s">
        <v>28</v>
      </c>
      <c r="B142" s="12">
        <v>8.42</v>
      </c>
      <c r="C142" s="12"/>
      <c r="D142" s="12"/>
      <c r="E142" s="12">
        <v>0.17</v>
      </c>
      <c r="F142" s="12">
        <v>304.27999999999992</v>
      </c>
      <c r="G142" s="12"/>
      <c r="H142" s="12">
        <v>1.08</v>
      </c>
      <c r="I142" s="12">
        <v>43.430000000000007</v>
      </c>
      <c r="J142" s="12">
        <v>7.58</v>
      </c>
      <c r="K142" s="12">
        <v>16.149999999999999</v>
      </c>
      <c r="L142" s="12"/>
      <c r="M142" s="12">
        <v>3.81</v>
      </c>
      <c r="N142" s="12">
        <f t="shared" si="9"/>
        <v>384.91999999999985</v>
      </c>
      <c r="Q142" s="246" t="s">
        <v>153</v>
      </c>
      <c r="R142" s="212">
        <v>149.25999999999996</v>
      </c>
      <c r="S142" s="384">
        <f t="shared" si="8"/>
        <v>4.4451817011948013E-3</v>
      </c>
    </row>
    <row r="143" spans="1:19" x14ac:dyDescent="0.35">
      <c r="A143" s="16" t="s">
        <v>29</v>
      </c>
      <c r="B143" s="12">
        <v>3.61</v>
      </c>
      <c r="C143" s="12">
        <v>4.21</v>
      </c>
      <c r="D143" s="12">
        <v>4.17</v>
      </c>
      <c r="E143" s="12"/>
      <c r="F143" s="12">
        <v>369.10999999999996</v>
      </c>
      <c r="G143" s="12">
        <v>32.339999999999996</v>
      </c>
      <c r="H143" s="12">
        <v>17.8</v>
      </c>
      <c r="I143" s="12">
        <v>10.579999999999998</v>
      </c>
      <c r="J143" s="12"/>
      <c r="K143" s="12">
        <v>30.099999999999998</v>
      </c>
      <c r="L143" s="12"/>
      <c r="M143" s="12">
        <v>7.76</v>
      </c>
      <c r="N143" s="12">
        <f t="shared" si="9"/>
        <v>479.67999999999995</v>
      </c>
      <c r="Q143" s="246" t="s">
        <v>152</v>
      </c>
      <c r="R143" s="212">
        <v>132.94999999999999</v>
      </c>
      <c r="S143" s="384">
        <f t="shared" si="8"/>
        <v>3.9594459813335724E-3</v>
      </c>
    </row>
    <row r="144" spans="1:19" x14ac:dyDescent="0.35">
      <c r="A144" s="16" t="s">
        <v>30</v>
      </c>
      <c r="B144" s="12">
        <v>0.33</v>
      </c>
      <c r="C144" s="12">
        <v>48.85</v>
      </c>
      <c r="D144" s="12">
        <v>14.1</v>
      </c>
      <c r="E144" s="12"/>
      <c r="F144" s="12">
        <v>5.21</v>
      </c>
      <c r="G144" s="12">
        <v>64.83</v>
      </c>
      <c r="H144" s="12">
        <v>27.8</v>
      </c>
      <c r="I144" s="12">
        <v>24.72</v>
      </c>
      <c r="J144" s="12"/>
      <c r="K144" s="12">
        <v>22.37</v>
      </c>
      <c r="L144" s="12"/>
      <c r="M144" s="12">
        <v>1.27</v>
      </c>
      <c r="N144" s="12">
        <f t="shared" si="9"/>
        <v>209.48000000000002</v>
      </c>
      <c r="Q144" s="246" t="s">
        <v>158</v>
      </c>
      <c r="R144" s="212">
        <v>76.160000000000011</v>
      </c>
      <c r="S144" s="384">
        <f t="shared" si="8"/>
        <v>2.2681564944593072E-3</v>
      </c>
    </row>
    <row r="145" spans="1:19" x14ac:dyDescent="0.35">
      <c r="A145" s="245" t="s">
        <v>12</v>
      </c>
      <c r="B145" s="246">
        <v>29.029999999999998</v>
      </c>
      <c r="C145" s="246"/>
      <c r="D145" s="246">
        <v>3.4299999999999997</v>
      </c>
      <c r="E145" s="246">
        <v>1.1800000000000002</v>
      </c>
      <c r="F145" s="246">
        <v>221.54000000000002</v>
      </c>
      <c r="G145" s="246">
        <v>20.919999999999998</v>
      </c>
      <c r="H145" s="246">
        <v>2.65</v>
      </c>
      <c r="I145" s="246">
        <v>1.78</v>
      </c>
      <c r="J145" s="246">
        <v>11.010000000000002</v>
      </c>
      <c r="K145" s="246">
        <v>67.290000000000006</v>
      </c>
      <c r="L145" s="246"/>
      <c r="M145" s="246">
        <v>13.749999999999998</v>
      </c>
      <c r="N145" s="246">
        <f t="shared" si="9"/>
        <v>372.58</v>
      </c>
      <c r="Q145" s="246" t="s">
        <v>157</v>
      </c>
      <c r="R145" s="212">
        <v>69.679999999999978</v>
      </c>
      <c r="S145" s="384">
        <f t="shared" si="8"/>
        <v>2.0751725910441764E-3</v>
      </c>
    </row>
    <row r="146" spans="1:19" x14ac:dyDescent="0.35">
      <c r="A146" s="6" t="s">
        <v>31</v>
      </c>
      <c r="B146" s="12"/>
      <c r="C146" s="12"/>
      <c r="D146" s="12"/>
      <c r="E146" s="12"/>
      <c r="F146" s="12">
        <v>26.259999999999998</v>
      </c>
      <c r="G146" s="12"/>
      <c r="H146" s="12"/>
      <c r="I146" s="12"/>
      <c r="J146" s="12">
        <v>5.57</v>
      </c>
      <c r="K146" s="12">
        <v>4.26</v>
      </c>
      <c r="L146" s="12"/>
      <c r="M146" s="12">
        <v>0.45</v>
      </c>
      <c r="N146" s="12">
        <f t="shared" si="9"/>
        <v>36.54</v>
      </c>
      <c r="Q146" s="246" t="s">
        <v>122</v>
      </c>
      <c r="R146" s="212">
        <v>1.56</v>
      </c>
      <c r="S146" s="385">
        <f t="shared" ref="S146:S148" si="10">R146/$R$148</f>
        <v>4.6459087859197995E-5</v>
      </c>
    </row>
    <row r="147" spans="1:19" x14ac:dyDescent="0.35">
      <c r="A147" s="6" t="s">
        <v>32</v>
      </c>
      <c r="B147" s="12">
        <v>20.669999999999998</v>
      </c>
      <c r="C147" s="12"/>
      <c r="D147" s="12"/>
      <c r="E147" s="12">
        <v>0.64</v>
      </c>
      <c r="F147" s="12">
        <v>58.16</v>
      </c>
      <c r="G147" s="12">
        <v>3.75</v>
      </c>
      <c r="H147" s="12">
        <v>0.6</v>
      </c>
      <c r="I147" s="12">
        <v>0.89</v>
      </c>
      <c r="J147" s="12">
        <v>0.13</v>
      </c>
      <c r="K147" s="12">
        <v>31.540000000000003</v>
      </c>
      <c r="L147" s="12"/>
      <c r="M147" s="12">
        <v>10.199999999999999</v>
      </c>
      <c r="N147" s="12">
        <f t="shared" si="9"/>
        <v>126.58</v>
      </c>
      <c r="Q147" s="246" t="s">
        <v>123</v>
      </c>
      <c r="R147" s="212">
        <v>5048.53</v>
      </c>
      <c r="S147" s="22">
        <f t="shared" si="10"/>
        <v>0.15035262745499797</v>
      </c>
    </row>
    <row r="148" spans="1:19" x14ac:dyDescent="0.35">
      <c r="A148" s="6" t="s">
        <v>33</v>
      </c>
      <c r="B148" s="12">
        <v>8.36</v>
      </c>
      <c r="C148" s="12"/>
      <c r="D148" s="12">
        <v>3.4299999999999997</v>
      </c>
      <c r="E148" s="12">
        <v>0.54</v>
      </c>
      <c r="F148" s="12">
        <v>137.12000000000003</v>
      </c>
      <c r="G148" s="12">
        <v>17.169999999999998</v>
      </c>
      <c r="H148" s="12">
        <v>2.0499999999999998</v>
      </c>
      <c r="I148" s="12">
        <v>0.89</v>
      </c>
      <c r="J148" s="12">
        <v>5.3100000000000005</v>
      </c>
      <c r="K148" s="12">
        <v>31.490000000000002</v>
      </c>
      <c r="L148" s="12"/>
      <c r="M148" s="12">
        <v>3.0999999999999996</v>
      </c>
      <c r="N148" s="12">
        <f t="shared" si="9"/>
        <v>209.46000000000004</v>
      </c>
      <c r="Q148" s="243" t="s">
        <v>130</v>
      </c>
      <c r="R148" s="259">
        <v>33577.93</v>
      </c>
      <c r="S148" s="260">
        <f t="shared" si="10"/>
        <v>1</v>
      </c>
    </row>
    <row r="149" spans="1:19" x14ac:dyDescent="0.35">
      <c r="A149" s="245" t="s">
        <v>13</v>
      </c>
      <c r="B149" s="246">
        <v>1.1000000000000001</v>
      </c>
      <c r="C149" s="246">
        <v>0.27</v>
      </c>
      <c r="D149" s="246"/>
      <c r="E149" s="246"/>
      <c r="F149" s="246">
        <v>126.01999999999998</v>
      </c>
      <c r="G149" s="246">
        <v>6.77</v>
      </c>
      <c r="H149" s="246"/>
      <c r="I149" s="246"/>
      <c r="J149" s="246"/>
      <c r="K149" s="246">
        <v>31.58</v>
      </c>
      <c r="L149" s="246"/>
      <c r="M149" s="246">
        <v>2.8400000000000003</v>
      </c>
      <c r="N149" s="246">
        <f t="shared" si="9"/>
        <v>168.58</v>
      </c>
    </row>
    <row r="150" spans="1:19" x14ac:dyDescent="0.35">
      <c r="A150" s="6" t="s">
        <v>34</v>
      </c>
      <c r="B150" s="12"/>
      <c r="C150" s="12"/>
      <c r="D150" s="12"/>
      <c r="E150" s="12"/>
      <c r="F150" s="12">
        <v>0.61</v>
      </c>
      <c r="G150" s="12">
        <v>0.21</v>
      </c>
      <c r="H150" s="12"/>
      <c r="I150" s="12"/>
      <c r="J150" s="12"/>
      <c r="K150" s="12"/>
      <c r="L150" s="12"/>
      <c r="M150" s="12"/>
      <c r="N150" s="12">
        <f t="shared" si="9"/>
        <v>0.82</v>
      </c>
    </row>
    <row r="151" spans="1:19" x14ac:dyDescent="0.35">
      <c r="A151" s="6" t="s">
        <v>61</v>
      </c>
      <c r="B151" s="12"/>
      <c r="C151" s="12"/>
      <c r="D151" s="12"/>
      <c r="E151" s="12"/>
      <c r="F151" s="12">
        <v>1.59</v>
      </c>
      <c r="G151" s="12"/>
      <c r="H151" s="12"/>
      <c r="I151" s="12"/>
      <c r="J151" s="12"/>
      <c r="K151" s="12"/>
      <c r="L151" s="12"/>
      <c r="M151" s="12">
        <v>0.47000000000000003</v>
      </c>
      <c r="N151" s="12">
        <f t="shared" si="9"/>
        <v>2.06</v>
      </c>
    </row>
    <row r="152" spans="1:19" x14ac:dyDescent="0.35">
      <c r="A152" s="6" t="s">
        <v>36</v>
      </c>
      <c r="B152" s="12">
        <v>1.1000000000000001</v>
      </c>
      <c r="C152" s="12">
        <v>0.27</v>
      </c>
      <c r="D152" s="12"/>
      <c r="E152" s="12"/>
      <c r="F152" s="12">
        <v>123.81999999999998</v>
      </c>
      <c r="G152" s="12">
        <v>6.56</v>
      </c>
      <c r="H152" s="12"/>
      <c r="I152" s="12"/>
      <c r="J152" s="12"/>
      <c r="K152" s="12">
        <v>31.58</v>
      </c>
      <c r="L152" s="12"/>
      <c r="M152" s="12">
        <v>2.37</v>
      </c>
      <c r="N152" s="12">
        <f t="shared" si="9"/>
        <v>165.7</v>
      </c>
    </row>
    <row r="153" spans="1:19" x14ac:dyDescent="0.35">
      <c r="A153" s="245" t="s">
        <v>16</v>
      </c>
      <c r="B153" s="246">
        <v>145.79999999999998</v>
      </c>
      <c r="C153" s="246">
        <v>2.48</v>
      </c>
      <c r="D153" s="246"/>
      <c r="E153" s="246"/>
      <c r="F153" s="246">
        <v>881.41999999999985</v>
      </c>
      <c r="G153" s="246">
        <v>12.969999999999999</v>
      </c>
      <c r="H153" s="246">
        <v>28.979999999999997</v>
      </c>
      <c r="I153" s="246">
        <v>0.23</v>
      </c>
      <c r="J153" s="246">
        <v>33.03</v>
      </c>
      <c r="K153" s="246">
        <v>372.34</v>
      </c>
      <c r="L153" s="246"/>
      <c r="M153" s="246">
        <v>44.120000000000005</v>
      </c>
      <c r="N153" s="246">
        <f t="shared" si="9"/>
        <v>1521.37</v>
      </c>
    </row>
    <row r="154" spans="1:19" x14ac:dyDescent="0.35">
      <c r="A154" s="6" t="s">
        <v>46</v>
      </c>
      <c r="B154" s="12">
        <v>6.13</v>
      </c>
      <c r="C154" s="12"/>
      <c r="D154" s="12"/>
      <c r="E154" s="12"/>
      <c r="F154" s="12">
        <v>79.27</v>
      </c>
      <c r="G154" s="12">
        <v>0.05</v>
      </c>
      <c r="H154" s="12"/>
      <c r="I154" s="12"/>
      <c r="J154" s="12">
        <v>4.13</v>
      </c>
      <c r="K154" s="12"/>
      <c r="L154" s="12"/>
      <c r="M154" s="12"/>
      <c r="N154" s="12">
        <f t="shared" si="9"/>
        <v>89.579999999999984</v>
      </c>
    </row>
    <row r="155" spans="1:19" x14ac:dyDescent="0.35">
      <c r="A155" s="6" t="s">
        <v>47</v>
      </c>
      <c r="B155" s="12">
        <v>8.7800000000000011</v>
      </c>
      <c r="C155" s="12"/>
      <c r="D155" s="12"/>
      <c r="E155" s="12"/>
      <c r="F155" s="12">
        <v>37.280000000000008</v>
      </c>
      <c r="G155" s="12"/>
      <c r="H155" s="12">
        <v>2.62</v>
      </c>
      <c r="I155" s="12"/>
      <c r="J155" s="12">
        <v>3.34</v>
      </c>
      <c r="K155" s="12">
        <v>4.8600000000000003</v>
      </c>
      <c r="L155" s="12"/>
      <c r="M155" s="12">
        <v>0.98</v>
      </c>
      <c r="N155" s="12">
        <f t="shared" si="9"/>
        <v>57.860000000000007</v>
      </c>
    </row>
    <row r="156" spans="1:19" x14ac:dyDescent="0.35">
      <c r="A156" s="6" t="s">
        <v>48</v>
      </c>
      <c r="B156" s="12">
        <v>1.3</v>
      </c>
      <c r="C156" s="12"/>
      <c r="D156" s="12"/>
      <c r="E156" s="12"/>
      <c r="F156" s="12">
        <v>6.2899999999999991</v>
      </c>
      <c r="G156" s="12">
        <v>1.29</v>
      </c>
      <c r="H156" s="12"/>
      <c r="I156" s="12"/>
      <c r="J156" s="12">
        <v>1.22</v>
      </c>
      <c r="K156" s="12"/>
      <c r="L156" s="12"/>
      <c r="M156" s="12"/>
      <c r="N156" s="12">
        <f t="shared" si="9"/>
        <v>10.1</v>
      </c>
    </row>
    <row r="157" spans="1:19" x14ac:dyDescent="0.35">
      <c r="A157" s="6" t="s">
        <v>49</v>
      </c>
      <c r="B157" s="12">
        <v>8.51</v>
      </c>
      <c r="C157" s="12"/>
      <c r="D157" s="12"/>
      <c r="E157" s="12"/>
      <c r="F157" s="12">
        <v>51.890000000000008</v>
      </c>
      <c r="G157" s="12"/>
      <c r="H157" s="12"/>
      <c r="I157" s="12"/>
      <c r="J157" s="12">
        <v>0.19</v>
      </c>
      <c r="K157" s="12"/>
      <c r="L157" s="12"/>
      <c r="M157" s="12"/>
      <c r="N157" s="12">
        <f t="shared" si="9"/>
        <v>60.59</v>
      </c>
    </row>
    <row r="158" spans="1:19" x14ac:dyDescent="0.35">
      <c r="A158" s="6" t="s">
        <v>50</v>
      </c>
      <c r="B158" s="12"/>
      <c r="C158" s="12"/>
      <c r="D158" s="12"/>
      <c r="E158" s="12"/>
      <c r="F158" s="12">
        <v>83.479999999999976</v>
      </c>
      <c r="G158" s="12">
        <v>0.78</v>
      </c>
      <c r="H158" s="12">
        <v>1</v>
      </c>
      <c r="I158" s="12"/>
      <c r="J158" s="12">
        <v>13.820000000000002</v>
      </c>
      <c r="K158" s="12">
        <v>11.66</v>
      </c>
      <c r="L158" s="12"/>
      <c r="M158" s="12">
        <v>0.27</v>
      </c>
      <c r="N158" s="12">
        <f t="shared" si="9"/>
        <v>111.00999999999998</v>
      </c>
    </row>
    <row r="159" spans="1:19" x14ac:dyDescent="0.35">
      <c r="A159" s="6" t="s">
        <v>51</v>
      </c>
      <c r="B159" s="12">
        <v>43.48</v>
      </c>
      <c r="C159" s="12"/>
      <c r="D159" s="12"/>
      <c r="E159" s="12"/>
      <c r="F159" s="12">
        <v>79.489999999999966</v>
      </c>
      <c r="G159" s="12">
        <v>10.85</v>
      </c>
      <c r="H159" s="12"/>
      <c r="I159" s="12"/>
      <c r="J159" s="12"/>
      <c r="K159" s="12">
        <v>23.07</v>
      </c>
      <c r="L159" s="12"/>
      <c r="M159" s="12">
        <v>12</v>
      </c>
      <c r="N159" s="12">
        <f t="shared" si="9"/>
        <v>168.88999999999996</v>
      </c>
    </row>
    <row r="160" spans="1:19" x14ac:dyDescent="0.35">
      <c r="A160" s="6" t="s">
        <v>52</v>
      </c>
      <c r="B160" s="12">
        <v>28.740000000000002</v>
      </c>
      <c r="C160" s="12"/>
      <c r="D160" s="12"/>
      <c r="E160" s="12"/>
      <c r="F160" s="12">
        <v>4.29</v>
      </c>
      <c r="G160" s="12"/>
      <c r="H160" s="12"/>
      <c r="I160" s="12"/>
      <c r="J160" s="12"/>
      <c r="K160" s="12"/>
      <c r="L160" s="12"/>
      <c r="M160" s="12"/>
      <c r="N160" s="12">
        <f t="shared" si="9"/>
        <v>33.03</v>
      </c>
    </row>
    <row r="161" spans="1:14" x14ac:dyDescent="0.35">
      <c r="A161" s="6" t="s">
        <v>53</v>
      </c>
      <c r="B161" s="12">
        <v>33.419999999999995</v>
      </c>
      <c r="C161" s="12"/>
      <c r="D161" s="12"/>
      <c r="E161" s="12"/>
      <c r="F161" s="12">
        <v>345.77999999999992</v>
      </c>
      <c r="G161" s="12"/>
      <c r="H161" s="12">
        <v>12.01</v>
      </c>
      <c r="I161" s="12"/>
      <c r="J161" s="12">
        <v>10.330000000000002</v>
      </c>
      <c r="K161" s="12">
        <v>274.43</v>
      </c>
      <c r="L161" s="12"/>
      <c r="M161" s="12"/>
      <c r="N161" s="12">
        <f t="shared" si="9"/>
        <v>675.96999999999991</v>
      </c>
    </row>
    <row r="162" spans="1:14" x14ac:dyDescent="0.35">
      <c r="A162" s="6" t="s">
        <v>54</v>
      </c>
      <c r="B162" s="12">
        <v>15.439999999999998</v>
      </c>
      <c r="C162" s="12">
        <v>2.48</v>
      </c>
      <c r="D162" s="12"/>
      <c r="E162" s="12"/>
      <c r="F162" s="12">
        <v>193.65</v>
      </c>
      <c r="G162" s="12"/>
      <c r="H162" s="12">
        <v>13.349999999999998</v>
      </c>
      <c r="I162" s="12">
        <v>0.23</v>
      </c>
      <c r="J162" s="12"/>
      <c r="K162" s="12">
        <v>58.32</v>
      </c>
      <c r="L162" s="12"/>
      <c r="M162" s="12">
        <v>30.87</v>
      </c>
      <c r="N162" s="12">
        <f t="shared" si="9"/>
        <v>314.33999999999997</v>
      </c>
    </row>
    <row r="163" spans="1:14" x14ac:dyDescent="0.35">
      <c r="A163" s="245" t="s">
        <v>15</v>
      </c>
      <c r="B163" s="246">
        <v>53.26</v>
      </c>
      <c r="C163" s="246">
        <v>58.240000000000009</v>
      </c>
      <c r="D163" s="246">
        <v>35.340000000000003</v>
      </c>
      <c r="E163" s="246">
        <v>71.87</v>
      </c>
      <c r="F163" s="246">
        <v>18316.940000000002</v>
      </c>
      <c r="G163" s="246">
        <v>572.2600000000001</v>
      </c>
      <c r="H163" s="246">
        <v>173.03</v>
      </c>
      <c r="I163" s="246">
        <v>10.88</v>
      </c>
      <c r="J163" s="246">
        <v>111.25</v>
      </c>
      <c r="K163" s="246">
        <v>2114.0599999999995</v>
      </c>
      <c r="L163" s="246">
        <v>1.56</v>
      </c>
      <c r="M163" s="246">
        <v>4885.7</v>
      </c>
      <c r="N163" s="246">
        <f t="shared" si="9"/>
        <v>26404.39</v>
      </c>
    </row>
    <row r="164" spans="1:14" x14ac:dyDescent="0.35">
      <c r="A164" s="6" t="s">
        <v>41</v>
      </c>
      <c r="B164" s="12">
        <v>14.3</v>
      </c>
      <c r="C164" s="12">
        <v>4.28</v>
      </c>
      <c r="D164" s="12">
        <v>4.0199999999999996</v>
      </c>
      <c r="E164" s="12">
        <v>9.1000000000000014</v>
      </c>
      <c r="F164" s="12">
        <v>4135.2500000000036</v>
      </c>
      <c r="G164" s="12">
        <v>95.810000000000031</v>
      </c>
      <c r="H164" s="12">
        <v>77.84</v>
      </c>
      <c r="I164" s="12">
        <v>0.63</v>
      </c>
      <c r="J164" s="12">
        <v>52.660000000000011</v>
      </c>
      <c r="K164" s="12">
        <v>464.08000000000004</v>
      </c>
      <c r="L164" s="12"/>
      <c r="M164" s="12">
        <v>1205.2799999999993</v>
      </c>
      <c r="N164" s="12">
        <f t="shared" si="9"/>
        <v>6063.2500000000036</v>
      </c>
    </row>
    <row r="165" spans="1:14" x14ac:dyDescent="0.35">
      <c r="A165" s="6" t="s">
        <v>42</v>
      </c>
      <c r="B165" s="12">
        <v>7.35</v>
      </c>
      <c r="C165" s="12">
        <v>50.690000000000005</v>
      </c>
      <c r="D165" s="12"/>
      <c r="E165" s="12">
        <v>56.060000000000009</v>
      </c>
      <c r="F165" s="12">
        <v>5340.2499999999964</v>
      </c>
      <c r="G165" s="12">
        <v>190.79000000000005</v>
      </c>
      <c r="H165" s="12">
        <v>34.67</v>
      </c>
      <c r="I165" s="12">
        <v>5.6300000000000008</v>
      </c>
      <c r="J165" s="12">
        <v>29.319999999999997</v>
      </c>
      <c r="K165" s="12">
        <v>698.89999999999986</v>
      </c>
      <c r="L165" s="12"/>
      <c r="M165" s="12">
        <v>1689.600000000001</v>
      </c>
      <c r="N165" s="12">
        <f t="shared" si="9"/>
        <v>8103.2599999999975</v>
      </c>
    </row>
    <row r="166" spans="1:14" x14ac:dyDescent="0.35">
      <c r="A166" s="6" t="s">
        <v>43</v>
      </c>
      <c r="B166" s="12">
        <v>16.350000000000001</v>
      </c>
      <c r="C166" s="12">
        <v>1.49</v>
      </c>
      <c r="D166" s="12"/>
      <c r="E166" s="12">
        <v>1.1000000000000001</v>
      </c>
      <c r="F166" s="12">
        <v>3152.5999999999981</v>
      </c>
      <c r="G166" s="12">
        <v>50.300000000000004</v>
      </c>
      <c r="H166" s="12">
        <v>14.819999999999999</v>
      </c>
      <c r="I166" s="12"/>
      <c r="J166" s="12">
        <v>20.16</v>
      </c>
      <c r="K166" s="12">
        <v>387.39999999999986</v>
      </c>
      <c r="L166" s="12">
        <v>1.56</v>
      </c>
      <c r="M166" s="12">
        <v>894.5599999999996</v>
      </c>
      <c r="N166" s="12">
        <f t="shared" si="9"/>
        <v>4540.3399999999983</v>
      </c>
    </row>
    <row r="167" spans="1:14" x14ac:dyDescent="0.35">
      <c r="A167" s="6" t="s">
        <v>44</v>
      </c>
      <c r="B167" s="12">
        <v>0.75</v>
      </c>
      <c r="C167" s="12"/>
      <c r="D167" s="12"/>
      <c r="E167" s="12"/>
      <c r="F167" s="12">
        <v>182.55999999999997</v>
      </c>
      <c r="G167" s="12">
        <v>2.11</v>
      </c>
      <c r="H167" s="12"/>
      <c r="I167" s="12"/>
      <c r="J167" s="12">
        <v>0.47</v>
      </c>
      <c r="K167" s="12">
        <v>33.630000000000003</v>
      </c>
      <c r="L167" s="12"/>
      <c r="M167" s="12">
        <v>24.86</v>
      </c>
      <c r="N167" s="12">
        <f t="shared" si="9"/>
        <v>244.38</v>
      </c>
    </row>
    <row r="168" spans="1:14" x14ac:dyDescent="0.35">
      <c r="A168" s="6" t="s">
        <v>45</v>
      </c>
      <c r="B168" s="12">
        <v>14.51</v>
      </c>
      <c r="C168" s="12">
        <v>1.78</v>
      </c>
      <c r="D168" s="12">
        <v>31.32</v>
      </c>
      <c r="E168" s="12">
        <v>5.6099999999999994</v>
      </c>
      <c r="F168" s="12">
        <v>5506.2800000000034</v>
      </c>
      <c r="G168" s="12">
        <v>233.25</v>
      </c>
      <c r="H168" s="12">
        <v>45.699999999999996</v>
      </c>
      <c r="I168" s="12">
        <v>4.62</v>
      </c>
      <c r="J168" s="12">
        <v>8.64</v>
      </c>
      <c r="K168" s="12">
        <v>530.04999999999973</v>
      </c>
      <c r="L168" s="12"/>
      <c r="M168" s="12">
        <v>1071.3999999999999</v>
      </c>
      <c r="N168" s="12">
        <f t="shared" si="9"/>
        <v>7453.1600000000035</v>
      </c>
    </row>
    <row r="169" spans="1:14" x14ac:dyDescent="0.35">
      <c r="A169" s="245" t="s">
        <v>14</v>
      </c>
      <c r="B169" s="246">
        <v>2.54</v>
      </c>
      <c r="C169" s="246"/>
      <c r="D169" s="246"/>
      <c r="E169" s="246"/>
      <c r="F169" s="246">
        <v>28.360000000000007</v>
      </c>
      <c r="G169" s="246"/>
      <c r="H169" s="246">
        <v>0.03</v>
      </c>
      <c r="I169" s="246"/>
      <c r="J169" s="246">
        <v>3.36</v>
      </c>
      <c r="K169" s="246">
        <v>191.65000000000006</v>
      </c>
      <c r="L169" s="246"/>
      <c r="M169" s="246"/>
      <c r="N169" s="246">
        <f t="shared" si="9"/>
        <v>225.94000000000005</v>
      </c>
    </row>
    <row r="170" spans="1:14" x14ac:dyDescent="0.35">
      <c r="A170" s="6" t="s">
        <v>37</v>
      </c>
      <c r="B170" s="12"/>
      <c r="C170" s="12"/>
      <c r="D170" s="12"/>
      <c r="E170" s="12"/>
      <c r="F170" s="12">
        <v>2.94</v>
      </c>
      <c r="G170" s="12"/>
      <c r="H170" s="12">
        <v>0.03</v>
      </c>
      <c r="I170" s="12"/>
      <c r="J170" s="12"/>
      <c r="K170" s="12"/>
      <c r="L170" s="12"/>
      <c r="M170" s="12"/>
      <c r="N170" s="12">
        <f t="shared" si="9"/>
        <v>2.9699999999999998</v>
      </c>
    </row>
    <row r="171" spans="1:14" x14ac:dyDescent="0.35">
      <c r="A171" s="6" t="s">
        <v>38</v>
      </c>
      <c r="B171" s="12">
        <v>2.54</v>
      </c>
      <c r="C171" s="12"/>
      <c r="D171" s="12"/>
      <c r="E171" s="12"/>
      <c r="F171" s="12"/>
      <c r="G171" s="12"/>
      <c r="H171" s="12"/>
      <c r="I171" s="12"/>
      <c r="J171" s="12"/>
      <c r="K171" s="12"/>
      <c r="L171" s="12"/>
      <c r="M171" s="12"/>
      <c r="N171" s="12">
        <f t="shared" si="9"/>
        <v>2.54</v>
      </c>
    </row>
    <row r="172" spans="1:14" x14ac:dyDescent="0.35">
      <c r="A172" s="6" t="s">
        <v>39</v>
      </c>
      <c r="B172" s="12"/>
      <c r="C172" s="12"/>
      <c r="D172" s="12"/>
      <c r="E172" s="12"/>
      <c r="F172" s="12">
        <v>24.810000000000006</v>
      </c>
      <c r="G172" s="12"/>
      <c r="H172" s="12"/>
      <c r="I172" s="12"/>
      <c r="J172" s="12">
        <v>3.36</v>
      </c>
      <c r="K172" s="12">
        <v>190.32000000000005</v>
      </c>
      <c r="L172" s="12"/>
      <c r="M172" s="12"/>
      <c r="N172" s="12">
        <f t="shared" si="9"/>
        <v>218.49000000000007</v>
      </c>
    </row>
    <row r="173" spans="1:14" x14ac:dyDescent="0.35">
      <c r="A173" s="6" t="s">
        <v>40</v>
      </c>
      <c r="B173" s="12"/>
      <c r="C173" s="12"/>
      <c r="D173" s="12"/>
      <c r="E173" s="12"/>
      <c r="F173" s="12">
        <v>0.61</v>
      </c>
      <c r="G173" s="12"/>
      <c r="H173" s="12"/>
      <c r="I173" s="12"/>
      <c r="J173" s="12"/>
      <c r="K173" s="12">
        <v>1.33</v>
      </c>
      <c r="L173" s="12"/>
      <c r="M173" s="12"/>
      <c r="N173" s="12">
        <f t="shared" si="9"/>
        <v>1.94</v>
      </c>
    </row>
    <row r="174" spans="1:14" x14ac:dyDescent="0.35">
      <c r="A174" s="245" t="s">
        <v>17</v>
      </c>
      <c r="B174" s="246">
        <v>53.72</v>
      </c>
      <c r="C174" s="246">
        <v>12.99</v>
      </c>
      <c r="D174" s="246">
        <v>2.04</v>
      </c>
      <c r="E174" s="246"/>
      <c r="F174" s="246">
        <v>556.38999999999987</v>
      </c>
      <c r="G174" s="246">
        <v>349.31999999999994</v>
      </c>
      <c r="H174" s="246">
        <v>5.05</v>
      </c>
      <c r="I174" s="246">
        <v>3.91</v>
      </c>
      <c r="J174" s="246"/>
      <c r="K174" s="246">
        <v>210.52</v>
      </c>
      <c r="L174" s="246"/>
      <c r="M174" s="246">
        <v>32.880000000000003</v>
      </c>
      <c r="N174" s="246">
        <f t="shared" si="9"/>
        <v>1226.82</v>
      </c>
    </row>
    <row r="175" spans="1:14" x14ac:dyDescent="0.35">
      <c r="A175" s="6" t="s">
        <v>55</v>
      </c>
      <c r="B175" s="12">
        <v>53.089999999999996</v>
      </c>
      <c r="C175" s="12">
        <v>12.99</v>
      </c>
      <c r="D175" s="12">
        <v>0.1</v>
      </c>
      <c r="E175" s="12"/>
      <c r="F175" s="12">
        <v>469.63999999999987</v>
      </c>
      <c r="G175" s="12">
        <v>318.82999999999993</v>
      </c>
      <c r="H175" s="12"/>
      <c r="I175" s="12">
        <v>3.91</v>
      </c>
      <c r="J175" s="12"/>
      <c r="K175" s="12">
        <v>185.13000000000002</v>
      </c>
      <c r="L175" s="12"/>
      <c r="M175" s="12">
        <v>31.86</v>
      </c>
      <c r="N175" s="12">
        <f t="shared" si="9"/>
        <v>1075.5499999999997</v>
      </c>
    </row>
    <row r="176" spans="1:14" x14ac:dyDescent="0.35">
      <c r="A176" s="6" t="s">
        <v>56</v>
      </c>
      <c r="B176" s="12">
        <v>0.63</v>
      </c>
      <c r="C176" s="12"/>
      <c r="D176" s="12">
        <v>1.94</v>
      </c>
      <c r="E176" s="12"/>
      <c r="F176" s="12">
        <v>86.75</v>
      </c>
      <c r="G176" s="12">
        <v>30.49</v>
      </c>
      <c r="H176" s="12">
        <v>5.05</v>
      </c>
      <c r="I176" s="12"/>
      <c r="J176" s="12"/>
      <c r="K176" s="12">
        <v>25.389999999999997</v>
      </c>
      <c r="L176" s="12"/>
      <c r="M176" s="12">
        <v>1.02</v>
      </c>
      <c r="N176" s="12">
        <f t="shared" si="9"/>
        <v>151.26999999999998</v>
      </c>
    </row>
    <row r="177" spans="1:14" x14ac:dyDescent="0.35">
      <c r="A177" s="245" t="s">
        <v>64</v>
      </c>
      <c r="B177" s="246"/>
      <c r="C177" s="246"/>
      <c r="D177" s="246"/>
      <c r="E177" s="246"/>
      <c r="F177" s="246">
        <v>2.39</v>
      </c>
      <c r="G177" s="246"/>
      <c r="H177" s="246"/>
      <c r="I177" s="246"/>
      <c r="J177" s="246"/>
      <c r="K177" s="246">
        <v>0.3</v>
      </c>
      <c r="L177" s="246"/>
      <c r="M177" s="246"/>
      <c r="N177" s="246">
        <f t="shared" si="9"/>
        <v>2.69</v>
      </c>
    </row>
    <row r="178" spans="1:14" x14ac:dyDescent="0.35">
      <c r="A178" s="16" t="s">
        <v>65</v>
      </c>
      <c r="B178" s="12"/>
      <c r="C178" s="12"/>
      <c r="D178" s="12"/>
      <c r="E178" s="12"/>
      <c r="F178" s="12"/>
      <c r="G178" s="12"/>
      <c r="H178" s="12"/>
      <c r="I178" s="12"/>
      <c r="J178" s="12"/>
      <c r="K178" s="12">
        <v>0.3</v>
      </c>
      <c r="L178" s="12"/>
      <c r="M178" s="12"/>
      <c r="N178" s="12">
        <f t="shared" si="9"/>
        <v>0.3</v>
      </c>
    </row>
    <row r="179" spans="1:14" x14ac:dyDescent="0.35">
      <c r="A179" s="16" t="s">
        <v>66</v>
      </c>
      <c r="B179" s="12"/>
      <c r="C179" s="12"/>
      <c r="D179" s="12"/>
      <c r="E179" s="12"/>
      <c r="F179" s="12">
        <v>2.39</v>
      </c>
      <c r="G179" s="12"/>
      <c r="H179" s="12"/>
      <c r="I179" s="12"/>
      <c r="J179" s="12"/>
      <c r="K179" s="12"/>
      <c r="L179" s="12"/>
      <c r="M179" s="12"/>
      <c r="N179" s="12">
        <f t="shared" si="9"/>
        <v>2.39</v>
      </c>
    </row>
    <row r="180" spans="1:14" x14ac:dyDescent="0.35">
      <c r="A180" s="245" t="s">
        <v>18</v>
      </c>
      <c r="B180" s="246"/>
      <c r="C180" s="246"/>
      <c r="D180" s="246"/>
      <c r="E180" s="246"/>
      <c r="F180" s="246"/>
      <c r="G180" s="246"/>
      <c r="H180" s="246"/>
      <c r="I180" s="246"/>
      <c r="J180" s="246"/>
      <c r="K180" s="246"/>
      <c r="L180" s="246"/>
      <c r="M180" s="246">
        <v>0.15</v>
      </c>
      <c r="N180" s="246">
        <f t="shared" si="9"/>
        <v>0.15</v>
      </c>
    </row>
    <row r="181" spans="1:14" x14ac:dyDescent="0.35">
      <c r="A181" s="6" t="s">
        <v>202</v>
      </c>
      <c r="B181" s="12"/>
      <c r="C181" s="12"/>
      <c r="D181" s="12"/>
      <c r="E181" s="12"/>
      <c r="F181" s="12"/>
      <c r="G181" s="12"/>
      <c r="H181" s="12"/>
      <c r="I181" s="12"/>
      <c r="J181" s="12"/>
      <c r="K181" s="12"/>
      <c r="L181" s="12"/>
      <c r="M181" s="12">
        <v>0.15</v>
      </c>
      <c r="N181" s="12">
        <f t="shared" si="9"/>
        <v>0.15</v>
      </c>
    </row>
    <row r="182" spans="1:14" x14ac:dyDescent="0.35">
      <c r="A182" s="245" t="s">
        <v>20</v>
      </c>
      <c r="B182" s="246"/>
      <c r="C182" s="246"/>
      <c r="D182" s="246"/>
      <c r="E182" s="246"/>
      <c r="F182" s="246">
        <v>44.06</v>
      </c>
      <c r="G182" s="246">
        <v>1.98</v>
      </c>
      <c r="H182" s="246">
        <v>2.0499999999999998</v>
      </c>
      <c r="I182" s="246"/>
      <c r="J182" s="246">
        <v>0.46</v>
      </c>
      <c r="K182" s="246">
        <v>4.43</v>
      </c>
      <c r="L182" s="246"/>
      <c r="M182" s="246">
        <v>1.49</v>
      </c>
      <c r="N182" s="246">
        <f t="shared" si="9"/>
        <v>54.47</v>
      </c>
    </row>
    <row r="183" spans="1:14" x14ac:dyDescent="0.35">
      <c r="A183" s="6" t="s">
        <v>20</v>
      </c>
      <c r="B183" s="12"/>
      <c r="C183" s="12"/>
      <c r="D183" s="12"/>
      <c r="E183" s="12"/>
      <c r="F183" s="12">
        <v>44.06</v>
      </c>
      <c r="G183" s="12">
        <v>1.98</v>
      </c>
      <c r="H183" s="12">
        <v>2.0499999999999998</v>
      </c>
      <c r="I183" s="12"/>
      <c r="J183" s="12">
        <v>0.46</v>
      </c>
      <c r="K183" s="12">
        <v>4.43</v>
      </c>
      <c r="L183" s="12"/>
      <c r="M183" s="12">
        <v>1.49</v>
      </c>
      <c r="N183" s="12">
        <f t="shared" si="9"/>
        <v>54.47</v>
      </c>
    </row>
    <row r="184" spans="1:14" x14ac:dyDescent="0.35">
      <c r="A184" s="245" t="s">
        <v>21</v>
      </c>
      <c r="B184" s="246">
        <v>32.480000000000004</v>
      </c>
      <c r="C184" s="246">
        <v>1.18</v>
      </c>
      <c r="D184" s="246"/>
      <c r="E184" s="246"/>
      <c r="F184" s="246">
        <v>175.26000000000002</v>
      </c>
      <c r="G184" s="246">
        <v>4.28</v>
      </c>
      <c r="H184" s="246"/>
      <c r="I184" s="246"/>
      <c r="J184" s="246">
        <v>1.5899999999999999</v>
      </c>
      <c r="K184" s="246">
        <v>62.99</v>
      </c>
      <c r="L184" s="246"/>
      <c r="M184" s="246">
        <v>14.22</v>
      </c>
      <c r="N184" s="246">
        <f t="shared" si="9"/>
        <v>292.00000000000006</v>
      </c>
    </row>
    <row r="185" spans="1:14" x14ac:dyDescent="0.35">
      <c r="A185" s="6" t="s">
        <v>21</v>
      </c>
      <c r="B185" s="12">
        <v>32.480000000000004</v>
      </c>
      <c r="C185" s="12">
        <v>1.18</v>
      </c>
      <c r="D185" s="12"/>
      <c r="E185" s="12"/>
      <c r="F185" s="12">
        <v>175.26000000000002</v>
      </c>
      <c r="G185" s="12">
        <v>4.28</v>
      </c>
      <c r="H185" s="12"/>
      <c r="I185" s="12"/>
      <c r="J185" s="12">
        <v>1.5899999999999999</v>
      </c>
      <c r="K185" s="12">
        <v>62.99</v>
      </c>
      <c r="L185" s="12"/>
      <c r="M185" s="12">
        <v>14.22</v>
      </c>
      <c r="N185" s="12">
        <f t="shared" si="9"/>
        <v>292.00000000000006</v>
      </c>
    </row>
    <row r="186" spans="1:14" x14ac:dyDescent="0.35">
      <c r="A186" s="245" t="s">
        <v>22</v>
      </c>
      <c r="B186" s="246">
        <v>9.4</v>
      </c>
      <c r="C186" s="246">
        <v>3.7</v>
      </c>
      <c r="D186" s="246"/>
      <c r="E186" s="246"/>
      <c r="F186" s="246">
        <v>110.21000000000001</v>
      </c>
      <c r="G186" s="246">
        <v>52.100000000000009</v>
      </c>
      <c r="H186" s="246">
        <v>0.59</v>
      </c>
      <c r="I186" s="246"/>
      <c r="J186" s="246">
        <v>0.77</v>
      </c>
      <c r="K186" s="246">
        <v>64.48</v>
      </c>
      <c r="L186" s="246"/>
      <c r="M186" s="246">
        <v>4.1500000000000004</v>
      </c>
      <c r="N186" s="246">
        <f t="shared" si="9"/>
        <v>245.40000000000006</v>
      </c>
    </row>
    <row r="187" spans="1:14" x14ac:dyDescent="0.35">
      <c r="A187" s="6" t="s">
        <v>22</v>
      </c>
      <c r="B187" s="12">
        <v>9.4</v>
      </c>
      <c r="C187" s="12">
        <v>3.7</v>
      </c>
      <c r="D187" s="12"/>
      <c r="E187" s="12"/>
      <c r="F187" s="12">
        <v>110.21000000000001</v>
      </c>
      <c r="G187" s="12">
        <v>52.100000000000009</v>
      </c>
      <c r="H187" s="12">
        <v>0.59</v>
      </c>
      <c r="I187" s="12"/>
      <c r="J187" s="12">
        <v>0.77</v>
      </c>
      <c r="K187" s="12">
        <v>64.48</v>
      </c>
      <c r="L187" s="12"/>
      <c r="M187" s="12">
        <v>4.1500000000000004</v>
      </c>
      <c r="N187" s="12">
        <f t="shared" si="9"/>
        <v>245.40000000000006</v>
      </c>
    </row>
    <row r="188" spans="1:14" x14ac:dyDescent="0.35">
      <c r="A188" s="245" t="s">
        <v>23</v>
      </c>
      <c r="B188" s="246"/>
      <c r="C188" s="246"/>
      <c r="D188" s="246"/>
      <c r="E188" s="246"/>
      <c r="F188" s="246"/>
      <c r="G188" s="246">
        <v>1.91</v>
      </c>
      <c r="H188" s="246"/>
      <c r="I188" s="246"/>
      <c r="J188" s="246"/>
      <c r="K188" s="246">
        <v>11.26</v>
      </c>
      <c r="L188" s="246"/>
      <c r="M188" s="246">
        <v>0.46</v>
      </c>
      <c r="N188" s="246">
        <f t="shared" si="9"/>
        <v>13.63</v>
      </c>
    </row>
    <row r="189" spans="1:14" x14ac:dyDescent="0.35">
      <c r="A189" s="6" t="s">
        <v>23</v>
      </c>
      <c r="B189" s="12"/>
      <c r="C189" s="12"/>
      <c r="D189" s="12"/>
      <c r="E189" s="12"/>
      <c r="F189" s="12"/>
      <c r="G189" s="12">
        <v>1.91</v>
      </c>
      <c r="H189" s="12"/>
      <c r="I189" s="12"/>
      <c r="J189" s="12"/>
      <c r="K189" s="12">
        <v>11.26</v>
      </c>
      <c r="L189" s="12"/>
      <c r="M189" s="12">
        <v>0.46</v>
      </c>
      <c r="N189" s="12">
        <f t="shared" si="9"/>
        <v>13.63</v>
      </c>
    </row>
    <row r="190" spans="1:14" ht="15.5" x14ac:dyDescent="0.35">
      <c r="A190" s="258" t="s">
        <v>25</v>
      </c>
      <c r="B190" s="251">
        <v>365.11999999999995</v>
      </c>
      <c r="C190" s="251">
        <v>132.94999999999999</v>
      </c>
      <c r="D190" s="253">
        <v>69.679999999999978</v>
      </c>
      <c r="E190" s="255">
        <v>76.160000000000011</v>
      </c>
      <c r="F190" s="251">
        <v>22461.79</v>
      </c>
      <c r="G190" s="256">
        <v>1369.4799999999998</v>
      </c>
      <c r="H190" s="249">
        <v>342.45</v>
      </c>
      <c r="I190" s="248">
        <v>149.25999999999996</v>
      </c>
      <c r="J190" s="250">
        <v>198.71000000000004</v>
      </c>
      <c r="K190" s="248">
        <v>3362.24</v>
      </c>
      <c r="L190" s="251">
        <v>1.56</v>
      </c>
      <c r="M190" s="253">
        <v>5048.53</v>
      </c>
      <c r="N190" s="254">
        <f t="shared" si="9"/>
        <v>33577.93</v>
      </c>
    </row>
  </sheetData>
  <sortState xmlns:xlrd2="http://schemas.microsoft.com/office/spreadsheetml/2017/richdata2" ref="Q136:S145">
    <sortCondition descending="1" ref="R136"/>
  </sortState>
  <mergeCells count="11">
    <mergeCell ref="T13:U13"/>
    <mergeCell ref="V13:W13"/>
    <mergeCell ref="Q74:S74"/>
    <mergeCell ref="Q135:S135"/>
    <mergeCell ref="B73:N73"/>
    <mergeCell ref="B134:N134"/>
    <mergeCell ref="A12:A13"/>
    <mergeCell ref="Q13:S13"/>
    <mergeCell ref="B12:N12"/>
    <mergeCell ref="A73:A74"/>
    <mergeCell ref="A134:A135"/>
  </mergeCells>
  <hyperlinks>
    <hyperlink ref="B1" r:id="rId1" xr:uid="{00000000-0004-0000-1400-000000000000}"/>
    <hyperlink ref="O1" location="ÍNDICE!A1" display="ÍNDICE!A1" xr:uid="{00000000-0004-0000-1400-000001000000}"/>
    <hyperlink ref="C5" location="'PIS S-VAR'!A11" display="TOTAL" xr:uid="{00000000-0004-0000-1400-000002000000}"/>
    <hyperlink ref="C6" location="'PIS S-VAR'!A72" display="ECOLÓGICO" xr:uid="{00000000-0004-0000-1400-000003000000}"/>
    <hyperlink ref="C7" location="'PIS S-VAR'!A133" display="CONVENCIONAL" xr:uid="{00000000-0004-0000-1400-000004000000}"/>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190"/>
  <sheetViews>
    <sheetView workbookViewId="0"/>
  </sheetViews>
  <sheetFormatPr baseColWidth="10" defaultRowHeight="14.5" x14ac:dyDescent="0.35"/>
  <cols>
    <col min="1" max="1" width="26.453125" customWidth="1"/>
    <col min="2" max="7" width="11.453125" customWidth="1"/>
    <col min="17" max="17" width="31.453125" customWidth="1"/>
  </cols>
  <sheetData>
    <row r="1" spans="1:23" x14ac:dyDescent="0.35">
      <c r="A1" s="240" t="s">
        <v>10</v>
      </c>
      <c r="B1" s="2" t="s">
        <v>9</v>
      </c>
      <c r="N1" t="s">
        <v>143</v>
      </c>
      <c r="O1" s="2" t="s">
        <v>144</v>
      </c>
    </row>
    <row r="4" spans="1:23" ht="17.5" x14ac:dyDescent="0.35">
      <c r="A4" s="277" t="s">
        <v>162</v>
      </c>
      <c r="B4" s="277"/>
      <c r="C4" s="339" t="s">
        <v>243</v>
      </c>
      <c r="D4" s="277"/>
      <c r="E4" s="277"/>
      <c r="F4" s="277"/>
      <c r="G4" s="277"/>
      <c r="H4" s="277"/>
      <c r="I4" s="110"/>
      <c r="J4" s="110"/>
      <c r="K4" s="110"/>
    </row>
    <row r="5" spans="1:23" x14ac:dyDescent="0.35">
      <c r="A5" s="241" t="s">
        <v>196</v>
      </c>
      <c r="B5" s="241"/>
      <c r="C5" s="340" t="s">
        <v>124</v>
      </c>
      <c r="D5" s="241"/>
      <c r="E5" s="241"/>
      <c r="F5" s="241"/>
      <c r="G5" s="241"/>
      <c r="H5" s="241"/>
      <c r="I5" s="110"/>
      <c r="J5" s="110"/>
      <c r="K5" s="110"/>
    </row>
    <row r="6" spans="1:23" x14ac:dyDescent="0.35">
      <c r="A6" s="242" t="s">
        <v>197</v>
      </c>
      <c r="B6" s="241"/>
      <c r="C6" s="340" t="s">
        <v>213</v>
      </c>
      <c r="D6" s="241"/>
      <c r="E6" s="241"/>
      <c r="F6" s="241"/>
      <c r="G6" s="241"/>
      <c r="H6" s="241"/>
      <c r="I6" s="110"/>
      <c r="J6" s="110"/>
      <c r="K6" s="110"/>
    </row>
    <row r="7" spans="1:23" x14ac:dyDescent="0.35">
      <c r="A7" s="242" t="s">
        <v>198</v>
      </c>
      <c r="B7" s="241"/>
      <c r="C7" s="340" t="s">
        <v>242</v>
      </c>
      <c r="D7" s="241"/>
      <c r="E7" s="241"/>
      <c r="F7" s="241"/>
      <c r="G7" s="241"/>
      <c r="H7" s="241"/>
      <c r="I7" s="110"/>
      <c r="J7" s="110"/>
      <c r="K7" s="110"/>
    </row>
    <row r="8" spans="1:23" ht="18.5" x14ac:dyDescent="0.45">
      <c r="A8" s="223"/>
      <c r="B8" s="110"/>
      <c r="C8" s="110"/>
      <c r="D8" s="110"/>
      <c r="E8" s="110"/>
      <c r="F8" s="110"/>
      <c r="G8" s="110"/>
      <c r="H8" s="110"/>
      <c r="I8" s="110"/>
      <c r="J8" s="110"/>
      <c r="K8" s="110"/>
    </row>
    <row r="9" spans="1:23" ht="18.5" x14ac:dyDescent="0.45">
      <c r="A9" s="223"/>
      <c r="B9" s="110"/>
      <c r="C9" s="110"/>
      <c r="D9" s="110"/>
      <c r="E9" s="110"/>
      <c r="F9" s="110"/>
      <c r="G9" s="110"/>
      <c r="H9" s="110"/>
      <c r="I9" s="110"/>
      <c r="J9" s="110"/>
      <c r="K9" s="110"/>
    </row>
    <row r="10" spans="1:23" ht="18.5" x14ac:dyDescent="0.45">
      <c r="A10" s="223"/>
    </row>
    <row r="11" spans="1:23" ht="15.5" x14ac:dyDescent="0.35">
      <c r="A11" s="280" t="s">
        <v>136</v>
      </c>
    </row>
    <row r="12" spans="1:23" ht="15" customHeight="1" x14ac:dyDescent="0.35">
      <c r="A12" s="721" t="s">
        <v>88</v>
      </c>
      <c r="B12" s="718" t="s">
        <v>113</v>
      </c>
      <c r="C12" s="715"/>
      <c r="D12" s="715"/>
      <c r="E12" s="715"/>
      <c r="F12" s="715"/>
      <c r="G12" s="715"/>
      <c r="H12" s="715"/>
      <c r="I12" s="715"/>
      <c r="J12" s="715"/>
      <c r="K12" s="715"/>
      <c r="L12" s="715"/>
      <c r="M12" s="715"/>
      <c r="N12" s="715"/>
      <c r="O12" s="232"/>
      <c r="P12" s="232"/>
      <c r="Q12" s="232"/>
      <c r="R12" s="232"/>
      <c r="S12" s="232"/>
    </row>
    <row r="13" spans="1:23" ht="30" customHeight="1" x14ac:dyDescent="0.35">
      <c r="A13" s="717" t="s">
        <v>5</v>
      </c>
      <c r="B13" s="278" t="s">
        <v>154</v>
      </c>
      <c r="C13" s="267" t="s">
        <v>160</v>
      </c>
      <c r="D13" s="267" t="s">
        <v>152</v>
      </c>
      <c r="E13" s="267" t="s">
        <v>157</v>
      </c>
      <c r="F13" s="267" t="s">
        <v>149</v>
      </c>
      <c r="G13" s="267" t="s">
        <v>151</v>
      </c>
      <c r="H13" s="267" t="s">
        <v>155</v>
      </c>
      <c r="I13" s="267" t="s">
        <v>153</v>
      </c>
      <c r="J13" s="267" t="s">
        <v>156</v>
      </c>
      <c r="K13" s="267" t="s">
        <v>150</v>
      </c>
      <c r="L13" s="267" t="s">
        <v>122</v>
      </c>
      <c r="M13" s="267" t="s">
        <v>123</v>
      </c>
      <c r="N13" s="267" t="s">
        <v>124</v>
      </c>
      <c r="Q13" s="711" t="s">
        <v>193</v>
      </c>
      <c r="R13" s="712"/>
      <c r="S13" s="724"/>
      <c r="T13" s="722" t="s">
        <v>195</v>
      </c>
      <c r="U13" s="722"/>
      <c r="V13" s="723" t="s">
        <v>194</v>
      </c>
      <c r="W13" s="723"/>
    </row>
    <row r="14" spans="1:23" ht="15" customHeight="1" x14ac:dyDescent="0.35">
      <c r="A14" s="272" t="s">
        <v>5</v>
      </c>
      <c r="B14" s="273">
        <v>7.67</v>
      </c>
      <c r="C14" s="273"/>
      <c r="D14" s="273">
        <v>5.5399999999999991</v>
      </c>
      <c r="E14" s="273">
        <v>81.139999999999986</v>
      </c>
      <c r="F14" s="273">
        <v>859.9799999999999</v>
      </c>
      <c r="G14" s="273">
        <v>92.5</v>
      </c>
      <c r="H14" s="273">
        <v>113.66000000000001</v>
      </c>
      <c r="I14" s="273">
        <v>33.410000000000004</v>
      </c>
      <c r="J14" s="273">
        <v>30.740000000000002</v>
      </c>
      <c r="K14" s="273">
        <v>134.16</v>
      </c>
      <c r="L14" s="273"/>
      <c r="M14" s="273">
        <v>26.28</v>
      </c>
      <c r="N14" s="273">
        <f t="shared" ref="N14:N52" si="0">SUM(B14:M14)</f>
        <v>1385.0800000000002</v>
      </c>
      <c r="Q14" s="271" t="s">
        <v>149</v>
      </c>
      <c r="R14" s="212">
        <v>9487.6999999999989</v>
      </c>
      <c r="S14" s="22">
        <f t="shared" ref="S14:S23" si="1">R14/$R$26</f>
        <v>0.60677863774911767</v>
      </c>
      <c r="T14" s="212">
        <f>F190</f>
        <v>7146.4000000000005</v>
      </c>
      <c r="U14" s="22">
        <f>T14/$T$26</f>
        <v>0.58417359104415389</v>
      </c>
      <c r="V14" s="212">
        <f>F129</f>
        <v>2341.3000000000002</v>
      </c>
      <c r="W14" s="22">
        <f>V14/$V$26</f>
        <v>0.68804495082034667</v>
      </c>
    </row>
    <row r="15" spans="1:23" x14ac:dyDescent="0.35">
      <c r="A15" s="15" t="s">
        <v>6</v>
      </c>
      <c r="B15" s="12"/>
      <c r="C15" s="12"/>
      <c r="D15" s="12"/>
      <c r="E15" s="12"/>
      <c r="F15" s="12">
        <v>4.3100000000000005</v>
      </c>
      <c r="G15" s="12"/>
      <c r="H15" s="12"/>
      <c r="I15" s="12"/>
      <c r="J15" s="12"/>
      <c r="K15" s="12">
        <v>4.3099999999999996</v>
      </c>
      <c r="L15" s="12"/>
      <c r="M15" s="12"/>
      <c r="N15" s="12">
        <f t="shared" si="0"/>
        <v>8.620000000000001</v>
      </c>
      <c r="Q15" s="271" t="s">
        <v>150</v>
      </c>
      <c r="R15" s="212">
        <v>2125.4700000000007</v>
      </c>
      <c r="S15" s="22">
        <f t="shared" si="1"/>
        <v>0.13593281735052939</v>
      </c>
      <c r="T15" s="212">
        <f>K190</f>
        <v>1861.52</v>
      </c>
      <c r="U15" s="22">
        <f t="shared" ref="U15:U25" si="2">T15/$T$26</f>
        <v>0.15216764009858297</v>
      </c>
      <c r="V15" s="212">
        <f>K129</f>
        <v>263.95</v>
      </c>
      <c r="W15" s="22">
        <f t="shared" ref="W15:W24" si="3">V15/$V$26</f>
        <v>7.756778916372549E-2</v>
      </c>
    </row>
    <row r="16" spans="1:23" x14ac:dyDescent="0.35">
      <c r="A16" s="16" t="s">
        <v>7</v>
      </c>
      <c r="B16" s="12"/>
      <c r="C16" s="12"/>
      <c r="D16" s="12"/>
      <c r="E16" s="12"/>
      <c r="F16" s="12"/>
      <c r="G16" s="12">
        <v>1.26</v>
      </c>
      <c r="H16" s="12"/>
      <c r="I16" s="12">
        <v>0.24</v>
      </c>
      <c r="J16" s="12"/>
      <c r="K16" s="12">
        <v>1.67</v>
      </c>
      <c r="L16" s="12"/>
      <c r="M16" s="12">
        <v>6.83</v>
      </c>
      <c r="N16" s="12">
        <f t="shared" si="0"/>
        <v>10</v>
      </c>
      <c r="Q16" s="271" t="s">
        <v>155</v>
      </c>
      <c r="R16" s="212">
        <v>967.9000000000002</v>
      </c>
      <c r="S16" s="22">
        <f t="shared" si="1"/>
        <v>6.1901308375830938E-2</v>
      </c>
      <c r="T16" s="212">
        <f>H190</f>
        <v>836.85000000000025</v>
      </c>
      <c r="U16" s="22">
        <f t="shared" si="2"/>
        <v>6.8407263750321884E-2</v>
      </c>
      <c r="V16" s="212">
        <f>H129</f>
        <v>131.04999999999998</v>
      </c>
      <c r="W16" s="22">
        <f t="shared" si="3"/>
        <v>3.8512062018966564E-2</v>
      </c>
    </row>
    <row r="17" spans="1:23" ht="15" customHeight="1" x14ac:dyDescent="0.35">
      <c r="A17" s="16" t="s">
        <v>8</v>
      </c>
      <c r="B17" s="12">
        <v>1.37</v>
      </c>
      <c r="C17" s="12"/>
      <c r="D17" s="12"/>
      <c r="E17" s="12">
        <v>33.549999999999997</v>
      </c>
      <c r="F17" s="12">
        <v>174.17000000000002</v>
      </c>
      <c r="G17" s="12">
        <v>42.84</v>
      </c>
      <c r="H17" s="12">
        <v>38.96</v>
      </c>
      <c r="I17" s="12">
        <v>2.16</v>
      </c>
      <c r="J17" s="12">
        <v>28.94</v>
      </c>
      <c r="K17" s="12">
        <v>82.52</v>
      </c>
      <c r="L17" s="12"/>
      <c r="M17" s="12">
        <v>6.78</v>
      </c>
      <c r="N17" s="12">
        <f t="shared" si="0"/>
        <v>411.28999999999996</v>
      </c>
      <c r="Q17" s="271" t="s">
        <v>151</v>
      </c>
      <c r="R17" s="212">
        <v>475.90000000000003</v>
      </c>
      <c r="S17" s="22">
        <f t="shared" si="1"/>
        <v>3.0435822560241698E-2</v>
      </c>
      <c r="T17" s="212">
        <f>G190</f>
        <v>362.09</v>
      </c>
      <c r="U17" s="22">
        <f t="shared" si="2"/>
        <v>2.9598597277115422E-2</v>
      </c>
      <c r="V17" s="212">
        <f>G129</f>
        <v>113.81000000000002</v>
      </c>
      <c r="W17" s="22">
        <f t="shared" si="3"/>
        <v>3.3445690792663761E-2</v>
      </c>
    </row>
    <row r="18" spans="1:23" ht="15" customHeight="1" x14ac:dyDescent="0.35">
      <c r="A18" s="16" t="s">
        <v>26</v>
      </c>
      <c r="B18" s="12">
        <v>4.3</v>
      </c>
      <c r="C18" s="12"/>
      <c r="D18" s="12"/>
      <c r="E18" s="12">
        <v>16.75</v>
      </c>
      <c r="F18" s="12">
        <v>448.42999999999989</v>
      </c>
      <c r="G18" s="12">
        <v>0.12</v>
      </c>
      <c r="H18" s="12">
        <v>17.61</v>
      </c>
      <c r="I18" s="12">
        <v>0.89000000000000012</v>
      </c>
      <c r="J18" s="12">
        <v>1.8</v>
      </c>
      <c r="K18" s="12">
        <v>9.57</v>
      </c>
      <c r="L18" s="12"/>
      <c r="M18" s="12">
        <v>11.490000000000002</v>
      </c>
      <c r="N18" s="12">
        <f t="shared" si="0"/>
        <v>510.95999999999992</v>
      </c>
      <c r="Q18" s="271" t="s">
        <v>157</v>
      </c>
      <c r="R18" s="212">
        <v>268.55999999999995</v>
      </c>
      <c r="S18" s="22">
        <f t="shared" si="1"/>
        <v>1.7175550550070411E-2</v>
      </c>
      <c r="T18" s="212">
        <f>E190</f>
        <v>252.17999999999998</v>
      </c>
      <c r="U18" s="22">
        <f t="shared" si="2"/>
        <v>2.0614140852669136E-2</v>
      </c>
      <c r="V18" s="212">
        <f>E129</f>
        <v>16.38</v>
      </c>
      <c r="W18" s="22">
        <f t="shared" si="3"/>
        <v>4.8136404110696099E-3</v>
      </c>
    </row>
    <row r="19" spans="1:23" ht="15" customHeight="1" x14ac:dyDescent="0.35">
      <c r="A19" s="16" t="s">
        <v>27</v>
      </c>
      <c r="B19" s="12"/>
      <c r="C19" s="12"/>
      <c r="D19" s="12"/>
      <c r="E19" s="12"/>
      <c r="F19" s="12"/>
      <c r="G19" s="12">
        <v>0.02</v>
      </c>
      <c r="H19" s="12"/>
      <c r="I19" s="12">
        <v>11.2</v>
      </c>
      <c r="J19" s="12"/>
      <c r="K19" s="12"/>
      <c r="L19" s="12"/>
      <c r="M19" s="12"/>
      <c r="N19" s="12">
        <f t="shared" si="0"/>
        <v>11.219999999999999</v>
      </c>
      <c r="Q19" s="271" t="s">
        <v>153</v>
      </c>
      <c r="R19" s="212">
        <v>216.42000000000002</v>
      </c>
      <c r="S19" s="384">
        <f t="shared" si="1"/>
        <v>1.3840976504491507E-2</v>
      </c>
      <c r="T19" s="212">
        <f>I190</f>
        <v>42.480000000000004</v>
      </c>
      <c r="U19" s="384">
        <f t="shared" si="2"/>
        <v>3.4724748331405545E-3</v>
      </c>
      <c r="V19" s="212">
        <f>I129</f>
        <v>173.94</v>
      </c>
      <c r="W19" s="384">
        <f t="shared" si="3"/>
        <v>5.111627674612014E-2</v>
      </c>
    </row>
    <row r="20" spans="1:23" ht="15" customHeight="1" x14ac:dyDescent="0.35">
      <c r="A20" s="16" t="s">
        <v>28</v>
      </c>
      <c r="B20" s="12"/>
      <c r="C20" s="12"/>
      <c r="D20" s="12"/>
      <c r="E20" s="12">
        <v>2.62</v>
      </c>
      <c r="F20" s="12">
        <v>149.21</v>
      </c>
      <c r="G20" s="12">
        <v>0.94</v>
      </c>
      <c r="H20" s="12">
        <v>38.61</v>
      </c>
      <c r="I20" s="12">
        <v>12.600000000000001</v>
      </c>
      <c r="J20" s="12"/>
      <c r="K20" s="12">
        <v>22.089999999999996</v>
      </c>
      <c r="L20" s="12"/>
      <c r="M20" s="12">
        <v>0.41</v>
      </c>
      <c r="N20" s="12">
        <f t="shared" si="0"/>
        <v>226.48</v>
      </c>
      <c r="Q20" s="271" t="s">
        <v>154</v>
      </c>
      <c r="R20" s="212">
        <v>148.24</v>
      </c>
      <c r="S20" s="384">
        <f t="shared" si="1"/>
        <v>9.4805764579328211E-3</v>
      </c>
      <c r="T20" s="212">
        <f>B190</f>
        <v>146.93</v>
      </c>
      <c r="U20" s="384">
        <f t="shared" si="2"/>
        <v>1.201061033976793E-2</v>
      </c>
      <c r="V20" s="212">
        <f>B129</f>
        <v>1.31</v>
      </c>
      <c r="W20" s="384">
        <f t="shared" si="3"/>
        <v>3.8497368366918126E-4</v>
      </c>
    </row>
    <row r="21" spans="1:23" ht="15" customHeight="1" x14ac:dyDescent="0.35">
      <c r="A21" s="16" t="s">
        <v>29</v>
      </c>
      <c r="B21" s="12"/>
      <c r="C21" s="12"/>
      <c r="D21" s="12"/>
      <c r="E21" s="12"/>
      <c r="F21" s="12">
        <v>69.149999999999991</v>
      </c>
      <c r="G21" s="12"/>
      <c r="H21" s="12">
        <v>4.45</v>
      </c>
      <c r="I21" s="12"/>
      <c r="J21" s="12"/>
      <c r="K21" s="12">
        <v>1.83</v>
      </c>
      <c r="L21" s="12"/>
      <c r="M21" s="12"/>
      <c r="N21" s="12">
        <f t="shared" si="0"/>
        <v>75.429999999999993</v>
      </c>
      <c r="Q21" s="271" t="s">
        <v>156</v>
      </c>
      <c r="R21" s="212">
        <v>125.68</v>
      </c>
      <c r="S21" s="384">
        <f t="shared" si="1"/>
        <v>8.0377688156570218E-3</v>
      </c>
      <c r="T21" s="212">
        <f>J190</f>
        <v>95.22</v>
      </c>
      <c r="U21" s="384">
        <f t="shared" si="2"/>
        <v>7.7836406217430222E-3</v>
      </c>
      <c r="V21" s="212">
        <f>J129</f>
        <v>30.46</v>
      </c>
      <c r="W21" s="384">
        <f t="shared" si="3"/>
        <v>8.9513728279108865E-3</v>
      </c>
    </row>
    <row r="22" spans="1:23" ht="15" customHeight="1" x14ac:dyDescent="0.35">
      <c r="A22" s="16" t="s">
        <v>30</v>
      </c>
      <c r="B22" s="12">
        <v>2</v>
      </c>
      <c r="C22" s="12"/>
      <c r="D22" s="12">
        <v>5.5399999999999991</v>
      </c>
      <c r="E22" s="12">
        <v>28.22</v>
      </c>
      <c r="F22" s="12">
        <v>14.71</v>
      </c>
      <c r="G22" s="12">
        <v>47.32</v>
      </c>
      <c r="H22" s="12">
        <v>14.03</v>
      </c>
      <c r="I22" s="12">
        <v>6.3199999999999994</v>
      </c>
      <c r="J22" s="12"/>
      <c r="K22" s="12">
        <v>12.17</v>
      </c>
      <c r="L22" s="12"/>
      <c r="M22" s="12">
        <v>0.77</v>
      </c>
      <c r="N22" s="12">
        <f t="shared" si="0"/>
        <v>131.07999999999998</v>
      </c>
      <c r="Q22" s="271" t="s">
        <v>152</v>
      </c>
      <c r="R22" s="212">
        <v>54.66</v>
      </c>
      <c r="S22" s="384">
        <f t="shared" si="1"/>
        <v>3.495738729024608E-3</v>
      </c>
      <c r="T22" s="212">
        <f>D190</f>
        <v>11.579999999999998</v>
      </c>
      <c r="U22" s="384">
        <f t="shared" si="2"/>
        <v>9.4659271581373848E-4</v>
      </c>
      <c r="V22" s="212">
        <f>D129</f>
        <v>43.08</v>
      </c>
      <c r="W22" s="384">
        <f t="shared" si="3"/>
        <v>1.2660050604937655E-2</v>
      </c>
    </row>
    <row r="23" spans="1:23" ht="15" customHeight="1" x14ac:dyDescent="0.35">
      <c r="A23" s="272" t="s">
        <v>12</v>
      </c>
      <c r="B23" s="273">
        <v>9.48</v>
      </c>
      <c r="C23" s="273">
        <v>0.45</v>
      </c>
      <c r="D23" s="273"/>
      <c r="E23" s="273">
        <v>15.23</v>
      </c>
      <c r="F23" s="273">
        <v>363.95000000000005</v>
      </c>
      <c r="G23" s="273">
        <v>17.96</v>
      </c>
      <c r="H23" s="273">
        <v>1.1499999999999999</v>
      </c>
      <c r="I23" s="273"/>
      <c r="J23" s="273">
        <v>8.6</v>
      </c>
      <c r="K23" s="273">
        <v>64.27000000000001</v>
      </c>
      <c r="L23" s="273"/>
      <c r="M23" s="273">
        <v>7.33</v>
      </c>
      <c r="N23" s="273">
        <f t="shared" si="0"/>
        <v>488.42</v>
      </c>
      <c r="Q23" s="271" t="s">
        <v>160</v>
      </c>
      <c r="R23" s="212">
        <v>13.98</v>
      </c>
      <c r="S23" s="384">
        <f t="shared" si="1"/>
        <v>8.9408026768686476E-4</v>
      </c>
      <c r="T23" s="212">
        <f>C190</f>
        <v>13.53</v>
      </c>
      <c r="U23" s="384">
        <f t="shared" si="2"/>
        <v>1.1059930436062076E-3</v>
      </c>
      <c r="V23" s="212">
        <f>C129</f>
        <v>0.45</v>
      </c>
      <c r="W23" s="384">
        <f t="shared" si="3"/>
        <v>1.3224286843597829E-4</v>
      </c>
    </row>
    <row r="24" spans="1:23" ht="15" customHeight="1" x14ac:dyDescent="0.35">
      <c r="A24" s="6" t="s">
        <v>31</v>
      </c>
      <c r="B24" s="12">
        <v>0.9</v>
      </c>
      <c r="C24" s="12"/>
      <c r="D24" s="12"/>
      <c r="E24" s="12"/>
      <c r="F24" s="12">
        <v>113.42000000000002</v>
      </c>
      <c r="G24" s="12">
        <v>0.31</v>
      </c>
      <c r="H24" s="12"/>
      <c r="I24" s="12"/>
      <c r="J24" s="12">
        <v>2.93</v>
      </c>
      <c r="K24" s="12">
        <v>0.28999999999999998</v>
      </c>
      <c r="L24" s="12"/>
      <c r="M24" s="12">
        <v>5.23</v>
      </c>
      <c r="N24" s="12">
        <f t="shared" si="0"/>
        <v>123.08000000000004</v>
      </c>
      <c r="Q24" s="271" t="s">
        <v>122</v>
      </c>
      <c r="R24" s="212"/>
      <c r="S24" s="22">
        <f t="shared" ref="S24:S26" si="4">R24/$R$26</f>
        <v>0</v>
      </c>
      <c r="T24" s="212">
        <f>L190</f>
        <v>0</v>
      </c>
      <c r="U24" s="22">
        <f t="shared" si="2"/>
        <v>0</v>
      </c>
      <c r="V24" s="212">
        <f>L129</f>
        <v>0</v>
      </c>
      <c r="W24" s="22">
        <f t="shared" si="3"/>
        <v>0</v>
      </c>
    </row>
    <row r="25" spans="1:23" ht="15" customHeight="1" x14ac:dyDescent="0.35">
      <c r="A25" s="6" t="s">
        <v>32</v>
      </c>
      <c r="B25" s="12">
        <v>5.25</v>
      </c>
      <c r="C25" s="12">
        <v>0.45</v>
      </c>
      <c r="D25" s="12"/>
      <c r="E25" s="12"/>
      <c r="F25" s="12">
        <v>44.86999999999999</v>
      </c>
      <c r="G25" s="12">
        <v>1.02</v>
      </c>
      <c r="H25" s="12"/>
      <c r="I25" s="12"/>
      <c r="J25" s="12"/>
      <c r="K25" s="12">
        <v>1.96</v>
      </c>
      <c r="L25" s="12"/>
      <c r="M25" s="12"/>
      <c r="N25" s="12">
        <f t="shared" si="0"/>
        <v>53.55</v>
      </c>
      <c r="Q25" s="271" t="s">
        <v>123</v>
      </c>
      <c r="R25" s="212">
        <v>1751.6699999999994</v>
      </c>
      <c r="S25" s="22">
        <f t="shared" si="4"/>
        <v>0.112026722639417</v>
      </c>
      <c r="T25" s="212">
        <f>M190</f>
        <v>1464.5699999999995</v>
      </c>
      <c r="U25" s="22">
        <f t="shared" si="2"/>
        <v>0.11971945542308521</v>
      </c>
      <c r="V25" s="212">
        <f>M129</f>
        <v>287.09999999999997</v>
      </c>
      <c r="W25" s="22">
        <f>V25/$V$26</f>
        <v>8.4370950062154143E-2</v>
      </c>
    </row>
    <row r="26" spans="1:23" ht="15" customHeight="1" x14ac:dyDescent="0.35">
      <c r="A26" s="6" t="s">
        <v>33</v>
      </c>
      <c r="B26" s="12">
        <v>3.3299999999999996</v>
      </c>
      <c r="C26" s="12"/>
      <c r="D26" s="12"/>
      <c r="E26" s="12">
        <v>15.23</v>
      </c>
      <c r="F26" s="12">
        <v>205.66000000000003</v>
      </c>
      <c r="G26" s="12">
        <v>16.630000000000003</v>
      </c>
      <c r="H26" s="12">
        <v>1.1499999999999999</v>
      </c>
      <c r="I26" s="12"/>
      <c r="J26" s="12">
        <v>5.67</v>
      </c>
      <c r="K26" s="12">
        <v>62.02000000000001</v>
      </c>
      <c r="L26" s="12"/>
      <c r="M26" s="12">
        <v>2.1</v>
      </c>
      <c r="N26" s="12">
        <f t="shared" si="0"/>
        <v>311.79000000000008</v>
      </c>
      <c r="Q26" s="268" t="s">
        <v>130</v>
      </c>
      <c r="R26" s="269">
        <v>15636.18</v>
      </c>
      <c r="S26" s="270">
        <f t="shared" si="4"/>
        <v>1</v>
      </c>
      <c r="T26" s="269">
        <f>N190</f>
        <v>12233.35</v>
      </c>
      <c r="U26" s="270">
        <f>T26/$T$26</f>
        <v>1</v>
      </c>
      <c r="V26" s="545">
        <f>N129</f>
        <v>3402.83</v>
      </c>
      <c r="W26" s="546">
        <f>V26/V26</f>
        <v>1</v>
      </c>
    </row>
    <row r="27" spans="1:23" x14ac:dyDescent="0.35">
      <c r="A27" s="272" t="s">
        <v>13</v>
      </c>
      <c r="B27" s="273">
        <v>0.69</v>
      </c>
      <c r="C27" s="273"/>
      <c r="D27" s="273"/>
      <c r="E27" s="273"/>
      <c r="F27" s="273">
        <v>11.68</v>
      </c>
      <c r="G27" s="273">
        <v>6.92</v>
      </c>
      <c r="H27" s="273">
        <v>15.31</v>
      </c>
      <c r="I27" s="273"/>
      <c r="J27" s="273">
        <v>4.12</v>
      </c>
      <c r="K27" s="273">
        <v>2.38</v>
      </c>
      <c r="L27" s="273"/>
      <c r="M27" s="273">
        <v>2.85</v>
      </c>
      <c r="N27" s="273">
        <f t="shared" si="0"/>
        <v>43.95</v>
      </c>
    </row>
    <row r="28" spans="1:23" x14ac:dyDescent="0.35">
      <c r="A28" s="6" t="s">
        <v>34</v>
      </c>
      <c r="B28" s="12"/>
      <c r="C28" s="12"/>
      <c r="D28" s="12"/>
      <c r="E28" s="12"/>
      <c r="F28" s="12">
        <v>8.16</v>
      </c>
      <c r="G28" s="12"/>
      <c r="H28" s="12"/>
      <c r="I28" s="12"/>
      <c r="J28" s="12">
        <v>4.12</v>
      </c>
      <c r="K28" s="12">
        <v>1.45</v>
      </c>
      <c r="L28" s="12"/>
      <c r="M28" s="12">
        <v>2.41</v>
      </c>
      <c r="N28" s="12">
        <f t="shared" si="0"/>
        <v>16.14</v>
      </c>
    </row>
    <row r="29" spans="1:23" x14ac:dyDescent="0.35">
      <c r="A29" s="6" t="s">
        <v>61</v>
      </c>
      <c r="B29" s="12"/>
      <c r="C29" s="12"/>
      <c r="D29" s="12"/>
      <c r="E29" s="12"/>
      <c r="F29" s="12">
        <v>0.05</v>
      </c>
      <c r="G29" s="12"/>
      <c r="H29" s="12"/>
      <c r="I29" s="12"/>
      <c r="J29" s="12"/>
      <c r="K29" s="12">
        <v>0.93</v>
      </c>
      <c r="L29" s="12"/>
      <c r="M29" s="12"/>
      <c r="N29" s="12">
        <f t="shared" si="0"/>
        <v>0.98000000000000009</v>
      </c>
    </row>
    <row r="30" spans="1:23" x14ac:dyDescent="0.35">
      <c r="A30" s="6" t="s">
        <v>36</v>
      </c>
      <c r="B30" s="12">
        <v>0.69</v>
      </c>
      <c r="C30" s="12"/>
      <c r="D30" s="12"/>
      <c r="E30" s="12"/>
      <c r="F30" s="12">
        <v>3.4699999999999998</v>
      </c>
      <c r="G30" s="12">
        <v>6.92</v>
      </c>
      <c r="H30" s="12">
        <v>15.31</v>
      </c>
      <c r="I30" s="12"/>
      <c r="J30" s="12"/>
      <c r="K30" s="12"/>
      <c r="L30" s="12"/>
      <c r="M30" s="12">
        <v>0.44</v>
      </c>
      <c r="N30" s="12">
        <f t="shared" si="0"/>
        <v>26.830000000000002</v>
      </c>
    </row>
    <row r="31" spans="1:23" x14ac:dyDescent="0.35">
      <c r="A31" s="272" t="s">
        <v>14</v>
      </c>
      <c r="B31" s="273"/>
      <c r="C31" s="273"/>
      <c r="D31" s="273"/>
      <c r="E31" s="273"/>
      <c r="F31" s="273">
        <v>198.26000000000002</v>
      </c>
      <c r="G31" s="273"/>
      <c r="H31" s="273"/>
      <c r="I31" s="273"/>
      <c r="J31" s="273">
        <v>3.32</v>
      </c>
      <c r="K31" s="273">
        <v>255.51000000000002</v>
      </c>
      <c r="L31" s="273"/>
      <c r="M31" s="273"/>
      <c r="N31" s="273">
        <f t="shared" si="0"/>
        <v>457.09000000000003</v>
      </c>
    </row>
    <row r="32" spans="1:23" x14ac:dyDescent="0.35">
      <c r="A32" s="6" t="s">
        <v>37</v>
      </c>
      <c r="B32" s="12"/>
      <c r="C32" s="12"/>
      <c r="D32" s="12"/>
      <c r="E32" s="12"/>
      <c r="F32" s="12">
        <v>1.06</v>
      </c>
      <c r="G32" s="12"/>
      <c r="H32" s="12"/>
      <c r="I32" s="12"/>
      <c r="J32" s="12"/>
      <c r="K32" s="12">
        <v>1.58</v>
      </c>
      <c r="L32" s="12"/>
      <c r="M32" s="12"/>
      <c r="N32" s="12">
        <f t="shared" si="0"/>
        <v>2.64</v>
      </c>
    </row>
    <row r="33" spans="1:14" x14ac:dyDescent="0.35">
      <c r="A33" s="6" t="s">
        <v>38</v>
      </c>
      <c r="B33" s="12"/>
      <c r="C33" s="12"/>
      <c r="D33" s="12"/>
      <c r="E33" s="12"/>
      <c r="F33" s="12"/>
      <c r="G33" s="12"/>
      <c r="H33" s="12"/>
      <c r="I33" s="12"/>
      <c r="J33" s="12"/>
      <c r="K33" s="12">
        <v>1.07</v>
      </c>
      <c r="L33" s="12"/>
      <c r="M33" s="12"/>
      <c r="N33" s="12">
        <f t="shared" si="0"/>
        <v>1.07</v>
      </c>
    </row>
    <row r="34" spans="1:14" x14ac:dyDescent="0.35">
      <c r="A34" s="6" t="s">
        <v>39</v>
      </c>
      <c r="B34" s="12"/>
      <c r="C34" s="12"/>
      <c r="D34" s="12"/>
      <c r="E34" s="12"/>
      <c r="F34" s="12">
        <v>189.37</v>
      </c>
      <c r="G34" s="12"/>
      <c r="H34" s="12"/>
      <c r="I34" s="12"/>
      <c r="J34" s="12">
        <v>3.32</v>
      </c>
      <c r="K34" s="12">
        <v>236.72000000000003</v>
      </c>
      <c r="L34" s="12"/>
      <c r="M34" s="12"/>
      <c r="N34" s="12">
        <f t="shared" si="0"/>
        <v>429.41</v>
      </c>
    </row>
    <row r="35" spans="1:14" x14ac:dyDescent="0.35">
      <c r="A35" s="6" t="s">
        <v>40</v>
      </c>
      <c r="B35" s="12"/>
      <c r="C35" s="12"/>
      <c r="D35" s="12"/>
      <c r="E35" s="12"/>
      <c r="F35" s="12">
        <v>7.83</v>
      </c>
      <c r="G35" s="12"/>
      <c r="H35" s="12"/>
      <c r="I35" s="12"/>
      <c r="J35" s="12"/>
      <c r="K35" s="12">
        <v>16.139999999999997</v>
      </c>
      <c r="L35" s="12"/>
      <c r="M35" s="12"/>
      <c r="N35" s="12">
        <f t="shared" si="0"/>
        <v>23.97</v>
      </c>
    </row>
    <row r="36" spans="1:14" x14ac:dyDescent="0.35">
      <c r="A36" s="272" t="s">
        <v>15</v>
      </c>
      <c r="B36" s="273">
        <v>12.45</v>
      </c>
      <c r="C36" s="273">
        <v>1.46</v>
      </c>
      <c r="D36" s="273">
        <v>49.12</v>
      </c>
      <c r="E36" s="273">
        <v>84.72</v>
      </c>
      <c r="F36" s="273">
        <v>7044.3199999999979</v>
      </c>
      <c r="G36" s="273">
        <v>237.07000000000002</v>
      </c>
      <c r="H36" s="273">
        <v>753.41000000000008</v>
      </c>
      <c r="I36" s="273">
        <v>12.94</v>
      </c>
      <c r="J36" s="273">
        <v>54.959999999999994</v>
      </c>
      <c r="K36" s="273">
        <v>1476.8700000000003</v>
      </c>
      <c r="L36" s="273"/>
      <c r="M36" s="273">
        <v>1672.4699999999998</v>
      </c>
      <c r="N36" s="273">
        <f t="shared" si="0"/>
        <v>11399.789999999997</v>
      </c>
    </row>
    <row r="37" spans="1:14" x14ac:dyDescent="0.35">
      <c r="A37" s="6" t="s">
        <v>41</v>
      </c>
      <c r="B37" s="12"/>
      <c r="C37" s="12"/>
      <c r="D37" s="12">
        <v>2.0299999999999998</v>
      </c>
      <c r="E37" s="12">
        <v>19.810000000000002</v>
      </c>
      <c r="F37" s="12">
        <v>1489.2599999999993</v>
      </c>
      <c r="G37" s="12">
        <v>18.07</v>
      </c>
      <c r="H37" s="12">
        <v>218.70000000000005</v>
      </c>
      <c r="I37" s="12"/>
      <c r="J37" s="12"/>
      <c r="K37" s="12">
        <v>620.61</v>
      </c>
      <c r="L37" s="12"/>
      <c r="M37" s="12">
        <v>339.96</v>
      </c>
      <c r="N37" s="12">
        <f t="shared" si="0"/>
        <v>2708.4399999999991</v>
      </c>
    </row>
    <row r="38" spans="1:14" x14ac:dyDescent="0.35">
      <c r="A38" s="6" t="s">
        <v>42</v>
      </c>
      <c r="B38" s="12">
        <v>10.09</v>
      </c>
      <c r="C38" s="12">
        <v>1.46</v>
      </c>
      <c r="D38" s="12">
        <v>4.01</v>
      </c>
      <c r="E38" s="12">
        <v>1.42</v>
      </c>
      <c r="F38" s="12">
        <v>2719.6199999999976</v>
      </c>
      <c r="G38" s="12">
        <v>127.87000000000003</v>
      </c>
      <c r="H38" s="12">
        <v>140.16999999999999</v>
      </c>
      <c r="I38" s="12">
        <v>1.92</v>
      </c>
      <c r="J38" s="12">
        <v>16.02</v>
      </c>
      <c r="K38" s="12">
        <v>459.94000000000011</v>
      </c>
      <c r="L38" s="12"/>
      <c r="M38" s="12">
        <v>760.13999999999987</v>
      </c>
      <c r="N38" s="12">
        <f t="shared" si="0"/>
        <v>4242.659999999998</v>
      </c>
    </row>
    <row r="39" spans="1:14" x14ac:dyDescent="0.35">
      <c r="A39" s="6" t="s">
        <v>43</v>
      </c>
      <c r="B39" s="12"/>
      <c r="C39" s="12"/>
      <c r="D39" s="12"/>
      <c r="E39" s="12"/>
      <c r="F39" s="12">
        <v>747.12999999999977</v>
      </c>
      <c r="G39" s="12"/>
      <c r="H39" s="12">
        <v>8.36</v>
      </c>
      <c r="I39" s="12">
        <v>3.45</v>
      </c>
      <c r="J39" s="12"/>
      <c r="K39" s="12">
        <v>118.50999999999999</v>
      </c>
      <c r="L39" s="12"/>
      <c r="M39" s="12">
        <v>117.30999999999999</v>
      </c>
      <c r="N39" s="12">
        <f t="shared" si="0"/>
        <v>994.75999999999976</v>
      </c>
    </row>
    <row r="40" spans="1:14" x14ac:dyDescent="0.35">
      <c r="A40" s="6" t="s">
        <v>44</v>
      </c>
      <c r="B40" s="12">
        <v>2.36</v>
      </c>
      <c r="C40" s="12"/>
      <c r="D40" s="12"/>
      <c r="E40" s="12"/>
      <c r="F40" s="12">
        <v>119.36999999999999</v>
      </c>
      <c r="G40" s="12"/>
      <c r="H40" s="12"/>
      <c r="I40" s="12"/>
      <c r="J40" s="12"/>
      <c r="K40" s="12">
        <v>2.42</v>
      </c>
      <c r="L40" s="12"/>
      <c r="M40" s="12">
        <v>23.1</v>
      </c>
      <c r="N40" s="12">
        <f t="shared" si="0"/>
        <v>147.25</v>
      </c>
    </row>
    <row r="41" spans="1:14" x14ac:dyDescent="0.35">
      <c r="A41" s="6" t="s">
        <v>45</v>
      </c>
      <c r="B41" s="12"/>
      <c r="C41" s="12"/>
      <c r="D41" s="12">
        <v>43.08</v>
      </c>
      <c r="E41" s="12">
        <v>63.489999999999995</v>
      </c>
      <c r="F41" s="12">
        <v>1968.94</v>
      </c>
      <c r="G41" s="12">
        <v>91.13</v>
      </c>
      <c r="H41" s="12">
        <v>386.18000000000006</v>
      </c>
      <c r="I41" s="12">
        <v>7.5699999999999994</v>
      </c>
      <c r="J41" s="12">
        <v>38.94</v>
      </c>
      <c r="K41" s="12">
        <v>275.39</v>
      </c>
      <c r="L41" s="12"/>
      <c r="M41" s="12">
        <v>431.95999999999992</v>
      </c>
      <c r="N41" s="12">
        <f t="shared" si="0"/>
        <v>3306.6800000000007</v>
      </c>
    </row>
    <row r="42" spans="1:14" x14ac:dyDescent="0.35">
      <c r="A42" s="272" t="s">
        <v>16</v>
      </c>
      <c r="B42" s="273">
        <v>28.720000000000002</v>
      </c>
      <c r="C42" s="273">
        <v>4.1399999999999997</v>
      </c>
      <c r="D42" s="273"/>
      <c r="E42" s="273"/>
      <c r="F42" s="273">
        <v>418.64</v>
      </c>
      <c r="G42" s="273"/>
      <c r="H42" s="273">
        <v>37.540000000000006</v>
      </c>
      <c r="I42" s="273"/>
      <c r="J42" s="273">
        <v>9.49</v>
      </c>
      <c r="K42" s="273">
        <v>80.45</v>
      </c>
      <c r="L42" s="273"/>
      <c r="M42" s="273">
        <v>10.149999999999999</v>
      </c>
      <c r="N42" s="273">
        <f t="shared" si="0"/>
        <v>589.13</v>
      </c>
    </row>
    <row r="43" spans="1:14" x14ac:dyDescent="0.35">
      <c r="A43" s="6" t="s">
        <v>46</v>
      </c>
      <c r="B43" s="12"/>
      <c r="C43" s="12"/>
      <c r="D43" s="12"/>
      <c r="E43" s="12"/>
      <c r="F43" s="12">
        <v>13.35</v>
      </c>
      <c r="G43" s="12"/>
      <c r="H43" s="12"/>
      <c r="I43" s="12"/>
      <c r="J43" s="12"/>
      <c r="K43" s="12"/>
      <c r="L43" s="12"/>
      <c r="M43" s="12"/>
      <c r="N43" s="12">
        <f t="shared" si="0"/>
        <v>13.35</v>
      </c>
    </row>
    <row r="44" spans="1:14" x14ac:dyDescent="0.35">
      <c r="A44" s="6" t="s">
        <v>47</v>
      </c>
      <c r="B44" s="12">
        <v>1.18</v>
      </c>
      <c r="C44" s="12"/>
      <c r="D44" s="12"/>
      <c r="E44" s="12"/>
      <c r="F44" s="12">
        <v>2.9400000000000004</v>
      </c>
      <c r="G44" s="12"/>
      <c r="H44" s="12"/>
      <c r="I44" s="12"/>
      <c r="J44" s="12"/>
      <c r="K44" s="12"/>
      <c r="L44" s="12"/>
      <c r="M44" s="12">
        <v>7.02</v>
      </c>
      <c r="N44" s="12">
        <f t="shared" si="0"/>
        <v>11.14</v>
      </c>
    </row>
    <row r="45" spans="1:14" x14ac:dyDescent="0.35">
      <c r="A45" s="182" t="s">
        <v>48</v>
      </c>
      <c r="B45" s="12">
        <v>0.37</v>
      </c>
      <c r="C45" s="12"/>
      <c r="D45" s="12"/>
      <c r="E45" s="12"/>
      <c r="F45" s="12">
        <v>16.419999999999998</v>
      </c>
      <c r="G45" s="12"/>
      <c r="H45" s="12"/>
      <c r="I45" s="12"/>
      <c r="J45" s="12"/>
      <c r="K45" s="12"/>
      <c r="L45" s="12"/>
      <c r="M45" s="12"/>
      <c r="N45" s="12">
        <f t="shared" si="0"/>
        <v>16.79</v>
      </c>
    </row>
    <row r="46" spans="1:14" x14ac:dyDescent="0.35">
      <c r="A46" s="182" t="s">
        <v>49</v>
      </c>
      <c r="B46" s="12">
        <v>0.82</v>
      </c>
      <c r="C46" s="12"/>
      <c r="D46" s="12"/>
      <c r="E46" s="12"/>
      <c r="F46" s="12">
        <v>2.4500000000000002</v>
      </c>
      <c r="G46" s="12"/>
      <c r="H46" s="12"/>
      <c r="I46" s="12"/>
      <c r="J46" s="12"/>
      <c r="K46" s="12">
        <v>4.21</v>
      </c>
      <c r="L46" s="12"/>
      <c r="M46" s="12">
        <v>0.08</v>
      </c>
      <c r="N46" s="12">
        <f t="shared" si="0"/>
        <v>7.5600000000000005</v>
      </c>
    </row>
    <row r="47" spans="1:14" x14ac:dyDescent="0.35">
      <c r="A47" s="182" t="s">
        <v>50</v>
      </c>
      <c r="B47" s="12">
        <v>5.25</v>
      </c>
      <c r="C47" s="12"/>
      <c r="D47" s="12"/>
      <c r="E47" s="12"/>
      <c r="F47" s="12">
        <v>30.61999999999999</v>
      </c>
      <c r="G47" s="12"/>
      <c r="H47" s="12"/>
      <c r="I47" s="12"/>
      <c r="J47" s="12">
        <v>5.84</v>
      </c>
      <c r="K47" s="12">
        <v>17.14</v>
      </c>
      <c r="L47" s="12"/>
      <c r="M47" s="12"/>
      <c r="N47" s="12">
        <f t="shared" si="0"/>
        <v>58.849999999999994</v>
      </c>
    </row>
    <row r="48" spans="1:14" x14ac:dyDescent="0.35">
      <c r="A48" s="182" t="s">
        <v>51</v>
      </c>
      <c r="B48" s="12">
        <v>9.48</v>
      </c>
      <c r="C48" s="12">
        <v>1.45</v>
      </c>
      <c r="D48" s="12"/>
      <c r="E48" s="12"/>
      <c r="F48" s="12">
        <v>4.17</v>
      </c>
      <c r="G48" s="12"/>
      <c r="H48" s="12"/>
      <c r="I48" s="12"/>
      <c r="J48" s="12"/>
      <c r="K48" s="12">
        <v>0.46</v>
      </c>
      <c r="L48" s="12"/>
      <c r="M48" s="12"/>
      <c r="N48" s="12">
        <f t="shared" si="0"/>
        <v>15.56</v>
      </c>
    </row>
    <row r="49" spans="1:14" x14ac:dyDescent="0.35">
      <c r="A49" s="182" t="s">
        <v>52</v>
      </c>
      <c r="B49" s="54"/>
      <c r="C49" s="54"/>
      <c r="D49" s="54"/>
      <c r="E49" s="54"/>
      <c r="F49" s="54">
        <v>2.8600000000000003</v>
      </c>
      <c r="G49" s="54"/>
      <c r="H49" s="54"/>
      <c r="I49" s="54"/>
      <c r="J49" s="54"/>
      <c r="K49" s="54"/>
      <c r="L49" s="54"/>
      <c r="M49" s="54"/>
      <c r="N49" s="12">
        <f t="shared" si="0"/>
        <v>2.8600000000000003</v>
      </c>
    </row>
    <row r="50" spans="1:14" x14ac:dyDescent="0.35">
      <c r="A50" s="182" t="s">
        <v>53</v>
      </c>
      <c r="B50" s="12">
        <v>5.42</v>
      </c>
      <c r="C50" s="12">
        <v>2.69</v>
      </c>
      <c r="D50" s="12"/>
      <c r="E50" s="12"/>
      <c r="F50" s="12">
        <v>198.78</v>
      </c>
      <c r="G50" s="12"/>
      <c r="H50" s="12">
        <v>4.2</v>
      </c>
      <c r="I50" s="12"/>
      <c r="J50" s="12"/>
      <c r="K50" s="12">
        <v>46.529999999999994</v>
      </c>
      <c r="L50" s="12"/>
      <c r="M50" s="12"/>
      <c r="N50" s="12">
        <f t="shared" si="0"/>
        <v>257.61999999999995</v>
      </c>
    </row>
    <row r="51" spans="1:14" x14ac:dyDescent="0.35">
      <c r="A51" s="6" t="s">
        <v>54</v>
      </c>
      <c r="B51" s="12">
        <v>6.1999999999999993</v>
      </c>
      <c r="C51" s="12"/>
      <c r="D51" s="12"/>
      <c r="E51" s="12"/>
      <c r="F51" s="12">
        <v>147.04999999999998</v>
      </c>
      <c r="G51" s="12"/>
      <c r="H51" s="12">
        <v>33.340000000000003</v>
      </c>
      <c r="I51" s="12"/>
      <c r="J51" s="12">
        <v>3.65</v>
      </c>
      <c r="K51" s="12">
        <v>12.11</v>
      </c>
      <c r="L51" s="12"/>
      <c r="M51" s="12">
        <v>3.05</v>
      </c>
      <c r="N51" s="12">
        <f t="shared" si="0"/>
        <v>205.39999999999998</v>
      </c>
    </row>
    <row r="52" spans="1:14" x14ac:dyDescent="0.35">
      <c r="A52" s="272" t="s">
        <v>18</v>
      </c>
      <c r="B52" s="273"/>
      <c r="C52" s="273"/>
      <c r="D52" s="273"/>
      <c r="E52" s="273"/>
      <c r="F52" s="273"/>
      <c r="G52" s="273"/>
      <c r="H52" s="273"/>
      <c r="I52" s="273"/>
      <c r="J52" s="273"/>
      <c r="K52" s="273"/>
      <c r="L52" s="273"/>
      <c r="M52" s="273"/>
      <c r="N52" s="273">
        <f t="shared" si="0"/>
        <v>0</v>
      </c>
    </row>
    <row r="53" spans="1:14" x14ac:dyDescent="0.35">
      <c r="A53" s="6" t="s">
        <v>18</v>
      </c>
      <c r="B53" s="54"/>
      <c r="C53" s="54"/>
      <c r="D53" s="54"/>
      <c r="E53" s="54"/>
      <c r="F53" s="54"/>
      <c r="G53" s="54"/>
      <c r="H53" s="54"/>
      <c r="I53" s="54"/>
      <c r="J53" s="54"/>
      <c r="K53" s="54"/>
      <c r="L53" s="54"/>
      <c r="M53" s="54"/>
      <c r="N53" s="54"/>
    </row>
    <row r="54" spans="1:14" x14ac:dyDescent="0.35">
      <c r="A54" s="272" t="s">
        <v>17</v>
      </c>
      <c r="B54" s="273">
        <v>47.7</v>
      </c>
      <c r="C54" s="273">
        <v>7.93</v>
      </c>
      <c r="D54" s="273"/>
      <c r="E54" s="273">
        <v>87.47</v>
      </c>
      <c r="F54" s="273">
        <v>199.72</v>
      </c>
      <c r="G54" s="273">
        <v>81.960000000000008</v>
      </c>
      <c r="H54" s="273">
        <v>45.330000000000005</v>
      </c>
      <c r="I54" s="273"/>
      <c r="J54" s="273"/>
      <c r="K54" s="273">
        <v>83.39</v>
      </c>
      <c r="L54" s="273"/>
      <c r="M54" s="273">
        <v>11.579999999999998</v>
      </c>
      <c r="N54" s="273">
        <f>SUM(B54:M54)</f>
        <v>565.08000000000004</v>
      </c>
    </row>
    <row r="55" spans="1:14" x14ac:dyDescent="0.35">
      <c r="A55" s="6" t="s">
        <v>55</v>
      </c>
      <c r="B55" s="12">
        <v>15.59</v>
      </c>
      <c r="C55" s="12">
        <v>7.93</v>
      </c>
      <c r="D55" s="12"/>
      <c r="E55" s="12">
        <v>14.5</v>
      </c>
      <c r="F55" s="12">
        <v>89.199999999999989</v>
      </c>
      <c r="G55" s="12">
        <v>41.699999999999996</v>
      </c>
      <c r="H55" s="12">
        <v>2.95</v>
      </c>
      <c r="I55" s="12"/>
      <c r="J55" s="12"/>
      <c r="K55" s="12">
        <v>65.59</v>
      </c>
      <c r="L55" s="12"/>
      <c r="M55" s="12">
        <v>10.119999999999999</v>
      </c>
      <c r="N55" s="12">
        <f>SUM(B55:M55)</f>
        <v>247.57999999999998</v>
      </c>
    </row>
    <row r="56" spans="1:14" x14ac:dyDescent="0.35">
      <c r="A56" s="6" t="s">
        <v>56</v>
      </c>
      <c r="B56" s="12">
        <v>32.110000000000007</v>
      </c>
      <c r="C56" s="12"/>
      <c r="D56" s="12"/>
      <c r="E56" s="12">
        <v>72.97</v>
      </c>
      <c r="F56" s="12">
        <v>110.52000000000001</v>
      </c>
      <c r="G56" s="12">
        <v>40.260000000000005</v>
      </c>
      <c r="H56" s="12">
        <v>42.38</v>
      </c>
      <c r="I56" s="12"/>
      <c r="J56" s="12"/>
      <c r="K56" s="12">
        <v>17.8</v>
      </c>
      <c r="L56" s="12"/>
      <c r="M56" s="12">
        <v>1.46</v>
      </c>
      <c r="N56" s="12">
        <f>SUM(B56:M56)</f>
        <v>317.5</v>
      </c>
    </row>
    <row r="57" spans="1:14" x14ac:dyDescent="0.35">
      <c r="A57" s="272" t="s">
        <v>64</v>
      </c>
      <c r="B57" s="273"/>
      <c r="C57" s="273"/>
      <c r="D57" s="273"/>
      <c r="E57" s="273"/>
      <c r="F57" s="273"/>
      <c r="G57" s="273"/>
      <c r="H57" s="273"/>
      <c r="I57" s="273"/>
      <c r="J57" s="273"/>
      <c r="K57" s="273"/>
      <c r="L57" s="273"/>
      <c r="M57" s="273"/>
      <c r="N57" s="273">
        <f>SUM(B57:M57)</f>
        <v>0</v>
      </c>
    </row>
    <row r="58" spans="1:14" x14ac:dyDescent="0.35">
      <c r="A58" s="6" t="s">
        <v>65</v>
      </c>
      <c r="B58" s="12"/>
      <c r="C58" s="12"/>
      <c r="D58" s="12"/>
      <c r="E58" s="12"/>
      <c r="F58" s="12"/>
      <c r="G58" s="12"/>
      <c r="H58" s="12"/>
      <c r="I58" s="12"/>
      <c r="J58" s="12"/>
      <c r="K58" s="12"/>
      <c r="L58" s="12"/>
      <c r="M58" s="12"/>
      <c r="N58" s="12"/>
    </row>
    <row r="59" spans="1:14" x14ac:dyDescent="0.35">
      <c r="A59" s="6" t="s">
        <v>66</v>
      </c>
      <c r="B59" s="12"/>
      <c r="C59" s="12"/>
      <c r="D59" s="12"/>
      <c r="E59" s="12"/>
      <c r="F59" s="12"/>
      <c r="G59" s="12"/>
      <c r="H59" s="12"/>
      <c r="I59" s="12"/>
      <c r="J59" s="12"/>
      <c r="K59" s="12"/>
      <c r="L59" s="12"/>
      <c r="M59" s="12"/>
      <c r="N59" s="12"/>
    </row>
    <row r="60" spans="1:14" x14ac:dyDescent="0.35">
      <c r="A60" s="272" t="s">
        <v>20</v>
      </c>
      <c r="B60" s="273"/>
      <c r="C60" s="273"/>
      <c r="D60" s="273"/>
      <c r="E60" s="273"/>
      <c r="F60" s="273">
        <v>16.420000000000002</v>
      </c>
      <c r="G60" s="273">
        <v>0.26</v>
      </c>
      <c r="H60" s="273"/>
      <c r="I60" s="273"/>
      <c r="J60" s="273"/>
      <c r="K60" s="273">
        <v>2.33</v>
      </c>
      <c r="L60" s="273"/>
      <c r="M60" s="273"/>
      <c r="N60" s="273">
        <f t="shared" ref="N60:N68" si="5">SUM(B60:M60)</f>
        <v>19.010000000000005</v>
      </c>
    </row>
    <row r="61" spans="1:14" x14ac:dyDescent="0.35">
      <c r="A61" s="6" t="s">
        <v>20</v>
      </c>
      <c r="B61" s="12"/>
      <c r="C61" s="12"/>
      <c r="D61" s="12"/>
      <c r="E61" s="12"/>
      <c r="F61" s="12">
        <v>16.420000000000002</v>
      </c>
      <c r="G61" s="12">
        <v>0.26</v>
      </c>
      <c r="H61" s="12"/>
      <c r="I61" s="12"/>
      <c r="J61" s="12"/>
      <c r="K61" s="12">
        <v>2.33</v>
      </c>
      <c r="L61" s="12"/>
      <c r="M61" s="12"/>
      <c r="N61" s="12">
        <f t="shared" si="5"/>
        <v>19.010000000000005</v>
      </c>
    </row>
    <row r="62" spans="1:14" x14ac:dyDescent="0.35">
      <c r="A62" s="272" t="s">
        <v>21</v>
      </c>
      <c r="B62" s="273">
        <v>24.33</v>
      </c>
      <c r="C62" s="273"/>
      <c r="D62" s="273"/>
      <c r="E62" s="273"/>
      <c r="F62" s="273">
        <v>156.4</v>
      </c>
      <c r="G62" s="273"/>
      <c r="H62" s="273"/>
      <c r="I62" s="273">
        <v>4.9800000000000004</v>
      </c>
      <c r="J62" s="273">
        <v>13.120000000000001</v>
      </c>
      <c r="K62" s="273">
        <v>9.61</v>
      </c>
      <c r="L62" s="273"/>
      <c r="M62" s="273">
        <v>16.919999999999998</v>
      </c>
      <c r="N62" s="273">
        <f t="shared" si="5"/>
        <v>225.35999999999999</v>
      </c>
    </row>
    <row r="63" spans="1:14" x14ac:dyDescent="0.35">
      <c r="A63" s="6" t="s">
        <v>21</v>
      </c>
      <c r="B63" s="12">
        <v>24.33</v>
      </c>
      <c r="C63" s="12"/>
      <c r="D63" s="12"/>
      <c r="E63" s="12"/>
      <c r="F63" s="12">
        <v>156.4</v>
      </c>
      <c r="G63" s="12"/>
      <c r="H63" s="12"/>
      <c r="I63" s="12">
        <v>4.9800000000000004</v>
      </c>
      <c r="J63" s="12">
        <v>13.120000000000001</v>
      </c>
      <c r="K63" s="12">
        <v>9.61</v>
      </c>
      <c r="L63" s="12"/>
      <c r="M63" s="12">
        <v>16.919999999999998</v>
      </c>
      <c r="N63" s="12">
        <f t="shared" si="5"/>
        <v>225.35999999999999</v>
      </c>
    </row>
    <row r="64" spans="1:14" x14ac:dyDescent="0.35">
      <c r="A64" s="272" t="s">
        <v>22</v>
      </c>
      <c r="B64" s="273"/>
      <c r="C64" s="273"/>
      <c r="D64" s="273"/>
      <c r="E64" s="273"/>
      <c r="F64" s="273">
        <v>178.73000000000005</v>
      </c>
      <c r="G64" s="273">
        <v>39.229999999999997</v>
      </c>
      <c r="H64" s="273">
        <v>1.5</v>
      </c>
      <c r="I64" s="273">
        <v>165.09</v>
      </c>
      <c r="J64" s="273"/>
      <c r="K64" s="273">
        <v>15.969999999999999</v>
      </c>
      <c r="L64" s="273"/>
      <c r="M64" s="273">
        <v>2.7199999999999998</v>
      </c>
      <c r="N64" s="273">
        <f t="shared" si="5"/>
        <v>403.24000000000012</v>
      </c>
    </row>
    <row r="65" spans="1:20" x14ac:dyDescent="0.35">
      <c r="A65" s="6" t="s">
        <v>22</v>
      </c>
      <c r="B65" s="12"/>
      <c r="C65" s="12"/>
      <c r="D65" s="12"/>
      <c r="E65" s="12"/>
      <c r="F65" s="12">
        <v>178.73000000000005</v>
      </c>
      <c r="G65" s="12">
        <v>39.229999999999997</v>
      </c>
      <c r="H65" s="12">
        <v>1.5</v>
      </c>
      <c r="I65" s="12">
        <v>165.09</v>
      </c>
      <c r="J65" s="12"/>
      <c r="K65" s="12">
        <v>15.969999999999999</v>
      </c>
      <c r="L65" s="12"/>
      <c r="M65" s="12">
        <v>2.7199999999999998</v>
      </c>
      <c r="N65" s="12">
        <f t="shared" si="5"/>
        <v>403.24000000000012</v>
      </c>
    </row>
    <row r="66" spans="1:20" x14ac:dyDescent="0.35">
      <c r="A66" s="272" t="s">
        <v>23</v>
      </c>
      <c r="B66" s="273">
        <v>17.190000000000001</v>
      </c>
      <c r="C66" s="273"/>
      <c r="D66" s="273"/>
      <c r="E66" s="273"/>
      <c r="F66" s="273">
        <v>39.6</v>
      </c>
      <c r="G66" s="273"/>
      <c r="H66" s="273"/>
      <c r="I66" s="273"/>
      <c r="J66" s="273">
        <v>1.33</v>
      </c>
      <c r="K66" s="273">
        <v>0.53</v>
      </c>
      <c r="L66" s="273"/>
      <c r="M66" s="273">
        <v>1.37</v>
      </c>
      <c r="N66" s="273">
        <f t="shared" si="5"/>
        <v>60.02</v>
      </c>
    </row>
    <row r="67" spans="1:20" x14ac:dyDescent="0.35">
      <c r="A67" s="6" t="s">
        <v>23</v>
      </c>
      <c r="B67" s="12">
        <v>17.190000000000001</v>
      </c>
      <c r="C67" s="12"/>
      <c r="D67" s="12"/>
      <c r="E67" s="12"/>
      <c r="F67" s="12">
        <v>39.6</v>
      </c>
      <c r="G67" s="12"/>
      <c r="H67" s="12"/>
      <c r="I67" s="12"/>
      <c r="J67" s="12">
        <v>1.33</v>
      </c>
      <c r="K67" s="12">
        <v>0.53</v>
      </c>
      <c r="L67" s="12"/>
      <c r="M67" s="12">
        <v>1.37</v>
      </c>
      <c r="N67" s="12">
        <f t="shared" si="5"/>
        <v>60.02</v>
      </c>
    </row>
    <row r="68" spans="1:20" x14ac:dyDescent="0.35">
      <c r="A68" s="274" t="s">
        <v>25</v>
      </c>
      <c r="B68" s="275">
        <v>148.24</v>
      </c>
      <c r="C68" s="275">
        <v>13.98</v>
      </c>
      <c r="D68" s="275">
        <v>54.66</v>
      </c>
      <c r="E68" s="275">
        <v>268.55999999999995</v>
      </c>
      <c r="F68" s="275">
        <v>9487.6999999999989</v>
      </c>
      <c r="G68" s="275">
        <v>475.90000000000003</v>
      </c>
      <c r="H68" s="275">
        <v>967.9000000000002</v>
      </c>
      <c r="I68" s="275">
        <v>216.42000000000002</v>
      </c>
      <c r="J68" s="275">
        <v>125.68</v>
      </c>
      <c r="K68" s="275">
        <v>2125.4700000000007</v>
      </c>
      <c r="L68" s="275"/>
      <c r="M68" s="275">
        <v>1751.6699999999994</v>
      </c>
      <c r="N68" s="275">
        <f t="shared" si="5"/>
        <v>15636.18</v>
      </c>
    </row>
    <row r="71" spans="1:20" ht="18.5" x14ac:dyDescent="0.45">
      <c r="A71" s="223"/>
    </row>
    <row r="72" spans="1:20" ht="15.5" x14ac:dyDescent="0.35">
      <c r="A72" s="276" t="s">
        <v>98</v>
      </c>
    </row>
    <row r="73" spans="1:20" ht="15" customHeight="1" x14ac:dyDescent="0.35">
      <c r="A73" s="713" t="s">
        <v>88</v>
      </c>
      <c r="B73" s="715" t="s">
        <v>113</v>
      </c>
      <c r="C73" s="715"/>
      <c r="D73" s="715"/>
      <c r="E73" s="715"/>
      <c r="F73" s="715"/>
      <c r="G73" s="715"/>
      <c r="H73" s="715"/>
      <c r="I73" s="715"/>
      <c r="J73" s="715"/>
      <c r="K73" s="715"/>
      <c r="L73" s="715"/>
      <c r="M73" s="715"/>
      <c r="N73" s="715"/>
      <c r="O73" s="232"/>
      <c r="P73" s="232"/>
      <c r="Q73" s="232"/>
      <c r="R73" s="232"/>
      <c r="S73" s="232"/>
      <c r="T73" s="111"/>
    </row>
    <row r="74" spans="1:20" ht="30" customHeight="1" x14ac:dyDescent="0.35">
      <c r="A74" s="714" t="s">
        <v>5</v>
      </c>
      <c r="B74" s="279" t="s">
        <v>154</v>
      </c>
      <c r="C74" s="267" t="s">
        <v>160</v>
      </c>
      <c r="D74" s="267" t="s">
        <v>152</v>
      </c>
      <c r="E74" s="267" t="s">
        <v>157</v>
      </c>
      <c r="F74" s="267" t="s">
        <v>149</v>
      </c>
      <c r="G74" s="267" t="s">
        <v>151</v>
      </c>
      <c r="H74" s="267" t="s">
        <v>155</v>
      </c>
      <c r="I74" s="267" t="s">
        <v>153</v>
      </c>
      <c r="J74" s="267" t="s">
        <v>156</v>
      </c>
      <c r="K74" s="267" t="s">
        <v>150</v>
      </c>
      <c r="L74" s="267" t="s">
        <v>122</v>
      </c>
      <c r="M74" s="267" t="s">
        <v>123</v>
      </c>
      <c r="N74" s="267" t="s">
        <v>124</v>
      </c>
      <c r="Q74" s="711" t="s">
        <v>194</v>
      </c>
      <c r="R74" s="712"/>
      <c r="S74" s="724"/>
    </row>
    <row r="75" spans="1:20" x14ac:dyDescent="0.35">
      <c r="A75" s="272" t="s">
        <v>5</v>
      </c>
      <c r="B75" s="273">
        <v>1.28</v>
      </c>
      <c r="C75" s="273"/>
      <c r="D75" s="273"/>
      <c r="E75" s="273"/>
      <c r="F75" s="273">
        <v>211.91000000000003</v>
      </c>
      <c r="G75" s="273">
        <v>26.37</v>
      </c>
      <c r="H75" s="273">
        <v>6.63</v>
      </c>
      <c r="I75" s="273">
        <v>1.45</v>
      </c>
      <c r="J75" s="273">
        <v>30.46</v>
      </c>
      <c r="K75" s="273">
        <v>0.36</v>
      </c>
      <c r="L75" s="273"/>
      <c r="M75" s="273">
        <v>6.92</v>
      </c>
      <c r="N75" s="273">
        <f t="shared" ref="N75:N113" si="6">SUM(B75:M75)</f>
        <v>285.38000000000005</v>
      </c>
      <c r="Q75" s="271" t="s">
        <v>149</v>
      </c>
      <c r="R75" s="212">
        <v>2341.3000000000002</v>
      </c>
      <c r="S75" s="22">
        <f t="shared" ref="S75:S84" si="7">R75/$R$87</f>
        <v>0.68804495082034667</v>
      </c>
    </row>
    <row r="76" spans="1:20" x14ac:dyDescent="0.35">
      <c r="A76" s="15" t="s">
        <v>6</v>
      </c>
      <c r="B76" s="12"/>
      <c r="C76" s="12"/>
      <c r="D76" s="12"/>
      <c r="E76" s="12"/>
      <c r="F76" s="12">
        <v>0.14000000000000001</v>
      </c>
      <c r="G76" s="12"/>
      <c r="H76" s="12"/>
      <c r="I76" s="12"/>
      <c r="J76" s="12"/>
      <c r="K76" s="12">
        <v>0.36</v>
      </c>
      <c r="L76" s="12"/>
      <c r="M76" s="12"/>
      <c r="N76" s="12">
        <f t="shared" si="6"/>
        <v>0.5</v>
      </c>
      <c r="Q76" s="271" t="s">
        <v>150</v>
      </c>
      <c r="R76" s="212">
        <v>263.95</v>
      </c>
      <c r="S76" s="22">
        <f t="shared" si="7"/>
        <v>7.756778916372549E-2</v>
      </c>
    </row>
    <row r="77" spans="1:20" x14ac:dyDescent="0.35">
      <c r="A77" s="16" t="s">
        <v>7</v>
      </c>
      <c r="B77" s="12"/>
      <c r="C77" s="12"/>
      <c r="D77" s="12"/>
      <c r="E77" s="12"/>
      <c r="F77" s="12"/>
      <c r="G77" s="12">
        <v>1.26</v>
      </c>
      <c r="H77" s="12"/>
      <c r="I77" s="12">
        <v>0.24</v>
      </c>
      <c r="J77" s="12"/>
      <c r="K77" s="12"/>
      <c r="L77" s="12"/>
      <c r="M77" s="12">
        <v>6.83</v>
      </c>
      <c r="N77" s="12">
        <f t="shared" si="6"/>
        <v>8.33</v>
      </c>
      <c r="Q77" s="271" t="s">
        <v>153</v>
      </c>
      <c r="R77" s="212">
        <v>173.94</v>
      </c>
      <c r="S77" s="22">
        <f t="shared" si="7"/>
        <v>5.111627674612014E-2</v>
      </c>
    </row>
    <row r="78" spans="1:20" x14ac:dyDescent="0.35">
      <c r="A78" s="16" t="s">
        <v>8</v>
      </c>
      <c r="B78" s="12">
        <v>1.28</v>
      </c>
      <c r="C78" s="12"/>
      <c r="D78" s="12"/>
      <c r="E78" s="12"/>
      <c r="F78" s="12">
        <v>36.090000000000003</v>
      </c>
      <c r="G78" s="12">
        <v>3.2</v>
      </c>
      <c r="H78" s="12"/>
      <c r="I78" s="12">
        <v>1.21</v>
      </c>
      <c r="J78" s="12">
        <v>28.94</v>
      </c>
      <c r="K78" s="12"/>
      <c r="L78" s="12"/>
      <c r="M78" s="12"/>
      <c r="N78" s="12">
        <f t="shared" si="6"/>
        <v>70.720000000000013</v>
      </c>
      <c r="Q78" s="271" t="s">
        <v>155</v>
      </c>
      <c r="R78" s="212">
        <v>131.04999999999998</v>
      </c>
      <c r="S78" s="22">
        <f t="shared" si="7"/>
        <v>3.8512062018966564E-2</v>
      </c>
    </row>
    <row r="79" spans="1:20" x14ac:dyDescent="0.35">
      <c r="A79" s="16" t="s">
        <v>26</v>
      </c>
      <c r="B79" s="12"/>
      <c r="C79" s="12"/>
      <c r="D79" s="12"/>
      <c r="E79" s="12"/>
      <c r="F79" s="12">
        <v>152.44</v>
      </c>
      <c r="G79" s="12"/>
      <c r="H79" s="12"/>
      <c r="I79" s="12"/>
      <c r="J79" s="12">
        <v>1.52</v>
      </c>
      <c r="K79" s="12"/>
      <c r="L79" s="12"/>
      <c r="M79" s="12">
        <v>0.09</v>
      </c>
      <c r="N79" s="12">
        <f t="shared" si="6"/>
        <v>154.05000000000001</v>
      </c>
      <c r="Q79" s="271" t="s">
        <v>151</v>
      </c>
      <c r="R79" s="212">
        <v>113.81000000000002</v>
      </c>
      <c r="S79" s="22">
        <f t="shared" si="7"/>
        <v>3.3445690792663761E-2</v>
      </c>
    </row>
    <row r="80" spans="1:20" x14ac:dyDescent="0.35">
      <c r="A80" s="16" t="s">
        <v>27</v>
      </c>
      <c r="B80" s="12"/>
      <c r="C80" s="12"/>
      <c r="D80" s="12"/>
      <c r="E80" s="12"/>
      <c r="F80" s="12"/>
      <c r="G80" s="12"/>
      <c r="H80" s="12"/>
      <c r="I80" s="12"/>
      <c r="J80" s="12"/>
      <c r="K80" s="12"/>
      <c r="L80" s="12"/>
      <c r="M80" s="12"/>
      <c r="N80" s="12">
        <f t="shared" si="6"/>
        <v>0</v>
      </c>
      <c r="Q80" s="271" t="s">
        <v>152</v>
      </c>
      <c r="R80" s="212">
        <v>43.08</v>
      </c>
      <c r="S80" s="384">
        <f t="shared" si="7"/>
        <v>1.2660050604937655E-2</v>
      </c>
    </row>
    <row r="81" spans="1:19" x14ac:dyDescent="0.35">
      <c r="A81" s="16" t="s">
        <v>28</v>
      </c>
      <c r="B81" s="12"/>
      <c r="C81" s="12"/>
      <c r="D81" s="12"/>
      <c r="E81" s="12"/>
      <c r="F81" s="12">
        <v>12.690000000000001</v>
      </c>
      <c r="G81" s="12"/>
      <c r="H81" s="12"/>
      <c r="I81" s="12"/>
      <c r="J81" s="12"/>
      <c r="K81" s="12"/>
      <c r="L81" s="12"/>
      <c r="M81" s="12"/>
      <c r="N81" s="12">
        <f t="shared" si="6"/>
        <v>12.690000000000001</v>
      </c>
      <c r="Q81" s="271" t="s">
        <v>156</v>
      </c>
      <c r="R81" s="212">
        <v>30.46</v>
      </c>
      <c r="S81" s="384">
        <f t="shared" si="7"/>
        <v>8.9513728279108865E-3</v>
      </c>
    </row>
    <row r="82" spans="1:19" x14ac:dyDescent="0.35">
      <c r="A82" s="16" t="s">
        <v>29</v>
      </c>
      <c r="B82" s="12"/>
      <c r="C82" s="12"/>
      <c r="D82" s="12"/>
      <c r="E82" s="12"/>
      <c r="F82" s="12"/>
      <c r="G82" s="12"/>
      <c r="H82" s="12"/>
      <c r="I82" s="12"/>
      <c r="J82" s="12"/>
      <c r="K82" s="12"/>
      <c r="L82" s="12"/>
      <c r="M82" s="12"/>
      <c r="N82" s="12">
        <f t="shared" si="6"/>
        <v>0</v>
      </c>
      <c r="Q82" s="271" t="s">
        <v>157</v>
      </c>
      <c r="R82" s="212">
        <v>16.38</v>
      </c>
      <c r="S82" s="384">
        <f t="shared" si="7"/>
        <v>4.8136404110696099E-3</v>
      </c>
    </row>
    <row r="83" spans="1:19" x14ac:dyDescent="0.35">
      <c r="A83" s="16" t="s">
        <v>30</v>
      </c>
      <c r="B83" s="12"/>
      <c r="C83" s="12"/>
      <c r="D83" s="12"/>
      <c r="E83" s="12"/>
      <c r="F83" s="12">
        <v>10.55</v>
      </c>
      <c r="G83" s="12">
        <v>21.91</v>
      </c>
      <c r="H83" s="12">
        <v>6.63</v>
      </c>
      <c r="I83" s="12"/>
      <c r="J83" s="12"/>
      <c r="K83" s="12"/>
      <c r="L83" s="12"/>
      <c r="M83" s="12"/>
      <c r="N83" s="12">
        <f t="shared" si="6"/>
        <v>39.090000000000003</v>
      </c>
      <c r="Q83" s="271" t="s">
        <v>154</v>
      </c>
      <c r="R83" s="212">
        <v>1.31</v>
      </c>
      <c r="S83" s="384">
        <f t="shared" si="7"/>
        <v>3.8497368366918126E-4</v>
      </c>
    </row>
    <row r="84" spans="1:19" x14ac:dyDescent="0.35">
      <c r="A84" s="272" t="s">
        <v>12</v>
      </c>
      <c r="B84" s="273"/>
      <c r="C84" s="273">
        <v>0.45</v>
      </c>
      <c r="D84" s="273"/>
      <c r="E84" s="273"/>
      <c r="F84" s="273">
        <v>37.03</v>
      </c>
      <c r="G84" s="273"/>
      <c r="H84" s="273"/>
      <c r="I84" s="273"/>
      <c r="J84" s="273"/>
      <c r="K84" s="273">
        <v>1.35</v>
      </c>
      <c r="L84" s="273"/>
      <c r="M84" s="273">
        <v>0.11</v>
      </c>
      <c r="N84" s="273">
        <f t="shared" si="6"/>
        <v>38.940000000000005</v>
      </c>
      <c r="Q84" s="271" t="s">
        <v>160</v>
      </c>
      <c r="R84" s="212">
        <v>0.45</v>
      </c>
      <c r="S84" s="384">
        <f t="shared" si="7"/>
        <v>1.3224286843597829E-4</v>
      </c>
    </row>
    <row r="85" spans="1:19" x14ac:dyDescent="0.35">
      <c r="A85" s="6" t="s">
        <v>31</v>
      </c>
      <c r="B85" s="12"/>
      <c r="C85" s="12"/>
      <c r="D85" s="12"/>
      <c r="E85" s="12"/>
      <c r="F85" s="12"/>
      <c r="G85" s="12"/>
      <c r="H85" s="12"/>
      <c r="I85" s="12"/>
      <c r="J85" s="12"/>
      <c r="K85" s="12"/>
      <c r="L85" s="12"/>
      <c r="M85" s="12"/>
      <c r="N85" s="12">
        <f t="shared" si="6"/>
        <v>0</v>
      </c>
      <c r="Q85" s="271" t="s">
        <v>122</v>
      </c>
      <c r="R85" s="212"/>
      <c r="S85" s="22">
        <f t="shared" ref="S85:S87" si="8">R85/$R$87</f>
        <v>0</v>
      </c>
    </row>
    <row r="86" spans="1:19" x14ac:dyDescent="0.35">
      <c r="A86" s="6" t="s">
        <v>32</v>
      </c>
      <c r="B86" s="12"/>
      <c r="C86" s="12">
        <v>0.45</v>
      </c>
      <c r="D86" s="12"/>
      <c r="E86" s="12"/>
      <c r="F86" s="12">
        <v>4.03</v>
      </c>
      <c r="G86" s="12"/>
      <c r="H86" s="12"/>
      <c r="I86" s="12"/>
      <c r="J86" s="12"/>
      <c r="K86" s="12"/>
      <c r="L86" s="12"/>
      <c r="M86" s="12"/>
      <c r="N86" s="12">
        <f t="shared" si="6"/>
        <v>4.4800000000000004</v>
      </c>
      <c r="Q86" s="271" t="s">
        <v>123</v>
      </c>
      <c r="R86" s="212">
        <v>287.09999999999997</v>
      </c>
      <c r="S86" s="22">
        <f t="shared" si="8"/>
        <v>8.4370950062154143E-2</v>
      </c>
    </row>
    <row r="87" spans="1:19" x14ac:dyDescent="0.35">
      <c r="A87" s="6" t="s">
        <v>33</v>
      </c>
      <c r="B87" s="12"/>
      <c r="C87" s="12"/>
      <c r="D87" s="12"/>
      <c r="E87" s="12"/>
      <c r="F87" s="12">
        <v>33</v>
      </c>
      <c r="G87" s="12"/>
      <c r="H87" s="12"/>
      <c r="I87" s="12"/>
      <c r="J87" s="12"/>
      <c r="K87" s="12">
        <v>1.35</v>
      </c>
      <c r="L87" s="12"/>
      <c r="M87" s="12">
        <v>0.11</v>
      </c>
      <c r="N87" s="12">
        <f t="shared" si="6"/>
        <v>34.46</v>
      </c>
      <c r="Q87" s="268" t="s">
        <v>130</v>
      </c>
      <c r="R87" s="269">
        <v>3402.83</v>
      </c>
      <c r="S87" s="270">
        <f t="shared" si="8"/>
        <v>1</v>
      </c>
    </row>
    <row r="88" spans="1:19" x14ac:dyDescent="0.35">
      <c r="A88" s="272" t="s">
        <v>13</v>
      </c>
      <c r="B88" s="273"/>
      <c r="C88" s="273"/>
      <c r="D88" s="273"/>
      <c r="E88" s="273"/>
      <c r="F88" s="273">
        <v>5.96</v>
      </c>
      <c r="G88" s="273"/>
      <c r="H88" s="273"/>
      <c r="I88" s="273"/>
      <c r="J88" s="273"/>
      <c r="K88" s="273">
        <v>1.45</v>
      </c>
      <c r="L88" s="273"/>
      <c r="M88" s="273"/>
      <c r="N88" s="273">
        <f t="shared" si="6"/>
        <v>7.41</v>
      </c>
    </row>
    <row r="89" spans="1:19" x14ac:dyDescent="0.35">
      <c r="A89" s="6" t="s">
        <v>34</v>
      </c>
      <c r="B89" s="12"/>
      <c r="C89" s="12"/>
      <c r="D89" s="12"/>
      <c r="E89" s="12"/>
      <c r="F89" s="12">
        <v>5.96</v>
      </c>
      <c r="G89" s="12"/>
      <c r="H89" s="12"/>
      <c r="I89" s="12"/>
      <c r="J89" s="12"/>
      <c r="K89" s="12">
        <v>1.45</v>
      </c>
      <c r="L89" s="12"/>
      <c r="M89" s="12"/>
      <c r="N89" s="12">
        <f t="shared" si="6"/>
        <v>7.41</v>
      </c>
    </row>
    <row r="90" spans="1:19" x14ac:dyDescent="0.35">
      <c r="A90" s="6" t="s">
        <v>61</v>
      </c>
      <c r="B90" s="12"/>
      <c r="C90" s="12"/>
      <c r="D90" s="12"/>
      <c r="E90" s="12"/>
      <c r="F90" s="12"/>
      <c r="G90" s="12"/>
      <c r="H90" s="12"/>
      <c r="I90" s="12"/>
      <c r="J90" s="12"/>
      <c r="K90" s="12"/>
      <c r="L90" s="12"/>
      <c r="M90" s="12"/>
      <c r="N90" s="12">
        <f t="shared" si="6"/>
        <v>0</v>
      </c>
    </row>
    <row r="91" spans="1:19" x14ac:dyDescent="0.35">
      <c r="A91" s="6" t="s">
        <v>36</v>
      </c>
      <c r="B91" s="12"/>
      <c r="C91" s="12"/>
      <c r="D91" s="12"/>
      <c r="E91" s="12"/>
      <c r="F91" s="12"/>
      <c r="G91" s="12"/>
      <c r="H91" s="12"/>
      <c r="I91" s="12"/>
      <c r="J91" s="12"/>
      <c r="K91" s="12"/>
      <c r="L91" s="12"/>
      <c r="M91" s="12"/>
      <c r="N91" s="12">
        <f t="shared" si="6"/>
        <v>0</v>
      </c>
    </row>
    <row r="92" spans="1:19" x14ac:dyDescent="0.35">
      <c r="A92" s="272" t="s">
        <v>14</v>
      </c>
      <c r="B92" s="273"/>
      <c r="C92" s="273"/>
      <c r="D92" s="273"/>
      <c r="E92" s="273"/>
      <c r="F92" s="273">
        <v>3.58</v>
      </c>
      <c r="G92" s="273"/>
      <c r="H92" s="273"/>
      <c r="I92" s="273"/>
      <c r="J92" s="273"/>
      <c r="K92" s="273">
        <v>27.619999999999997</v>
      </c>
      <c r="L92" s="273"/>
      <c r="M92" s="273"/>
      <c r="N92" s="273">
        <f t="shared" si="6"/>
        <v>31.199999999999996</v>
      </c>
    </row>
    <row r="93" spans="1:19" x14ac:dyDescent="0.35">
      <c r="A93" s="6" t="s">
        <v>37</v>
      </c>
      <c r="B93" s="12"/>
      <c r="C93" s="12"/>
      <c r="D93" s="12"/>
      <c r="E93" s="12"/>
      <c r="F93" s="12"/>
      <c r="G93" s="12"/>
      <c r="H93" s="12"/>
      <c r="I93" s="12"/>
      <c r="J93" s="12"/>
      <c r="K93" s="12"/>
      <c r="L93" s="12"/>
      <c r="M93" s="12"/>
      <c r="N93" s="12">
        <f t="shared" si="6"/>
        <v>0</v>
      </c>
    </row>
    <row r="94" spans="1:19" x14ac:dyDescent="0.35">
      <c r="A94" s="6" t="s">
        <v>38</v>
      </c>
      <c r="B94" s="12"/>
      <c r="C94" s="12"/>
      <c r="D94" s="12"/>
      <c r="E94" s="12"/>
      <c r="F94" s="12"/>
      <c r="G94" s="12"/>
      <c r="H94" s="12"/>
      <c r="I94" s="12"/>
      <c r="J94" s="12"/>
      <c r="K94" s="12"/>
      <c r="L94" s="12"/>
      <c r="M94" s="12"/>
      <c r="N94" s="12">
        <f t="shared" si="6"/>
        <v>0</v>
      </c>
    </row>
    <row r="95" spans="1:19" x14ac:dyDescent="0.35">
      <c r="A95" s="6" t="s">
        <v>39</v>
      </c>
      <c r="B95" s="12"/>
      <c r="C95" s="12"/>
      <c r="D95" s="12"/>
      <c r="E95" s="12"/>
      <c r="F95" s="12">
        <v>3.52</v>
      </c>
      <c r="G95" s="12"/>
      <c r="H95" s="12"/>
      <c r="I95" s="12"/>
      <c r="J95" s="12"/>
      <c r="K95" s="12">
        <v>12.559999999999999</v>
      </c>
      <c r="L95" s="12"/>
      <c r="M95" s="12"/>
      <c r="N95" s="12">
        <f t="shared" si="6"/>
        <v>16.079999999999998</v>
      </c>
    </row>
    <row r="96" spans="1:19" x14ac:dyDescent="0.35">
      <c r="A96" s="6" t="s">
        <v>40</v>
      </c>
      <c r="B96" s="12"/>
      <c r="C96" s="12"/>
      <c r="D96" s="12"/>
      <c r="E96" s="12"/>
      <c r="F96" s="12">
        <v>0.06</v>
      </c>
      <c r="G96" s="12"/>
      <c r="H96" s="12"/>
      <c r="I96" s="12"/>
      <c r="J96" s="12"/>
      <c r="K96" s="12">
        <v>15.059999999999999</v>
      </c>
      <c r="L96" s="12"/>
      <c r="M96" s="12"/>
      <c r="N96" s="12">
        <f t="shared" si="6"/>
        <v>15.12</v>
      </c>
    </row>
    <row r="97" spans="1:14" x14ac:dyDescent="0.35">
      <c r="A97" s="272" t="s">
        <v>15</v>
      </c>
      <c r="B97" s="273"/>
      <c r="C97" s="273"/>
      <c r="D97" s="273">
        <v>43.08</v>
      </c>
      <c r="E97" s="273">
        <v>15.81</v>
      </c>
      <c r="F97" s="273">
        <v>1797.1300000000006</v>
      </c>
      <c r="G97" s="273">
        <v>47.46</v>
      </c>
      <c r="H97" s="273">
        <v>93.289999999999992</v>
      </c>
      <c r="I97" s="273">
        <v>7.3999999999999995</v>
      </c>
      <c r="J97" s="273"/>
      <c r="K97" s="273">
        <v>202.03</v>
      </c>
      <c r="L97" s="273"/>
      <c r="M97" s="273">
        <v>276.26</v>
      </c>
      <c r="N97" s="273">
        <f t="shared" si="6"/>
        <v>2482.4600000000009</v>
      </c>
    </row>
    <row r="98" spans="1:14" x14ac:dyDescent="0.35">
      <c r="A98" s="6" t="s">
        <v>41</v>
      </c>
      <c r="B98" s="12"/>
      <c r="C98" s="12"/>
      <c r="D98" s="12"/>
      <c r="E98" s="12">
        <v>15.81</v>
      </c>
      <c r="F98" s="12">
        <v>411.71999999999997</v>
      </c>
      <c r="G98" s="12"/>
      <c r="H98" s="12">
        <v>35.61</v>
      </c>
      <c r="I98" s="12"/>
      <c r="J98" s="12"/>
      <c r="K98" s="12">
        <v>45.139999999999993</v>
      </c>
      <c r="L98" s="12"/>
      <c r="M98" s="12">
        <v>33.869999999999997</v>
      </c>
      <c r="N98" s="12">
        <f t="shared" si="6"/>
        <v>542.15</v>
      </c>
    </row>
    <row r="99" spans="1:14" x14ac:dyDescent="0.35">
      <c r="A99" s="6" t="s">
        <v>42</v>
      </c>
      <c r="B99" s="12"/>
      <c r="C99" s="12"/>
      <c r="D99" s="12"/>
      <c r="E99" s="12"/>
      <c r="F99" s="12">
        <v>653.45000000000027</v>
      </c>
      <c r="G99" s="12">
        <v>12.64</v>
      </c>
      <c r="H99" s="12">
        <v>33.730000000000004</v>
      </c>
      <c r="I99" s="12"/>
      <c r="J99" s="12"/>
      <c r="K99" s="12">
        <v>57.78</v>
      </c>
      <c r="L99" s="12"/>
      <c r="M99" s="12">
        <v>88.07</v>
      </c>
      <c r="N99" s="12">
        <f t="shared" si="6"/>
        <v>845.6700000000003</v>
      </c>
    </row>
    <row r="100" spans="1:14" x14ac:dyDescent="0.35">
      <c r="A100" s="6" t="s">
        <v>43</v>
      </c>
      <c r="B100" s="12"/>
      <c r="C100" s="12"/>
      <c r="D100" s="12"/>
      <c r="E100" s="12"/>
      <c r="F100" s="12">
        <v>173.42000000000002</v>
      </c>
      <c r="G100" s="12"/>
      <c r="H100" s="12"/>
      <c r="I100" s="12">
        <v>0.55000000000000004</v>
      </c>
      <c r="J100" s="12"/>
      <c r="K100" s="12">
        <v>40.200000000000003</v>
      </c>
      <c r="L100" s="12"/>
      <c r="M100" s="12">
        <v>50.730000000000004</v>
      </c>
      <c r="N100" s="12">
        <f t="shared" si="6"/>
        <v>264.90000000000003</v>
      </c>
    </row>
    <row r="101" spans="1:14" x14ac:dyDescent="0.35">
      <c r="A101" s="6" t="s">
        <v>44</v>
      </c>
      <c r="B101" s="12"/>
      <c r="C101" s="12"/>
      <c r="D101" s="12"/>
      <c r="E101" s="12"/>
      <c r="F101" s="12">
        <v>17.55</v>
      </c>
      <c r="G101" s="12"/>
      <c r="H101" s="12"/>
      <c r="I101" s="12"/>
      <c r="J101" s="12"/>
      <c r="K101" s="12">
        <v>2.42</v>
      </c>
      <c r="L101" s="12"/>
      <c r="M101" s="12">
        <v>6.35</v>
      </c>
      <c r="N101" s="12">
        <f t="shared" si="6"/>
        <v>26.32</v>
      </c>
    </row>
    <row r="102" spans="1:14" x14ac:dyDescent="0.35">
      <c r="A102" s="6" t="s">
        <v>45</v>
      </c>
      <c r="B102" s="12"/>
      <c r="C102" s="12"/>
      <c r="D102" s="12">
        <v>43.08</v>
      </c>
      <c r="E102" s="12"/>
      <c r="F102" s="12">
        <v>540.99000000000012</v>
      </c>
      <c r="G102" s="12">
        <v>34.82</v>
      </c>
      <c r="H102" s="12">
        <v>23.949999999999996</v>
      </c>
      <c r="I102" s="12">
        <v>6.85</v>
      </c>
      <c r="J102" s="12"/>
      <c r="K102" s="12">
        <v>56.49</v>
      </c>
      <c r="L102" s="12"/>
      <c r="M102" s="12">
        <v>97.24</v>
      </c>
      <c r="N102" s="12">
        <f t="shared" si="6"/>
        <v>803.4200000000003</v>
      </c>
    </row>
    <row r="103" spans="1:14" x14ac:dyDescent="0.35">
      <c r="A103" s="272" t="s">
        <v>16</v>
      </c>
      <c r="B103" s="273"/>
      <c r="C103" s="273"/>
      <c r="D103" s="273"/>
      <c r="E103" s="273"/>
      <c r="F103" s="273">
        <v>160.94</v>
      </c>
      <c r="G103" s="273"/>
      <c r="H103" s="273">
        <v>29.630000000000003</v>
      </c>
      <c r="I103" s="273"/>
      <c r="J103" s="273"/>
      <c r="K103" s="273">
        <v>17.09</v>
      </c>
      <c r="L103" s="273"/>
      <c r="M103" s="273">
        <v>2.35</v>
      </c>
      <c r="N103" s="273">
        <f t="shared" si="6"/>
        <v>210.01</v>
      </c>
    </row>
    <row r="104" spans="1:14" x14ac:dyDescent="0.35">
      <c r="A104" s="6" t="s">
        <v>46</v>
      </c>
      <c r="B104" s="12"/>
      <c r="C104" s="12"/>
      <c r="D104" s="12"/>
      <c r="E104" s="12"/>
      <c r="F104" s="12">
        <v>1.79</v>
      </c>
      <c r="G104" s="12"/>
      <c r="H104" s="12"/>
      <c r="I104" s="12"/>
      <c r="J104" s="12"/>
      <c r="K104" s="12"/>
      <c r="L104" s="12"/>
      <c r="M104" s="12"/>
      <c r="N104" s="12">
        <f t="shared" si="6"/>
        <v>1.79</v>
      </c>
    </row>
    <row r="105" spans="1:14" x14ac:dyDescent="0.35">
      <c r="A105" s="6" t="s">
        <v>47</v>
      </c>
      <c r="B105" s="12"/>
      <c r="C105" s="12"/>
      <c r="D105" s="12"/>
      <c r="E105" s="12"/>
      <c r="F105" s="12">
        <v>2.2000000000000002</v>
      </c>
      <c r="G105" s="12"/>
      <c r="H105" s="12"/>
      <c r="I105" s="12"/>
      <c r="J105" s="12"/>
      <c r="K105" s="12"/>
      <c r="L105" s="12"/>
      <c r="M105" s="12"/>
      <c r="N105" s="12">
        <f t="shared" si="6"/>
        <v>2.2000000000000002</v>
      </c>
    </row>
    <row r="106" spans="1:14" x14ac:dyDescent="0.35">
      <c r="A106" s="182" t="s">
        <v>48</v>
      </c>
      <c r="B106" s="12"/>
      <c r="C106" s="12"/>
      <c r="D106" s="12"/>
      <c r="E106" s="12"/>
      <c r="F106" s="12"/>
      <c r="G106" s="12"/>
      <c r="H106" s="12"/>
      <c r="I106" s="12"/>
      <c r="J106" s="12"/>
      <c r="K106" s="12"/>
      <c r="L106" s="12"/>
      <c r="M106" s="12"/>
      <c r="N106" s="12">
        <f t="shared" si="6"/>
        <v>0</v>
      </c>
    </row>
    <row r="107" spans="1:14" x14ac:dyDescent="0.35">
      <c r="A107" s="182" t="s">
        <v>49</v>
      </c>
      <c r="B107" s="12"/>
      <c r="C107" s="12"/>
      <c r="D107" s="12"/>
      <c r="E107" s="12"/>
      <c r="F107" s="12">
        <v>0.49</v>
      </c>
      <c r="G107" s="12"/>
      <c r="H107" s="12"/>
      <c r="I107" s="12"/>
      <c r="J107" s="12"/>
      <c r="K107" s="12"/>
      <c r="L107" s="12"/>
      <c r="M107" s="12"/>
      <c r="N107" s="12">
        <f t="shared" si="6"/>
        <v>0.49</v>
      </c>
    </row>
    <row r="108" spans="1:14" x14ac:dyDescent="0.35">
      <c r="A108" s="182" t="s">
        <v>50</v>
      </c>
      <c r="B108" s="12"/>
      <c r="C108" s="12"/>
      <c r="D108" s="12"/>
      <c r="E108" s="12"/>
      <c r="F108" s="12"/>
      <c r="G108" s="12"/>
      <c r="H108" s="12"/>
      <c r="I108" s="12"/>
      <c r="J108" s="12"/>
      <c r="K108" s="12"/>
      <c r="L108" s="12"/>
      <c r="M108" s="12"/>
      <c r="N108" s="12">
        <f t="shared" si="6"/>
        <v>0</v>
      </c>
    </row>
    <row r="109" spans="1:14" x14ac:dyDescent="0.35">
      <c r="A109" s="182" t="s">
        <v>51</v>
      </c>
      <c r="B109" s="12"/>
      <c r="C109" s="12"/>
      <c r="D109" s="12"/>
      <c r="E109" s="12"/>
      <c r="F109" s="12"/>
      <c r="G109" s="12"/>
      <c r="H109" s="12"/>
      <c r="I109" s="12"/>
      <c r="J109" s="12"/>
      <c r="K109" s="12"/>
      <c r="L109" s="12"/>
      <c r="M109" s="12"/>
      <c r="N109" s="12">
        <f t="shared" si="6"/>
        <v>0</v>
      </c>
    </row>
    <row r="110" spans="1:14" x14ac:dyDescent="0.35">
      <c r="A110" s="182" t="s">
        <v>52</v>
      </c>
      <c r="B110" s="54"/>
      <c r="C110" s="54"/>
      <c r="D110" s="54"/>
      <c r="E110" s="54"/>
      <c r="F110" s="54"/>
      <c r="G110" s="54"/>
      <c r="H110" s="54"/>
      <c r="I110" s="54"/>
      <c r="J110" s="54"/>
      <c r="K110" s="54"/>
      <c r="L110" s="54"/>
      <c r="M110" s="54"/>
      <c r="N110" s="12">
        <f t="shared" si="6"/>
        <v>0</v>
      </c>
    </row>
    <row r="111" spans="1:14" x14ac:dyDescent="0.35">
      <c r="A111" s="182" t="s">
        <v>53</v>
      </c>
      <c r="B111" s="12"/>
      <c r="C111" s="12"/>
      <c r="D111" s="12"/>
      <c r="E111" s="12"/>
      <c r="F111" s="12">
        <v>93.58</v>
      </c>
      <c r="G111" s="12"/>
      <c r="H111" s="12"/>
      <c r="I111" s="12"/>
      <c r="J111" s="12"/>
      <c r="K111" s="12">
        <v>11.83</v>
      </c>
      <c r="L111" s="12"/>
      <c r="M111" s="12"/>
      <c r="N111" s="12">
        <f t="shared" si="6"/>
        <v>105.41</v>
      </c>
    </row>
    <row r="112" spans="1:14" x14ac:dyDescent="0.35">
      <c r="A112" s="6" t="s">
        <v>54</v>
      </c>
      <c r="B112" s="12"/>
      <c r="C112" s="12"/>
      <c r="D112" s="12"/>
      <c r="E112" s="12"/>
      <c r="F112" s="12">
        <v>62.88</v>
      </c>
      <c r="G112" s="12"/>
      <c r="H112" s="12">
        <v>29.630000000000003</v>
      </c>
      <c r="I112" s="12"/>
      <c r="J112" s="12"/>
      <c r="K112" s="12">
        <v>5.26</v>
      </c>
      <c r="L112" s="12"/>
      <c r="M112" s="12">
        <v>2.35</v>
      </c>
      <c r="N112" s="12">
        <f t="shared" si="6"/>
        <v>100.12</v>
      </c>
    </row>
    <row r="113" spans="1:14" x14ac:dyDescent="0.35">
      <c r="A113" s="272" t="s">
        <v>18</v>
      </c>
      <c r="B113" s="273"/>
      <c r="C113" s="273"/>
      <c r="D113" s="273"/>
      <c r="E113" s="273"/>
      <c r="F113" s="273"/>
      <c r="G113" s="273"/>
      <c r="H113" s="273"/>
      <c r="I113" s="273"/>
      <c r="J113" s="273"/>
      <c r="K113" s="273"/>
      <c r="L113" s="273"/>
      <c r="M113" s="273"/>
      <c r="N113" s="273">
        <f t="shared" si="6"/>
        <v>0</v>
      </c>
    </row>
    <row r="114" spans="1:14" x14ac:dyDescent="0.35">
      <c r="A114" s="6" t="s">
        <v>18</v>
      </c>
      <c r="B114" s="54"/>
      <c r="C114" s="54"/>
      <c r="D114" s="54"/>
      <c r="E114" s="54"/>
      <c r="F114" s="54"/>
      <c r="G114" s="54"/>
      <c r="H114" s="54"/>
      <c r="I114" s="54"/>
      <c r="J114" s="54"/>
      <c r="K114" s="54"/>
      <c r="L114" s="54"/>
      <c r="M114" s="54"/>
      <c r="N114" s="54"/>
    </row>
    <row r="115" spans="1:14" x14ac:dyDescent="0.35">
      <c r="A115" s="272" t="s">
        <v>17</v>
      </c>
      <c r="B115" s="273">
        <v>0.03</v>
      </c>
      <c r="C115" s="273"/>
      <c r="D115" s="273"/>
      <c r="E115" s="273">
        <v>0.56999999999999995</v>
      </c>
      <c r="F115" s="273">
        <v>7.0000000000000007E-2</v>
      </c>
      <c r="G115" s="273">
        <v>4.6500000000000004</v>
      </c>
      <c r="H115" s="273"/>
      <c r="I115" s="273"/>
      <c r="J115" s="273"/>
      <c r="K115" s="273">
        <v>0.01</v>
      </c>
      <c r="L115" s="273"/>
      <c r="M115" s="273">
        <v>1.46</v>
      </c>
      <c r="N115" s="273">
        <f>SUM(B115:M115)</f>
        <v>6.79</v>
      </c>
    </row>
    <row r="116" spans="1:14" x14ac:dyDescent="0.35">
      <c r="A116" s="6" t="s">
        <v>55</v>
      </c>
      <c r="B116" s="12"/>
      <c r="C116" s="12"/>
      <c r="D116" s="12"/>
      <c r="E116" s="12"/>
      <c r="F116" s="12"/>
      <c r="G116" s="12">
        <v>4.6500000000000004</v>
      </c>
      <c r="H116" s="12"/>
      <c r="I116" s="12"/>
      <c r="J116" s="12"/>
      <c r="K116" s="12">
        <v>0.01</v>
      </c>
      <c r="L116" s="12"/>
      <c r="M116" s="12"/>
      <c r="N116" s="12">
        <f>SUM(B116:M116)</f>
        <v>4.66</v>
      </c>
    </row>
    <row r="117" spans="1:14" x14ac:dyDescent="0.35">
      <c r="A117" s="6" t="s">
        <v>56</v>
      </c>
      <c r="B117" s="12">
        <v>0.03</v>
      </c>
      <c r="C117" s="12"/>
      <c r="D117" s="12"/>
      <c r="E117" s="12">
        <v>0.56999999999999995</v>
      </c>
      <c r="F117" s="12">
        <v>7.0000000000000007E-2</v>
      </c>
      <c r="G117" s="12"/>
      <c r="H117" s="12"/>
      <c r="I117" s="12"/>
      <c r="J117" s="12"/>
      <c r="K117" s="12"/>
      <c r="L117" s="12"/>
      <c r="M117" s="12">
        <v>1.46</v>
      </c>
      <c r="N117" s="12">
        <f>SUM(B117:M117)</f>
        <v>2.13</v>
      </c>
    </row>
    <row r="118" spans="1:14" x14ac:dyDescent="0.35">
      <c r="A118" s="272" t="s">
        <v>64</v>
      </c>
      <c r="B118" s="273"/>
      <c r="C118" s="273"/>
      <c r="D118" s="273"/>
      <c r="E118" s="273"/>
      <c r="F118" s="273"/>
      <c r="G118" s="273"/>
      <c r="H118" s="273"/>
      <c r="I118" s="273"/>
      <c r="J118" s="273"/>
      <c r="K118" s="273"/>
      <c r="L118" s="273"/>
      <c r="M118" s="273"/>
      <c r="N118" s="273">
        <f>SUM(B118:M118)</f>
        <v>0</v>
      </c>
    </row>
    <row r="119" spans="1:14" x14ac:dyDescent="0.35">
      <c r="A119" s="6" t="s">
        <v>65</v>
      </c>
      <c r="B119" s="12"/>
      <c r="C119" s="12"/>
      <c r="D119" s="12"/>
      <c r="E119" s="12"/>
      <c r="F119" s="12"/>
      <c r="G119" s="12"/>
      <c r="H119" s="12"/>
      <c r="I119" s="12"/>
      <c r="J119" s="12"/>
      <c r="K119" s="12"/>
      <c r="L119" s="12"/>
      <c r="M119" s="12"/>
      <c r="N119" s="12"/>
    </row>
    <row r="120" spans="1:14" x14ac:dyDescent="0.35">
      <c r="A120" s="6" t="s">
        <v>66</v>
      </c>
      <c r="B120" s="12"/>
      <c r="C120" s="12"/>
      <c r="D120" s="12"/>
      <c r="E120" s="12"/>
      <c r="F120" s="12"/>
      <c r="G120" s="12"/>
      <c r="H120" s="12"/>
      <c r="I120" s="12"/>
      <c r="J120" s="12"/>
      <c r="K120" s="12"/>
      <c r="L120" s="12"/>
      <c r="M120" s="12"/>
      <c r="N120" s="12"/>
    </row>
    <row r="121" spans="1:14" x14ac:dyDescent="0.35">
      <c r="A121" s="272" t="s">
        <v>20</v>
      </c>
      <c r="B121" s="273"/>
      <c r="C121" s="273"/>
      <c r="D121" s="273"/>
      <c r="E121" s="273"/>
      <c r="F121" s="273"/>
      <c r="G121" s="273"/>
      <c r="H121" s="273"/>
      <c r="I121" s="273"/>
      <c r="J121" s="273"/>
      <c r="K121" s="273"/>
      <c r="L121" s="273"/>
      <c r="M121" s="273"/>
      <c r="N121" s="273">
        <f>SUM(B121:M121)</f>
        <v>0</v>
      </c>
    </row>
    <row r="122" spans="1:14" x14ac:dyDescent="0.35">
      <c r="A122" s="6" t="s">
        <v>20</v>
      </c>
      <c r="B122" s="12"/>
      <c r="C122" s="12"/>
      <c r="D122" s="12"/>
      <c r="E122" s="12"/>
      <c r="F122" s="12"/>
      <c r="G122" s="12"/>
      <c r="H122" s="12"/>
      <c r="I122" s="12"/>
      <c r="J122" s="12"/>
      <c r="K122" s="12"/>
      <c r="L122" s="12"/>
      <c r="M122" s="12"/>
      <c r="N122" s="12"/>
    </row>
    <row r="123" spans="1:14" x14ac:dyDescent="0.35">
      <c r="A123" s="272" t="s">
        <v>21</v>
      </c>
      <c r="B123" s="273"/>
      <c r="C123" s="273"/>
      <c r="D123" s="273"/>
      <c r="E123" s="273"/>
      <c r="F123" s="273">
        <v>22.82</v>
      </c>
      <c r="G123" s="273"/>
      <c r="H123" s="273"/>
      <c r="I123" s="273"/>
      <c r="J123" s="273"/>
      <c r="K123" s="273"/>
      <c r="L123" s="273"/>
      <c r="M123" s="273"/>
      <c r="N123" s="273">
        <f>SUM(B123:M123)</f>
        <v>22.82</v>
      </c>
    </row>
    <row r="124" spans="1:14" x14ac:dyDescent="0.35">
      <c r="A124" s="6" t="s">
        <v>21</v>
      </c>
      <c r="B124" s="12"/>
      <c r="C124" s="12"/>
      <c r="D124" s="12"/>
      <c r="E124" s="12"/>
      <c r="F124" s="12">
        <v>22.82</v>
      </c>
      <c r="G124" s="12"/>
      <c r="H124" s="12"/>
      <c r="I124" s="12"/>
      <c r="J124" s="12"/>
      <c r="K124" s="12"/>
      <c r="L124" s="12"/>
      <c r="M124" s="12"/>
      <c r="N124" s="12">
        <f>SUM(B124:M124)</f>
        <v>22.82</v>
      </c>
    </row>
    <row r="125" spans="1:14" x14ac:dyDescent="0.35">
      <c r="A125" s="272" t="s">
        <v>22</v>
      </c>
      <c r="B125" s="273"/>
      <c r="C125" s="273"/>
      <c r="D125" s="273"/>
      <c r="E125" s="273"/>
      <c r="F125" s="273">
        <v>101.86</v>
      </c>
      <c r="G125" s="273">
        <v>35.33</v>
      </c>
      <c r="H125" s="273">
        <v>1.5</v>
      </c>
      <c r="I125" s="273">
        <v>165.09</v>
      </c>
      <c r="J125" s="273"/>
      <c r="K125" s="273">
        <v>14.04</v>
      </c>
      <c r="L125" s="273"/>
      <c r="M125" s="273"/>
      <c r="N125" s="273">
        <f>SUM(B125:M125)</f>
        <v>317.82</v>
      </c>
    </row>
    <row r="126" spans="1:14" x14ac:dyDescent="0.35">
      <c r="A126" s="6" t="s">
        <v>22</v>
      </c>
      <c r="B126" s="12"/>
      <c r="C126" s="12"/>
      <c r="D126" s="12"/>
      <c r="E126" s="12"/>
      <c r="F126" s="12">
        <v>101.86</v>
      </c>
      <c r="G126" s="12">
        <v>35.33</v>
      </c>
      <c r="H126" s="12">
        <v>1.5</v>
      </c>
      <c r="I126" s="12">
        <v>165.09</v>
      </c>
      <c r="J126" s="12"/>
      <c r="K126" s="12">
        <v>14.04</v>
      </c>
      <c r="L126" s="12"/>
      <c r="M126" s="12"/>
      <c r="N126" s="12">
        <f>SUM(B126:M126)</f>
        <v>317.82</v>
      </c>
    </row>
    <row r="127" spans="1:14" x14ac:dyDescent="0.35">
      <c r="A127" s="272" t="s">
        <v>23</v>
      </c>
      <c r="B127" s="273"/>
      <c r="C127" s="273"/>
      <c r="D127" s="273"/>
      <c r="E127" s="273"/>
      <c r="F127" s="273"/>
      <c r="G127" s="273"/>
      <c r="H127" s="273"/>
      <c r="I127" s="273"/>
      <c r="J127" s="273"/>
      <c r="K127" s="273"/>
      <c r="L127" s="273"/>
      <c r="M127" s="273"/>
      <c r="N127" s="273">
        <f>SUM(B127:M127)</f>
        <v>0</v>
      </c>
    </row>
    <row r="128" spans="1:14" x14ac:dyDescent="0.35">
      <c r="A128" s="6" t="s">
        <v>23</v>
      </c>
      <c r="B128" s="12"/>
      <c r="C128" s="12"/>
      <c r="D128" s="12"/>
      <c r="E128" s="12"/>
      <c r="F128" s="12"/>
      <c r="G128" s="12"/>
      <c r="H128" s="12"/>
      <c r="I128" s="12"/>
      <c r="J128" s="12"/>
      <c r="K128" s="12"/>
      <c r="L128" s="12"/>
      <c r="M128" s="12"/>
      <c r="N128" s="12"/>
    </row>
    <row r="129" spans="1:19" x14ac:dyDescent="0.35">
      <c r="A129" s="274" t="s">
        <v>25</v>
      </c>
      <c r="B129" s="390">
        <v>1.31</v>
      </c>
      <c r="C129" s="390">
        <v>0.45</v>
      </c>
      <c r="D129" s="275">
        <v>43.08</v>
      </c>
      <c r="E129" s="275">
        <v>16.38</v>
      </c>
      <c r="F129" s="275">
        <v>2341.3000000000002</v>
      </c>
      <c r="G129" s="275">
        <v>113.81000000000002</v>
      </c>
      <c r="H129" s="275">
        <v>131.04999999999998</v>
      </c>
      <c r="I129" s="275">
        <v>173.94</v>
      </c>
      <c r="J129" s="275">
        <v>30.46</v>
      </c>
      <c r="K129" s="275">
        <v>263.95</v>
      </c>
      <c r="L129" s="275"/>
      <c r="M129" s="275">
        <v>287.09999999999997</v>
      </c>
      <c r="N129" s="275">
        <f>SUM(B129:M129)</f>
        <v>3402.83</v>
      </c>
    </row>
    <row r="132" spans="1:19" ht="18.5" x14ac:dyDescent="0.45">
      <c r="A132" s="223"/>
    </row>
    <row r="133" spans="1:19" ht="15.5" x14ac:dyDescent="0.35">
      <c r="A133" s="276" t="s">
        <v>109</v>
      </c>
    </row>
    <row r="134" spans="1:19" ht="15" customHeight="1" x14ac:dyDescent="0.35">
      <c r="A134" s="716" t="s">
        <v>88</v>
      </c>
      <c r="B134" s="718" t="s">
        <v>113</v>
      </c>
      <c r="C134" s="715"/>
      <c r="D134" s="715"/>
      <c r="E134" s="715"/>
      <c r="F134" s="715"/>
      <c r="G134" s="715"/>
      <c r="H134" s="715"/>
      <c r="I134" s="715"/>
      <c r="J134" s="715"/>
      <c r="K134" s="715"/>
      <c r="L134" s="715"/>
      <c r="M134" s="715"/>
      <c r="N134" s="715"/>
      <c r="O134" s="232"/>
      <c r="P134" s="232"/>
      <c r="Q134" s="232"/>
      <c r="R134" s="232"/>
      <c r="S134" s="232"/>
    </row>
    <row r="135" spans="1:19" ht="30" customHeight="1" x14ac:dyDescent="0.35">
      <c r="A135" s="717" t="s">
        <v>5</v>
      </c>
      <c r="B135" s="278" t="s">
        <v>154</v>
      </c>
      <c r="C135" s="267" t="s">
        <v>160</v>
      </c>
      <c r="D135" s="267" t="s">
        <v>152</v>
      </c>
      <c r="E135" s="267" t="s">
        <v>157</v>
      </c>
      <c r="F135" s="267" t="s">
        <v>149</v>
      </c>
      <c r="G135" s="267" t="s">
        <v>151</v>
      </c>
      <c r="H135" s="267" t="s">
        <v>155</v>
      </c>
      <c r="I135" s="267" t="s">
        <v>153</v>
      </c>
      <c r="J135" s="267" t="s">
        <v>156</v>
      </c>
      <c r="K135" s="267" t="s">
        <v>150</v>
      </c>
      <c r="L135" s="267" t="s">
        <v>122</v>
      </c>
      <c r="M135" s="267" t="s">
        <v>123</v>
      </c>
      <c r="N135" s="267" t="s">
        <v>124</v>
      </c>
      <c r="Q135" s="711" t="s">
        <v>195</v>
      </c>
      <c r="R135" s="712"/>
      <c r="S135" s="724"/>
    </row>
    <row r="136" spans="1:19" x14ac:dyDescent="0.35">
      <c r="A136" s="272" t="s">
        <v>5</v>
      </c>
      <c r="B136" s="273">
        <v>6.39</v>
      </c>
      <c r="C136" s="273"/>
      <c r="D136" s="273">
        <v>5.5399999999999991</v>
      </c>
      <c r="E136" s="273">
        <v>81.139999999999986</v>
      </c>
      <c r="F136" s="273">
        <v>648.06999999999982</v>
      </c>
      <c r="G136" s="273">
        <v>66.13</v>
      </c>
      <c r="H136" s="273">
        <v>107.03000000000002</v>
      </c>
      <c r="I136" s="273">
        <v>31.96</v>
      </c>
      <c r="J136" s="273">
        <v>0.28000000000000003</v>
      </c>
      <c r="K136" s="273">
        <v>133.80000000000001</v>
      </c>
      <c r="L136" s="273"/>
      <c r="M136" s="273">
        <f t="shared" ref="M136:M152" si="9">M14-M75</f>
        <v>19.36</v>
      </c>
      <c r="N136" s="273">
        <f t="shared" ref="N136:N174" si="10">SUM(B136:M136)</f>
        <v>1099.6999999999998</v>
      </c>
      <c r="Q136" s="271" t="s">
        <v>149</v>
      </c>
      <c r="R136" s="212">
        <v>7146.4000000000005</v>
      </c>
      <c r="S136" s="22">
        <f t="shared" ref="S136:S145" si="11">R136/$R$148</f>
        <v>0.66362206303778148</v>
      </c>
    </row>
    <row r="137" spans="1:19" x14ac:dyDescent="0.35">
      <c r="A137" s="15" t="s">
        <v>6</v>
      </c>
      <c r="B137" s="12"/>
      <c r="C137" s="12"/>
      <c r="D137" s="12"/>
      <c r="E137" s="12"/>
      <c r="F137" s="12">
        <v>4.17</v>
      </c>
      <c r="G137" s="12"/>
      <c r="H137" s="12"/>
      <c r="I137" s="12"/>
      <c r="J137" s="12"/>
      <c r="K137" s="12">
        <v>3.9499999999999997</v>
      </c>
      <c r="L137" s="12"/>
      <c r="M137" s="12">
        <f t="shared" si="9"/>
        <v>0</v>
      </c>
      <c r="N137" s="12">
        <f t="shared" si="10"/>
        <v>8.1199999999999992</v>
      </c>
      <c r="Q137" s="271" t="s">
        <v>150</v>
      </c>
      <c r="R137" s="212">
        <v>1861.52</v>
      </c>
      <c r="S137" s="22">
        <f t="shared" si="11"/>
        <v>0.17286266410865483</v>
      </c>
    </row>
    <row r="138" spans="1:19" x14ac:dyDescent="0.35">
      <c r="A138" s="16" t="s">
        <v>7</v>
      </c>
      <c r="B138" s="12"/>
      <c r="C138" s="12"/>
      <c r="D138" s="12"/>
      <c r="E138" s="12"/>
      <c r="F138" s="12"/>
      <c r="G138" s="12"/>
      <c r="H138" s="12"/>
      <c r="I138" s="12"/>
      <c r="J138" s="12"/>
      <c r="K138" s="12">
        <v>1.67</v>
      </c>
      <c r="L138" s="12"/>
      <c r="M138" s="12">
        <f t="shared" si="9"/>
        <v>0</v>
      </c>
      <c r="N138" s="12">
        <f t="shared" si="10"/>
        <v>1.67</v>
      </c>
      <c r="Q138" s="271" t="s">
        <v>155</v>
      </c>
      <c r="R138" s="212">
        <v>836.85000000000025</v>
      </c>
      <c r="S138" s="22">
        <f t="shared" si="11"/>
        <v>7.7710752750079409E-2</v>
      </c>
    </row>
    <row r="139" spans="1:19" x14ac:dyDescent="0.35">
      <c r="A139" s="16" t="s">
        <v>8</v>
      </c>
      <c r="B139" s="12">
        <v>0.09</v>
      </c>
      <c r="C139" s="12"/>
      <c r="D139" s="12"/>
      <c r="E139" s="12">
        <v>33.549999999999997</v>
      </c>
      <c r="F139" s="12">
        <v>138.08000000000001</v>
      </c>
      <c r="G139" s="12">
        <v>39.64</v>
      </c>
      <c r="H139" s="12">
        <v>38.96</v>
      </c>
      <c r="I139" s="12">
        <v>0.95</v>
      </c>
      <c r="J139" s="12"/>
      <c r="K139" s="12">
        <v>82.52</v>
      </c>
      <c r="L139" s="12"/>
      <c r="M139" s="12">
        <f t="shared" si="9"/>
        <v>6.78</v>
      </c>
      <c r="N139" s="12">
        <f t="shared" si="10"/>
        <v>340.57</v>
      </c>
      <c r="Q139" s="271" t="s">
        <v>151</v>
      </c>
      <c r="R139" s="212">
        <v>362.09</v>
      </c>
      <c r="S139" s="22">
        <f t="shared" si="11"/>
        <v>3.3624050263818178E-2</v>
      </c>
    </row>
    <row r="140" spans="1:19" x14ac:dyDescent="0.35">
      <c r="A140" s="16" t="s">
        <v>26</v>
      </c>
      <c r="B140" s="12">
        <v>4.3</v>
      </c>
      <c r="C140" s="12"/>
      <c r="D140" s="12"/>
      <c r="E140" s="12">
        <v>16.75</v>
      </c>
      <c r="F140" s="12">
        <v>295.9899999999999</v>
      </c>
      <c r="G140" s="12">
        <v>0.12</v>
      </c>
      <c r="H140" s="12">
        <v>17.61</v>
      </c>
      <c r="I140" s="12">
        <v>0.89000000000000012</v>
      </c>
      <c r="J140" s="12">
        <v>0.28000000000000003</v>
      </c>
      <c r="K140" s="12">
        <v>9.57</v>
      </c>
      <c r="L140" s="12"/>
      <c r="M140" s="12">
        <f t="shared" si="9"/>
        <v>11.400000000000002</v>
      </c>
      <c r="N140" s="12">
        <f t="shared" si="10"/>
        <v>356.90999999999985</v>
      </c>
      <c r="Q140" s="271" t="s">
        <v>157</v>
      </c>
      <c r="R140" s="212">
        <v>252.17999999999998</v>
      </c>
      <c r="S140" s="385">
        <f t="shared" si="11"/>
        <v>2.3417694483497661E-2</v>
      </c>
    </row>
    <row r="141" spans="1:19" x14ac:dyDescent="0.35">
      <c r="A141" s="16" t="s">
        <v>27</v>
      </c>
      <c r="B141" s="12"/>
      <c r="C141" s="12"/>
      <c r="D141" s="12"/>
      <c r="E141" s="12"/>
      <c r="F141" s="12"/>
      <c r="G141" s="12">
        <v>0.02</v>
      </c>
      <c r="H141" s="12"/>
      <c r="I141" s="12">
        <v>11.2</v>
      </c>
      <c r="J141" s="12"/>
      <c r="K141" s="12"/>
      <c r="L141" s="12"/>
      <c r="M141" s="12">
        <f t="shared" si="9"/>
        <v>0</v>
      </c>
      <c r="N141" s="12">
        <f t="shared" si="10"/>
        <v>11.219999999999999</v>
      </c>
      <c r="Q141" s="271" t="s">
        <v>154</v>
      </c>
      <c r="R141" s="212">
        <v>146.93</v>
      </c>
      <c r="S141" s="384">
        <f t="shared" si="11"/>
        <v>1.3644071101833263E-2</v>
      </c>
    </row>
    <row r="142" spans="1:19" x14ac:dyDescent="0.35">
      <c r="A142" s="16" t="s">
        <v>28</v>
      </c>
      <c r="B142" s="12"/>
      <c r="C142" s="12"/>
      <c r="D142" s="12"/>
      <c r="E142" s="12">
        <v>2.62</v>
      </c>
      <c r="F142" s="12">
        <v>136.51999999999998</v>
      </c>
      <c r="G142" s="12">
        <v>0.94</v>
      </c>
      <c r="H142" s="12">
        <v>38.61</v>
      </c>
      <c r="I142" s="12">
        <v>12.600000000000001</v>
      </c>
      <c r="J142" s="12"/>
      <c r="K142" s="12">
        <v>22.089999999999996</v>
      </c>
      <c r="L142" s="12"/>
      <c r="M142" s="12">
        <f t="shared" si="9"/>
        <v>0.41</v>
      </c>
      <c r="N142" s="12">
        <f t="shared" si="10"/>
        <v>213.79</v>
      </c>
      <c r="Q142" s="271" t="s">
        <v>156</v>
      </c>
      <c r="R142" s="212">
        <v>95.22</v>
      </c>
      <c r="S142" s="384">
        <f t="shared" si="11"/>
        <v>8.8422272532264565E-3</v>
      </c>
    </row>
    <row r="143" spans="1:19" x14ac:dyDescent="0.35">
      <c r="A143" s="16" t="s">
        <v>29</v>
      </c>
      <c r="B143" s="12"/>
      <c r="C143" s="12"/>
      <c r="D143" s="12"/>
      <c r="E143" s="12"/>
      <c r="F143" s="12">
        <v>69.149999999999991</v>
      </c>
      <c r="G143" s="12"/>
      <c r="H143" s="12">
        <v>4.45</v>
      </c>
      <c r="I143" s="12"/>
      <c r="J143" s="12"/>
      <c r="K143" s="12">
        <v>1.83</v>
      </c>
      <c r="L143" s="12"/>
      <c r="M143" s="12">
        <f t="shared" si="9"/>
        <v>0</v>
      </c>
      <c r="N143" s="12">
        <f t="shared" si="10"/>
        <v>75.429999999999993</v>
      </c>
      <c r="Q143" s="271" t="s">
        <v>153</v>
      </c>
      <c r="R143" s="212">
        <v>42.480000000000004</v>
      </c>
      <c r="S143" s="384">
        <f t="shared" si="11"/>
        <v>3.9447365439724833E-3</v>
      </c>
    </row>
    <row r="144" spans="1:19" x14ac:dyDescent="0.35">
      <c r="A144" s="16" t="s">
        <v>30</v>
      </c>
      <c r="B144" s="12">
        <v>2</v>
      </c>
      <c r="C144" s="12"/>
      <c r="D144" s="12">
        <v>5.5399999999999991</v>
      </c>
      <c r="E144" s="12">
        <v>28.22</v>
      </c>
      <c r="F144" s="12">
        <v>4.16</v>
      </c>
      <c r="G144" s="12">
        <v>25.41</v>
      </c>
      <c r="H144" s="12">
        <v>7.3999999999999995</v>
      </c>
      <c r="I144" s="12">
        <v>6.3199999999999994</v>
      </c>
      <c r="J144" s="12"/>
      <c r="K144" s="12">
        <v>12.17</v>
      </c>
      <c r="L144" s="12"/>
      <c r="M144" s="12">
        <f t="shared" si="9"/>
        <v>0.77</v>
      </c>
      <c r="N144" s="12">
        <f t="shared" si="10"/>
        <v>91.99</v>
      </c>
      <c r="Q144" s="271" t="s">
        <v>160</v>
      </c>
      <c r="R144" s="212">
        <v>13.53</v>
      </c>
      <c r="S144" s="384">
        <f t="shared" si="11"/>
        <v>1.2564097325788064E-3</v>
      </c>
    </row>
    <row r="145" spans="1:19" x14ac:dyDescent="0.35">
      <c r="A145" s="272" t="s">
        <v>12</v>
      </c>
      <c r="B145" s="273">
        <v>9.48</v>
      </c>
      <c r="C145" s="273"/>
      <c r="D145" s="273"/>
      <c r="E145" s="273">
        <v>15.23</v>
      </c>
      <c r="F145" s="273">
        <v>326.92000000000007</v>
      </c>
      <c r="G145" s="273">
        <v>17.96</v>
      </c>
      <c r="H145" s="273">
        <v>1.1499999999999999</v>
      </c>
      <c r="I145" s="273"/>
      <c r="J145" s="273">
        <v>8.6</v>
      </c>
      <c r="K145" s="273">
        <v>62.92</v>
      </c>
      <c r="L145" s="273"/>
      <c r="M145" s="273">
        <f t="shared" si="9"/>
        <v>7.22</v>
      </c>
      <c r="N145" s="273">
        <f t="shared" si="10"/>
        <v>449.48000000000008</v>
      </c>
      <c r="Q145" s="271" t="s">
        <v>152</v>
      </c>
      <c r="R145" s="212">
        <v>11.579999999999998</v>
      </c>
      <c r="S145" s="384">
        <f t="shared" si="11"/>
        <v>1.0753307245574704E-3</v>
      </c>
    </row>
    <row r="146" spans="1:19" x14ac:dyDescent="0.35">
      <c r="A146" s="6" t="s">
        <v>31</v>
      </c>
      <c r="B146" s="12">
        <v>0.9</v>
      </c>
      <c r="C146" s="12"/>
      <c r="D146" s="12"/>
      <c r="E146" s="12"/>
      <c r="F146" s="12">
        <v>113.42000000000002</v>
      </c>
      <c r="G146" s="12">
        <v>0.31</v>
      </c>
      <c r="H146" s="12"/>
      <c r="I146" s="12"/>
      <c r="J146" s="12">
        <v>2.93</v>
      </c>
      <c r="K146" s="12">
        <v>0.28999999999999998</v>
      </c>
      <c r="L146" s="12"/>
      <c r="M146" s="12">
        <f t="shared" si="9"/>
        <v>5.23</v>
      </c>
      <c r="N146" s="12">
        <f t="shared" si="10"/>
        <v>123.08000000000004</v>
      </c>
      <c r="Q146" s="271" t="s">
        <v>122</v>
      </c>
      <c r="R146" s="212"/>
      <c r="S146" s="22">
        <f t="shared" ref="S146:S148" si="12">R146/$R$148</f>
        <v>0</v>
      </c>
    </row>
    <row r="147" spans="1:19" x14ac:dyDescent="0.35">
      <c r="A147" s="6" t="s">
        <v>32</v>
      </c>
      <c r="B147" s="12">
        <v>5.25</v>
      </c>
      <c r="C147" s="12"/>
      <c r="D147" s="12"/>
      <c r="E147" s="12"/>
      <c r="F147" s="12">
        <v>40.840000000000003</v>
      </c>
      <c r="G147" s="12">
        <v>1.02</v>
      </c>
      <c r="H147" s="12"/>
      <c r="I147" s="12"/>
      <c r="J147" s="12"/>
      <c r="K147" s="12">
        <v>1.96</v>
      </c>
      <c r="L147" s="12"/>
      <c r="M147" s="12">
        <f t="shared" si="9"/>
        <v>0</v>
      </c>
      <c r="N147" s="12">
        <f t="shared" si="10"/>
        <v>49.070000000000007</v>
      </c>
      <c r="Q147" s="271" t="s">
        <v>123</v>
      </c>
      <c r="R147" s="212">
        <v>1464.5699999999995</v>
      </c>
      <c r="S147" s="22">
        <f t="shared" si="12"/>
        <v>0.13600147834759363</v>
      </c>
    </row>
    <row r="148" spans="1:19" x14ac:dyDescent="0.35">
      <c r="A148" s="6" t="s">
        <v>33</v>
      </c>
      <c r="B148" s="12">
        <v>3.3299999999999996</v>
      </c>
      <c r="C148" s="12"/>
      <c r="D148" s="12"/>
      <c r="E148" s="12">
        <v>15.23</v>
      </c>
      <c r="F148" s="12">
        <v>172.66000000000003</v>
      </c>
      <c r="G148" s="12">
        <v>16.630000000000003</v>
      </c>
      <c r="H148" s="12">
        <v>1.1499999999999999</v>
      </c>
      <c r="I148" s="12"/>
      <c r="J148" s="12">
        <v>5.67</v>
      </c>
      <c r="K148" s="12">
        <v>60.67</v>
      </c>
      <c r="L148" s="12"/>
      <c r="M148" s="12">
        <f t="shared" si="9"/>
        <v>1.99</v>
      </c>
      <c r="N148" s="12">
        <f t="shared" si="10"/>
        <v>277.33000000000004</v>
      </c>
      <c r="Q148" s="268" t="s">
        <v>130</v>
      </c>
      <c r="R148" s="269">
        <v>10768.78</v>
      </c>
      <c r="S148" s="270">
        <f t="shared" si="12"/>
        <v>1</v>
      </c>
    </row>
    <row r="149" spans="1:19" x14ac:dyDescent="0.35">
      <c r="A149" s="272" t="s">
        <v>13</v>
      </c>
      <c r="B149" s="273">
        <v>0.69</v>
      </c>
      <c r="C149" s="273"/>
      <c r="D149" s="273"/>
      <c r="E149" s="273"/>
      <c r="F149" s="273">
        <v>5.72</v>
      </c>
      <c r="G149" s="273">
        <v>6.92</v>
      </c>
      <c r="H149" s="273">
        <v>15.31</v>
      </c>
      <c r="I149" s="273"/>
      <c r="J149" s="273">
        <v>4.12</v>
      </c>
      <c r="K149" s="273">
        <v>0.93</v>
      </c>
      <c r="L149" s="273"/>
      <c r="M149" s="273">
        <f t="shared" si="9"/>
        <v>2.85</v>
      </c>
      <c r="N149" s="273">
        <f t="shared" si="10"/>
        <v>36.54</v>
      </c>
    </row>
    <row r="150" spans="1:19" x14ac:dyDescent="0.35">
      <c r="A150" s="6" t="s">
        <v>34</v>
      </c>
      <c r="B150" s="12"/>
      <c r="C150" s="12"/>
      <c r="D150" s="12"/>
      <c r="E150" s="12"/>
      <c r="F150" s="12">
        <v>2.2000000000000002</v>
      </c>
      <c r="G150" s="12"/>
      <c r="H150" s="12"/>
      <c r="I150" s="12"/>
      <c r="J150" s="12">
        <v>4.12</v>
      </c>
      <c r="K150" s="12"/>
      <c r="L150" s="12"/>
      <c r="M150" s="12">
        <f t="shared" si="9"/>
        <v>2.41</v>
      </c>
      <c r="N150" s="12">
        <f t="shared" si="10"/>
        <v>8.73</v>
      </c>
    </row>
    <row r="151" spans="1:19" x14ac:dyDescent="0.35">
      <c r="A151" s="6" t="s">
        <v>61</v>
      </c>
      <c r="B151" s="12"/>
      <c r="C151" s="12"/>
      <c r="D151" s="12"/>
      <c r="E151" s="12"/>
      <c r="F151" s="12">
        <v>0.05</v>
      </c>
      <c r="G151" s="12"/>
      <c r="H151" s="12"/>
      <c r="I151" s="12"/>
      <c r="J151" s="12"/>
      <c r="K151" s="12">
        <v>0.93</v>
      </c>
      <c r="L151" s="12"/>
      <c r="M151" s="12">
        <f t="shared" si="9"/>
        <v>0</v>
      </c>
      <c r="N151" s="12">
        <f t="shared" si="10"/>
        <v>0.98000000000000009</v>
      </c>
    </row>
    <row r="152" spans="1:19" x14ac:dyDescent="0.35">
      <c r="A152" s="6" t="s">
        <v>36</v>
      </c>
      <c r="B152" s="12">
        <v>0.69</v>
      </c>
      <c r="C152" s="12"/>
      <c r="D152" s="12"/>
      <c r="E152" s="12"/>
      <c r="F152" s="12">
        <v>3.4699999999999998</v>
      </c>
      <c r="G152" s="12">
        <v>6.92</v>
      </c>
      <c r="H152" s="12">
        <v>15.31</v>
      </c>
      <c r="I152" s="12"/>
      <c r="J152" s="12"/>
      <c r="K152" s="12"/>
      <c r="L152" s="12"/>
      <c r="M152" s="12">
        <f t="shared" si="9"/>
        <v>0.44</v>
      </c>
      <c r="N152" s="12">
        <f t="shared" si="10"/>
        <v>26.830000000000002</v>
      </c>
    </row>
    <row r="153" spans="1:19" x14ac:dyDescent="0.35">
      <c r="A153" s="272" t="s">
        <v>14</v>
      </c>
      <c r="B153" s="273"/>
      <c r="C153" s="273"/>
      <c r="D153" s="273"/>
      <c r="E153" s="273"/>
      <c r="F153" s="273">
        <v>194.68000000000004</v>
      </c>
      <c r="G153" s="273"/>
      <c r="H153" s="273"/>
      <c r="I153" s="273"/>
      <c r="J153" s="273">
        <v>3.32</v>
      </c>
      <c r="K153" s="273">
        <v>227.89000000000004</v>
      </c>
      <c r="L153" s="273"/>
      <c r="M153" s="273"/>
      <c r="N153" s="273">
        <f t="shared" si="10"/>
        <v>425.8900000000001</v>
      </c>
    </row>
    <row r="154" spans="1:19" x14ac:dyDescent="0.35">
      <c r="A154" s="6" t="s">
        <v>37</v>
      </c>
      <c r="B154" s="12"/>
      <c r="C154" s="12"/>
      <c r="D154" s="12"/>
      <c r="E154" s="12"/>
      <c r="F154" s="12">
        <v>1.06</v>
      </c>
      <c r="G154" s="12"/>
      <c r="H154" s="12"/>
      <c r="I154" s="12"/>
      <c r="J154" s="12"/>
      <c r="K154" s="12">
        <v>1.58</v>
      </c>
      <c r="L154" s="12"/>
      <c r="M154" s="12"/>
      <c r="N154" s="12">
        <f t="shared" si="10"/>
        <v>2.64</v>
      </c>
    </row>
    <row r="155" spans="1:19" x14ac:dyDescent="0.35">
      <c r="A155" s="6" t="s">
        <v>38</v>
      </c>
      <c r="B155" s="12"/>
      <c r="C155" s="12"/>
      <c r="D155" s="12"/>
      <c r="E155" s="12"/>
      <c r="F155" s="12"/>
      <c r="G155" s="12"/>
      <c r="H155" s="12"/>
      <c r="I155" s="12"/>
      <c r="J155" s="12"/>
      <c r="K155" s="12">
        <v>1.07</v>
      </c>
      <c r="L155" s="12"/>
      <c r="M155" s="12"/>
      <c r="N155" s="12">
        <f t="shared" si="10"/>
        <v>1.07</v>
      </c>
    </row>
    <row r="156" spans="1:19" x14ac:dyDescent="0.35">
      <c r="A156" s="6" t="s">
        <v>39</v>
      </c>
      <c r="B156" s="12"/>
      <c r="C156" s="12"/>
      <c r="D156" s="12"/>
      <c r="E156" s="12"/>
      <c r="F156" s="12">
        <v>185.85000000000002</v>
      </c>
      <c r="G156" s="12"/>
      <c r="H156" s="12"/>
      <c r="I156" s="12"/>
      <c r="J156" s="12">
        <v>3.32</v>
      </c>
      <c r="K156" s="12">
        <v>224.16000000000003</v>
      </c>
      <c r="L156" s="12"/>
      <c r="M156" s="12"/>
      <c r="N156" s="12">
        <f t="shared" si="10"/>
        <v>413.33000000000004</v>
      </c>
    </row>
    <row r="157" spans="1:19" x14ac:dyDescent="0.35">
      <c r="A157" s="6" t="s">
        <v>40</v>
      </c>
      <c r="B157" s="12"/>
      <c r="C157" s="12"/>
      <c r="D157" s="12"/>
      <c r="E157" s="12"/>
      <c r="F157" s="12">
        <v>7.7700000000000005</v>
      </c>
      <c r="G157" s="12"/>
      <c r="H157" s="12"/>
      <c r="I157" s="12"/>
      <c r="J157" s="12"/>
      <c r="K157" s="12">
        <v>1.08</v>
      </c>
      <c r="L157" s="12"/>
      <c r="M157" s="12"/>
      <c r="N157" s="12">
        <f t="shared" si="10"/>
        <v>8.8500000000000014</v>
      </c>
    </row>
    <row r="158" spans="1:19" x14ac:dyDescent="0.35">
      <c r="A158" s="272" t="s">
        <v>15</v>
      </c>
      <c r="B158" s="273">
        <v>12.45</v>
      </c>
      <c r="C158" s="273">
        <v>1.46</v>
      </c>
      <c r="D158" s="273">
        <v>6.0399999999999991</v>
      </c>
      <c r="E158" s="273">
        <v>68.91</v>
      </c>
      <c r="F158" s="273">
        <v>5247.1900000000005</v>
      </c>
      <c r="G158" s="273">
        <v>189.60999999999999</v>
      </c>
      <c r="H158" s="273">
        <v>660.12000000000012</v>
      </c>
      <c r="I158" s="273">
        <v>5.54</v>
      </c>
      <c r="J158" s="273">
        <v>54.959999999999994</v>
      </c>
      <c r="K158" s="273">
        <v>1274.8400000000001</v>
      </c>
      <c r="L158" s="273"/>
      <c r="M158" s="273">
        <f t="shared" ref="M158:M173" si="13">M36-M97</f>
        <v>1396.2099999999998</v>
      </c>
      <c r="N158" s="273">
        <f t="shared" si="10"/>
        <v>8917.33</v>
      </c>
    </row>
    <row r="159" spans="1:19" x14ac:dyDescent="0.35">
      <c r="A159" s="6" t="s">
        <v>41</v>
      </c>
      <c r="B159" s="12"/>
      <c r="C159" s="12"/>
      <c r="D159" s="12">
        <v>2.0299999999999998</v>
      </c>
      <c r="E159" s="12">
        <v>4</v>
      </c>
      <c r="F159" s="12">
        <v>1077.5399999999997</v>
      </c>
      <c r="G159" s="12">
        <v>18.07</v>
      </c>
      <c r="H159" s="12">
        <v>183.09000000000003</v>
      </c>
      <c r="I159" s="12"/>
      <c r="J159" s="12"/>
      <c r="K159" s="12">
        <v>575.47</v>
      </c>
      <c r="L159" s="12"/>
      <c r="M159" s="12">
        <f t="shared" si="13"/>
        <v>306.08999999999997</v>
      </c>
      <c r="N159" s="12">
        <f t="shared" si="10"/>
        <v>2166.2899999999995</v>
      </c>
    </row>
    <row r="160" spans="1:19" x14ac:dyDescent="0.35">
      <c r="A160" s="6" t="s">
        <v>42</v>
      </c>
      <c r="B160" s="12">
        <v>10.09</v>
      </c>
      <c r="C160" s="12">
        <v>1.46</v>
      </c>
      <c r="D160" s="12">
        <v>4.01</v>
      </c>
      <c r="E160" s="12">
        <v>1.42</v>
      </c>
      <c r="F160" s="12">
        <v>2066.17</v>
      </c>
      <c r="G160" s="12">
        <v>115.22999999999999</v>
      </c>
      <c r="H160" s="12">
        <v>106.44</v>
      </c>
      <c r="I160" s="12">
        <v>1.92</v>
      </c>
      <c r="J160" s="12">
        <v>16.02</v>
      </c>
      <c r="K160" s="12">
        <v>402.16000000000014</v>
      </c>
      <c r="L160" s="12"/>
      <c r="M160" s="12">
        <f t="shared" si="13"/>
        <v>672.06999999999994</v>
      </c>
      <c r="N160" s="12">
        <f t="shared" si="10"/>
        <v>3396.9900000000007</v>
      </c>
    </row>
    <row r="161" spans="1:14" x14ac:dyDescent="0.35">
      <c r="A161" s="6" t="s">
        <v>43</v>
      </c>
      <c r="B161" s="12"/>
      <c r="C161" s="12"/>
      <c r="D161" s="12"/>
      <c r="E161" s="12"/>
      <c r="F161" s="12">
        <v>573.71</v>
      </c>
      <c r="G161" s="12"/>
      <c r="H161" s="12">
        <v>8.36</v>
      </c>
      <c r="I161" s="12">
        <v>2.9</v>
      </c>
      <c r="J161" s="12"/>
      <c r="K161" s="12">
        <v>78.31</v>
      </c>
      <c r="L161" s="12"/>
      <c r="M161" s="12">
        <f t="shared" si="13"/>
        <v>66.579999999999984</v>
      </c>
      <c r="N161" s="12">
        <f t="shared" si="10"/>
        <v>729.8599999999999</v>
      </c>
    </row>
    <row r="162" spans="1:14" x14ac:dyDescent="0.35">
      <c r="A162" s="6" t="s">
        <v>44</v>
      </c>
      <c r="B162" s="12">
        <v>2.36</v>
      </c>
      <c r="C162" s="12"/>
      <c r="D162" s="12"/>
      <c r="E162" s="12"/>
      <c r="F162" s="12">
        <v>101.82</v>
      </c>
      <c r="G162" s="12"/>
      <c r="H162" s="12"/>
      <c r="I162" s="12"/>
      <c r="J162" s="12"/>
      <c r="K162" s="12"/>
      <c r="L162" s="12"/>
      <c r="M162" s="12">
        <f t="shared" si="13"/>
        <v>16.75</v>
      </c>
      <c r="N162" s="12">
        <f t="shared" si="10"/>
        <v>120.92999999999999</v>
      </c>
    </row>
    <row r="163" spans="1:14" x14ac:dyDescent="0.35">
      <c r="A163" s="6" t="s">
        <v>45</v>
      </c>
      <c r="B163" s="12"/>
      <c r="C163" s="12"/>
      <c r="D163" s="12"/>
      <c r="E163" s="12">
        <v>63.489999999999995</v>
      </c>
      <c r="F163" s="12">
        <v>1427.95</v>
      </c>
      <c r="G163" s="12">
        <v>56.31</v>
      </c>
      <c r="H163" s="12">
        <v>362.23000000000008</v>
      </c>
      <c r="I163" s="12">
        <v>0.72</v>
      </c>
      <c r="J163" s="12">
        <v>38.94</v>
      </c>
      <c r="K163" s="12">
        <v>218.9</v>
      </c>
      <c r="L163" s="12"/>
      <c r="M163" s="12">
        <f t="shared" si="13"/>
        <v>334.71999999999991</v>
      </c>
      <c r="N163" s="12">
        <f t="shared" si="10"/>
        <v>2503.2599999999998</v>
      </c>
    </row>
    <row r="164" spans="1:14" x14ac:dyDescent="0.35">
      <c r="A164" s="272" t="s">
        <v>16</v>
      </c>
      <c r="B164" s="273">
        <v>28.720000000000002</v>
      </c>
      <c r="C164" s="273">
        <v>4.1399999999999997</v>
      </c>
      <c r="D164" s="273"/>
      <c r="E164" s="273"/>
      <c r="F164" s="273">
        <v>257.7</v>
      </c>
      <c r="G164" s="273"/>
      <c r="H164" s="273">
        <v>7.91</v>
      </c>
      <c r="I164" s="273"/>
      <c r="J164" s="273">
        <v>9.49</v>
      </c>
      <c r="K164" s="273">
        <v>63.360000000000007</v>
      </c>
      <c r="L164" s="273"/>
      <c r="M164" s="273">
        <f t="shared" si="13"/>
        <v>7.7999999999999989</v>
      </c>
      <c r="N164" s="273">
        <f t="shared" si="10"/>
        <v>379.12000000000006</v>
      </c>
    </row>
    <row r="165" spans="1:14" x14ac:dyDescent="0.35">
      <c r="A165" s="6" t="s">
        <v>46</v>
      </c>
      <c r="B165" s="12"/>
      <c r="C165" s="12"/>
      <c r="D165" s="12"/>
      <c r="E165" s="12"/>
      <c r="F165" s="12">
        <v>11.56</v>
      </c>
      <c r="G165" s="12"/>
      <c r="H165" s="12"/>
      <c r="I165" s="12"/>
      <c r="J165" s="12"/>
      <c r="K165" s="12"/>
      <c r="L165" s="12"/>
      <c r="M165" s="12">
        <f t="shared" si="13"/>
        <v>0</v>
      </c>
      <c r="N165" s="12">
        <f t="shared" si="10"/>
        <v>11.56</v>
      </c>
    </row>
    <row r="166" spans="1:14" x14ac:dyDescent="0.35">
      <c r="A166" s="6" t="s">
        <v>47</v>
      </c>
      <c r="B166" s="12">
        <v>1.18</v>
      </c>
      <c r="C166" s="12"/>
      <c r="D166" s="12"/>
      <c r="E166" s="12"/>
      <c r="F166" s="12">
        <v>0.74</v>
      </c>
      <c r="G166" s="12"/>
      <c r="H166" s="12"/>
      <c r="I166" s="12"/>
      <c r="J166" s="12"/>
      <c r="K166" s="12"/>
      <c r="L166" s="12"/>
      <c r="M166" s="12">
        <f t="shared" si="13"/>
        <v>7.02</v>
      </c>
      <c r="N166" s="12">
        <f t="shared" si="10"/>
        <v>8.94</v>
      </c>
    </row>
    <row r="167" spans="1:14" x14ac:dyDescent="0.35">
      <c r="A167" s="182" t="s">
        <v>48</v>
      </c>
      <c r="B167" s="12">
        <v>0.37</v>
      </c>
      <c r="C167" s="12"/>
      <c r="D167" s="12"/>
      <c r="E167" s="12"/>
      <c r="F167" s="12">
        <v>16.419999999999998</v>
      </c>
      <c r="G167" s="12"/>
      <c r="H167" s="12"/>
      <c r="I167" s="12"/>
      <c r="J167" s="12"/>
      <c r="K167" s="12"/>
      <c r="L167" s="12"/>
      <c r="M167" s="12">
        <f t="shared" si="13"/>
        <v>0</v>
      </c>
      <c r="N167" s="12">
        <f t="shared" si="10"/>
        <v>16.79</v>
      </c>
    </row>
    <row r="168" spans="1:14" x14ac:dyDescent="0.35">
      <c r="A168" s="182" t="s">
        <v>49</v>
      </c>
      <c r="B168" s="12">
        <v>0.82</v>
      </c>
      <c r="C168" s="12"/>
      <c r="D168" s="12"/>
      <c r="E168" s="12"/>
      <c r="F168" s="12">
        <v>1.96</v>
      </c>
      <c r="G168" s="12"/>
      <c r="H168" s="12"/>
      <c r="I168" s="12"/>
      <c r="J168" s="12"/>
      <c r="K168" s="12">
        <v>4.21</v>
      </c>
      <c r="L168" s="12"/>
      <c r="M168" s="12">
        <f t="shared" si="13"/>
        <v>0.08</v>
      </c>
      <c r="N168" s="12">
        <f t="shared" si="10"/>
        <v>7.07</v>
      </c>
    </row>
    <row r="169" spans="1:14" x14ac:dyDescent="0.35">
      <c r="A169" s="182" t="s">
        <v>50</v>
      </c>
      <c r="B169" s="12">
        <v>5.25</v>
      </c>
      <c r="C169" s="12"/>
      <c r="D169" s="12"/>
      <c r="E169" s="12"/>
      <c r="F169" s="12">
        <v>30.61999999999999</v>
      </c>
      <c r="G169" s="12"/>
      <c r="H169" s="12"/>
      <c r="I169" s="12"/>
      <c r="J169" s="12">
        <v>5.84</v>
      </c>
      <c r="K169" s="12">
        <v>17.14</v>
      </c>
      <c r="L169" s="12"/>
      <c r="M169" s="12">
        <f t="shared" si="13"/>
        <v>0</v>
      </c>
      <c r="N169" s="12">
        <f t="shared" si="10"/>
        <v>58.849999999999994</v>
      </c>
    </row>
    <row r="170" spans="1:14" x14ac:dyDescent="0.35">
      <c r="A170" s="182" t="s">
        <v>51</v>
      </c>
      <c r="B170" s="12">
        <v>9.48</v>
      </c>
      <c r="C170" s="12">
        <v>1.45</v>
      </c>
      <c r="D170" s="12"/>
      <c r="E170" s="12"/>
      <c r="F170" s="12">
        <v>4.17</v>
      </c>
      <c r="G170" s="12"/>
      <c r="H170" s="12"/>
      <c r="I170" s="12"/>
      <c r="J170" s="12"/>
      <c r="K170" s="12">
        <v>0.46</v>
      </c>
      <c r="L170" s="12"/>
      <c r="M170" s="12">
        <f t="shared" si="13"/>
        <v>0</v>
      </c>
      <c r="N170" s="12">
        <f t="shared" si="10"/>
        <v>15.56</v>
      </c>
    </row>
    <row r="171" spans="1:14" x14ac:dyDescent="0.35">
      <c r="A171" s="182" t="s">
        <v>52</v>
      </c>
      <c r="B171" s="54"/>
      <c r="C171" s="54"/>
      <c r="D171" s="54"/>
      <c r="E171" s="54"/>
      <c r="F171" s="54">
        <v>2.8600000000000003</v>
      </c>
      <c r="G171" s="54"/>
      <c r="H171" s="54"/>
      <c r="I171" s="54"/>
      <c r="J171" s="54"/>
      <c r="K171" s="54"/>
      <c r="L171" s="54"/>
      <c r="M171" s="54">
        <f t="shared" si="13"/>
        <v>0</v>
      </c>
      <c r="N171" s="12">
        <f t="shared" si="10"/>
        <v>2.8600000000000003</v>
      </c>
    </row>
    <row r="172" spans="1:14" x14ac:dyDescent="0.35">
      <c r="A172" s="182" t="s">
        <v>53</v>
      </c>
      <c r="B172" s="12">
        <v>5.42</v>
      </c>
      <c r="C172" s="12">
        <v>2.69</v>
      </c>
      <c r="D172" s="12"/>
      <c r="E172" s="12"/>
      <c r="F172" s="12">
        <v>105.20000000000002</v>
      </c>
      <c r="G172" s="12"/>
      <c r="H172" s="12">
        <v>4.2</v>
      </c>
      <c r="I172" s="12"/>
      <c r="J172" s="12"/>
      <c r="K172" s="12">
        <v>34.700000000000003</v>
      </c>
      <c r="L172" s="12"/>
      <c r="M172" s="12">
        <f t="shared" si="13"/>
        <v>0</v>
      </c>
      <c r="N172" s="12">
        <f t="shared" si="10"/>
        <v>152.21000000000004</v>
      </c>
    </row>
    <row r="173" spans="1:14" x14ac:dyDescent="0.35">
      <c r="A173" s="6" t="s">
        <v>54</v>
      </c>
      <c r="B173" s="12">
        <v>6.1999999999999993</v>
      </c>
      <c r="C173" s="12"/>
      <c r="D173" s="12"/>
      <c r="E173" s="12"/>
      <c r="F173" s="12">
        <v>84.169999999999987</v>
      </c>
      <c r="G173" s="12"/>
      <c r="H173" s="12">
        <v>3.71</v>
      </c>
      <c r="I173" s="12"/>
      <c r="J173" s="12">
        <v>3.65</v>
      </c>
      <c r="K173" s="12">
        <v>6.85</v>
      </c>
      <c r="L173" s="12"/>
      <c r="M173" s="12">
        <f t="shared" si="13"/>
        <v>0.69999999999999973</v>
      </c>
      <c r="N173" s="12">
        <f t="shared" si="10"/>
        <v>105.27999999999999</v>
      </c>
    </row>
    <row r="174" spans="1:14" x14ac:dyDescent="0.35">
      <c r="A174" s="272" t="s">
        <v>18</v>
      </c>
      <c r="B174" s="273"/>
      <c r="C174" s="273"/>
      <c r="D174" s="273"/>
      <c r="E174" s="273"/>
      <c r="F174" s="273"/>
      <c r="G174" s="273"/>
      <c r="H174" s="273"/>
      <c r="I174" s="273"/>
      <c r="J174" s="273"/>
      <c r="K174" s="273"/>
      <c r="L174" s="273"/>
      <c r="M174" s="273"/>
      <c r="N174" s="273">
        <f t="shared" si="10"/>
        <v>0</v>
      </c>
    </row>
    <row r="175" spans="1:14" x14ac:dyDescent="0.35">
      <c r="A175" s="6" t="s">
        <v>18</v>
      </c>
      <c r="B175" s="54"/>
      <c r="C175" s="54"/>
      <c r="D175" s="54"/>
      <c r="E175" s="54"/>
      <c r="F175" s="54"/>
      <c r="G175" s="54"/>
      <c r="H175" s="54"/>
      <c r="I175" s="54"/>
      <c r="J175" s="54"/>
      <c r="K175" s="54"/>
      <c r="L175" s="54"/>
      <c r="M175" s="54"/>
      <c r="N175" s="54"/>
    </row>
    <row r="176" spans="1:14" x14ac:dyDescent="0.35">
      <c r="A176" s="272" t="s">
        <v>17</v>
      </c>
      <c r="B176" s="273">
        <v>47.67</v>
      </c>
      <c r="C176" s="273">
        <v>7.93</v>
      </c>
      <c r="D176" s="273"/>
      <c r="E176" s="273">
        <v>86.9</v>
      </c>
      <c r="F176" s="273">
        <v>199.65</v>
      </c>
      <c r="G176" s="273">
        <v>77.31</v>
      </c>
      <c r="H176" s="273">
        <v>45.330000000000005</v>
      </c>
      <c r="I176" s="273"/>
      <c r="J176" s="273"/>
      <c r="K176" s="273">
        <v>83.38</v>
      </c>
      <c r="L176" s="273"/>
      <c r="M176" s="273">
        <f>M54-M115</f>
        <v>10.119999999999997</v>
      </c>
      <c r="N176" s="273">
        <f>SUM(B176:M176)</f>
        <v>558.29</v>
      </c>
    </row>
    <row r="177" spans="1:14" x14ac:dyDescent="0.35">
      <c r="A177" s="6" t="s">
        <v>55</v>
      </c>
      <c r="B177" s="12">
        <v>15.59</v>
      </c>
      <c r="C177" s="12">
        <v>7.93</v>
      </c>
      <c r="D177" s="12"/>
      <c r="E177" s="12">
        <v>14.5</v>
      </c>
      <c r="F177" s="12">
        <v>89.199999999999989</v>
      </c>
      <c r="G177" s="12">
        <v>37.049999999999997</v>
      </c>
      <c r="H177" s="12">
        <v>2.95</v>
      </c>
      <c r="I177" s="12"/>
      <c r="J177" s="12"/>
      <c r="K177" s="12">
        <v>65.58</v>
      </c>
      <c r="L177" s="12"/>
      <c r="M177" s="12">
        <f>M55-M116</f>
        <v>10.119999999999999</v>
      </c>
      <c r="N177" s="12">
        <f>SUM(B177:M177)</f>
        <v>242.91999999999996</v>
      </c>
    </row>
    <row r="178" spans="1:14" x14ac:dyDescent="0.35">
      <c r="A178" s="6" t="s">
        <v>56</v>
      </c>
      <c r="B178" s="12">
        <v>32.080000000000005</v>
      </c>
      <c r="C178" s="12"/>
      <c r="D178" s="12"/>
      <c r="E178" s="12">
        <v>72.400000000000006</v>
      </c>
      <c r="F178" s="12">
        <v>110.45000000000002</v>
      </c>
      <c r="G178" s="12">
        <v>40.260000000000005</v>
      </c>
      <c r="H178" s="12">
        <v>42.38</v>
      </c>
      <c r="I178" s="12"/>
      <c r="J178" s="12"/>
      <c r="K178" s="12">
        <v>17.8</v>
      </c>
      <c r="L178" s="12"/>
      <c r="M178" s="12">
        <f>M56-M117</f>
        <v>0</v>
      </c>
      <c r="N178" s="12">
        <f>SUM(B178:M178)</f>
        <v>315.37000000000006</v>
      </c>
    </row>
    <row r="179" spans="1:14" x14ac:dyDescent="0.35">
      <c r="A179" s="272" t="s">
        <v>64</v>
      </c>
      <c r="B179" s="273"/>
      <c r="C179" s="273"/>
      <c r="D179" s="273"/>
      <c r="E179" s="273"/>
      <c r="F179" s="273"/>
      <c r="G179" s="273"/>
      <c r="H179" s="273"/>
      <c r="I179" s="273"/>
      <c r="J179" s="273"/>
      <c r="K179" s="273"/>
      <c r="L179" s="273"/>
      <c r="M179" s="273"/>
      <c r="N179" s="273">
        <f>SUM(B179:M179)</f>
        <v>0</v>
      </c>
    </row>
    <row r="180" spans="1:14" x14ac:dyDescent="0.35">
      <c r="A180" s="6" t="s">
        <v>65</v>
      </c>
      <c r="B180" s="12"/>
      <c r="C180" s="12"/>
      <c r="D180" s="12"/>
      <c r="E180" s="12"/>
      <c r="F180" s="12"/>
      <c r="G180" s="12"/>
      <c r="H180" s="12"/>
      <c r="I180" s="12"/>
      <c r="J180" s="12"/>
      <c r="K180" s="12"/>
      <c r="L180" s="12"/>
      <c r="M180" s="12"/>
      <c r="N180" s="12"/>
    </row>
    <row r="181" spans="1:14" x14ac:dyDescent="0.35">
      <c r="A181" s="6" t="s">
        <v>66</v>
      </c>
      <c r="B181" s="12"/>
      <c r="C181" s="12"/>
      <c r="D181" s="12"/>
      <c r="E181" s="12"/>
      <c r="F181" s="12"/>
      <c r="G181" s="12"/>
      <c r="H181" s="12"/>
      <c r="I181" s="12"/>
      <c r="J181" s="12"/>
      <c r="K181" s="12"/>
      <c r="L181" s="12"/>
      <c r="M181" s="12"/>
      <c r="N181" s="12"/>
    </row>
    <row r="182" spans="1:14" x14ac:dyDescent="0.35">
      <c r="A182" s="272" t="s">
        <v>20</v>
      </c>
      <c r="B182" s="273"/>
      <c r="C182" s="273"/>
      <c r="D182" s="273"/>
      <c r="E182" s="273"/>
      <c r="F182" s="273">
        <v>16.420000000000002</v>
      </c>
      <c r="G182" s="273">
        <v>0.26</v>
      </c>
      <c r="H182" s="273"/>
      <c r="I182" s="273"/>
      <c r="J182" s="273"/>
      <c r="K182" s="273">
        <v>2.33</v>
      </c>
      <c r="L182" s="273"/>
      <c r="M182" s="273"/>
      <c r="N182" s="273">
        <f t="shared" ref="N182:N190" si="14">SUM(B182:M182)</f>
        <v>19.010000000000005</v>
      </c>
    </row>
    <row r="183" spans="1:14" x14ac:dyDescent="0.35">
      <c r="A183" s="6" t="s">
        <v>20</v>
      </c>
      <c r="B183" s="12"/>
      <c r="C183" s="12"/>
      <c r="D183" s="12"/>
      <c r="E183" s="12"/>
      <c r="F183" s="12">
        <v>16.420000000000002</v>
      </c>
      <c r="G183" s="12">
        <v>0.26</v>
      </c>
      <c r="H183" s="12"/>
      <c r="I183" s="12"/>
      <c r="J183" s="12"/>
      <c r="K183" s="12">
        <v>2.33</v>
      </c>
      <c r="L183" s="12"/>
      <c r="M183" s="12"/>
      <c r="N183" s="12">
        <f t="shared" si="14"/>
        <v>19.010000000000005</v>
      </c>
    </row>
    <row r="184" spans="1:14" x14ac:dyDescent="0.35">
      <c r="A184" s="272" t="s">
        <v>21</v>
      </c>
      <c r="B184" s="273">
        <v>24.33</v>
      </c>
      <c r="C184" s="273"/>
      <c r="D184" s="273"/>
      <c r="E184" s="273"/>
      <c r="F184" s="273">
        <v>133.58000000000001</v>
      </c>
      <c r="G184" s="273"/>
      <c r="H184" s="273"/>
      <c r="I184" s="273">
        <v>4.9800000000000004</v>
      </c>
      <c r="J184" s="273">
        <v>13.120000000000001</v>
      </c>
      <c r="K184" s="273">
        <v>9.61</v>
      </c>
      <c r="L184" s="273"/>
      <c r="M184" s="273">
        <f t="shared" ref="M184:M190" si="15">M62-M123</f>
        <v>16.919999999999998</v>
      </c>
      <c r="N184" s="273">
        <f t="shared" si="14"/>
        <v>202.54</v>
      </c>
    </row>
    <row r="185" spans="1:14" x14ac:dyDescent="0.35">
      <c r="A185" s="6" t="s">
        <v>21</v>
      </c>
      <c r="B185" s="12">
        <v>24.33</v>
      </c>
      <c r="C185" s="12"/>
      <c r="D185" s="12"/>
      <c r="E185" s="12"/>
      <c r="F185" s="12">
        <v>133.58000000000001</v>
      </c>
      <c r="G185" s="12"/>
      <c r="H185" s="12"/>
      <c r="I185" s="12">
        <v>4.9800000000000004</v>
      </c>
      <c r="J185" s="12">
        <v>13.120000000000001</v>
      </c>
      <c r="K185" s="12">
        <v>9.61</v>
      </c>
      <c r="L185" s="12"/>
      <c r="M185" s="12">
        <f t="shared" si="15"/>
        <v>16.919999999999998</v>
      </c>
      <c r="N185" s="12">
        <f t="shared" si="14"/>
        <v>202.54</v>
      </c>
    </row>
    <row r="186" spans="1:14" x14ac:dyDescent="0.35">
      <c r="A186" s="272" t="s">
        <v>22</v>
      </c>
      <c r="B186" s="273"/>
      <c r="C186" s="273"/>
      <c r="D186" s="273"/>
      <c r="E186" s="273"/>
      <c r="F186" s="273">
        <v>76.870000000000019</v>
      </c>
      <c r="G186" s="273">
        <v>3.9</v>
      </c>
      <c r="H186" s="273"/>
      <c r="I186" s="273"/>
      <c r="J186" s="273"/>
      <c r="K186" s="273">
        <v>1.93</v>
      </c>
      <c r="L186" s="273"/>
      <c r="M186" s="273">
        <f t="shared" si="15"/>
        <v>2.7199999999999998</v>
      </c>
      <c r="N186" s="273">
        <f t="shared" si="14"/>
        <v>85.42000000000003</v>
      </c>
    </row>
    <row r="187" spans="1:14" x14ac:dyDescent="0.35">
      <c r="A187" s="6" t="s">
        <v>22</v>
      </c>
      <c r="B187" s="12"/>
      <c r="C187" s="12"/>
      <c r="D187" s="12"/>
      <c r="E187" s="12"/>
      <c r="F187" s="12">
        <v>76.870000000000019</v>
      </c>
      <c r="G187" s="12">
        <v>3.9</v>
      </c>
      <c r="H187" s="12"/>
      <c r="I187" s="12"/>
      <c r="J187" s="12"/>
      <c r="K187" s="12">
        <v>1.93</v>
      </c>
      <c r="L187" s="12"/>
      <c r="M187" s="12">
        <f t="shared" si="15"/>
        <v>2.7199999999999998</v>
      </c>
      <c r="N187" s="12">
        <f t="shared" si="14"/>
        <v>85.42000000000003</v>
      </c>
    </row>
    <row r="188" spans="1:14" x14ac:dyDescent="0.35">
      <c r="A188" s="272" t="s">
        <v>23</v>
      </c>
      <c r="B188" s="273">
        <v>17.190000000000001</v>
      </c>
      <c r="C188" s="273"/>
      <c r="D188" s="273"/>
      <c r="E188" s="273"/>
      <c r="F188" s="273">
        <v>39.6</v>
      </c>
      <c r="G188" s="273"/>
      <c r="H188" s="273"/>
      <c r="I188" s="273"/>
      <c r="J188" s="273">
        <v>1.33</v>
      </c>
      <c r="K188" s="273">
        <v>0.53</v>
      </c>
      <c r="L188" s="273"/>
      <c r="M188" s="273">
        <f t="shared" si="15"/>
        <v>1.37</v>
      </c>
      <c r="N188" s="273">
        <f t="shared" si="14"/>
        <v>60.02</v>
      </c>
    </row>
    <row r="189" spans="1:14" x14ac:dyDescent="0.35">
      <c r="A189" s="6" t="s">
        <v>23</v>
      </c>
      <c r="B189" s="12">
        <v>17.190000000000001</v>
      </c>
      <c r="C189" s="12"/>
      <c r="D189" s="12"/>
      <c r="E189" s="12"/>
      <c r="F189" s="12">
        <v>39.6</v>
      </c>
      <c r="G189" s="12"/>
      <c r="H189" s="12"/>
      <c r="I189" s="12"/>
      <c r="J189" s="12">
        <v>1.33</v>
      </c>
      <c r="K189" s="12">
        <v>0.53</v>
      </c>
      <c r="L189" s="12"/>
      <c r="M189" s="12">
        <f t="shared" si="15"/>
        <v>1.37</v>
      </c>
      <c r="N189" s="12">
        <f t="shared" si="14"/>
        <v>60.02</v>
      </c>
    </row>
    <row r="190" spans="1:14" x14ac:dyDescent="0.35">
      <c r="A190" s="274" t="s">
        <v>25</v>
      </c>
      <c r="B190" s="275">
        <v>146.93</v>
      </c>
      <c r="C190" s="275">
        <v>13.53</v>
      </c>
      <c r="D190" s="275">
        <v>11.579999999999998</v>
      </c>
      <c r="E190" s="275">
        <v>252.17999999999998</v>
      </c>
      <c r="F190" s="275">
        <v>7146.4000000000005</v>
      </c>
      <c r="G190" s="275">
        <v>362.09</v>
      </c>
      <c r="H190" s="275">
        <v>836.85000000000025</v>
      </c>
      <c r="I190" s="275">
        <v>42.480000000000004</v>
      </c>
      <c r="J190" s="275">
        <v>95.22</v>
      </c>
      <c r="K190" s="275">
        <v>1861.52</v>
      </c>
      <c r="L190" s="275"/>
      <c r="M190" s="275">
        <f t="shared" si="15"/>
        <v>1464.5699999999995</v>
      </c>
      <c r="N190" s="275">
        <f t="shared" si="14"/>
        <v>12233.35</v>
      </c>
    </row>
  </sheetData>
  <sortState xmlns:xlrd2="http://schemas.microsoft.com/office/spreadsheetml/2017/richdata2" ref="Q136:S145">
    <sortCondition descending="1" ref="R136"/>
  </sortState>
  <mergeCells count="11">
    <mergeCell ref="T13:U13"/>
    <mergeCell ref="V13:W13"/>
    <mergeCell ref="Q13:S13"/>
    <mergeCell ref="Q74:S74"/>
    <mergeCell ref="Q135:S135"/>
    <mergeCell ref="A134:A135"/>
    <mergeCell ref="B12:N12"/>
    <mergeCell ref="B73:N73"/>
    <mergeCell ref="B134:N134"/>
    <mergeCell ref="A12:A13"/>
    <mergeCell ref="A73:A74"/>
  </mergeCells>
  <hyperlinks>
    <hyperlink ref="B1" r:id="rId1" xr:uid="{00000000-0004-0000-1500-000000000000}"/>
    <hyperlink ref="O1" location="ÍNDICE!A1" display="ÍNDICE!A1" xr:uid="{00000000-0004-0000-1500-000001000000}"/>
    <hyperlink ref="C5" location="'PIS R-VAR'!A11" display="TOTAL" xr:uid="{00000000-0004-0000-1500-000002000000}"/>
    <hyperlink ref="C6" location="'PIS R-VAR'!A72" display="ECOLÓGICO" xr:uid="{00000000-0004-0000-1500-000003000000}"/>
    <hyperlink ref="C7" location="'PIS R-VAR'!A133" display="CONVENCIONAL" xr:uid="{00000000-0004-0000-1500-000004000000}"/>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63"/>
  <sheetViews>
    <sheetView workbookViewId="0"/>
  </sheetViews>
  <sheetFormatPr baseColWidth="10" defaultRowHeight="14.5" x14ac:dyDescent="0.35"/>
  <cols>
    <col min="1" max="1" width="25.81640625" customWidth="1"/>
    <col min="9" max="12" width="11.453125" customWidth="1"/>
    <col min="14" max="16" width="11.453125" customWidth="1"/>
    <col min="17" max="17" width="24.453125" customWidth="1"/>
  </cols>
  <sheetData>
    <row r="1" spans="1:19" x14ac:dyDescent="0.35">
      <c r="A1" s="240" t="s">
        <v>10</v>
      </c>
      <c r="B1" s="2" t="s">
        <v>102</v>
      </c>
      <c r="N1" t="s">
        <v>143</v>
      </c>
      <c r="O1" s="2" t="s">
        <v>144</v>
      </c>
    </row>
    <row r="4" spans="1:19" ht="17.5" x14ac:dyDescent="0.35">
      <c r="A4" s="234" t="s">
        <v>163</v>
      </c>
      <c r="B4" s="234"/>
      <c r="C4" s="339" t="s">
        <v>243</v>
      </c>
      <c r="D4" s="110"/>
      <c r="E4" s="110"/>
      <c r="F4" s="110"/>
      <c r="G4" s="110"/>
      <c r="H4" s="110"/>
    </row>
    <row r="5" spans="1:19" x14ac:dyDescent="0.35">
      <c r="A5" s="235" t="s">
        <v>196</v>
      </c>
      <c r="B5" s="235"/>
      <c r="C5" s="340" t="s">
        <v>124</v>
      </c>
      <c r="D5" s="110"/>
      <c r="E5" s="110"/>
      <c r="F5" s="110"/>
      <c r="G5" s="110"/>
      <c r="H5" s="110"/>
    </row>
    <row r="6" spans="1:19" x14ac:dyDescent="0.35">
      <c r="A6" s="236" t="s">
        <v>197</v>
      </c>
      <c r="B6" s="235"/>
      <c r="C6" s="340" t="s">
        <v>213</v>
      </c>
      <c r="D6" s="110"/>
      <c r="E6" s="110"/>
      <c r="F6" s="110"/>
      <c r="G6" s="110"/>
      <c r="H6" s="110"/>
    </row>
    <row r="7" spans="1:19" x14ac:dyDescent="0.35">
      <c r="A7" s="236" t="s">
        <v>198</v>
      </c>
      <c r="B7" s="235"/>
      <c r="C7" s="340" t="s">
        <v>242</v>
      </c>
      <c r="D7" s="110"/>
      <c r="E7" s="110"/>
      <c r="F7" s="110"/>
      <c r="G7" s="110"/>
      <c r="H7" s="110"/>
    </row>
    <row r="8" spans="1:19" ht="18.5" x14ac:dyDescent="0.45">
      <c r="A8" s="223"/>
    </row>
    <row r="9" spans="1:19" ht="18.5" x14ac:dyDescent="0.45">
      <c r="A9" s="223"/>
    </row>
    <row r="10" spans="1:19" ht="18.5" x14ac:dyDescent="0.45">
      <c r="A10" s="223"/>
      <c r="B10" s="223"/>
    </row>
    <row r="11" spans="1:19" ht="18.5" x14ac:dyDescent="0.45">
      <c r="A11" s="238" t="s">
        <v>136</v>
      </c>
      <c r="B11" s="223"/>
    </row>
    <row r="12" spans="1:19" x14ac:dyDescent="0.35">
      <c r="A12" s="703" t="s">
        <v>88</v>
      </c>
      <c r="B12" s="725" t="s">
        <v>113</v>
      </c>
      <c r="C12" s="726"/>
      <c r="D12" s="726"/>
      <c r="E12" s="726"/>
      <c r="F12" s="726"/>
      <c r="G12" s="726"/>
      <c r="H12" s="726"/>
      <c r="I12" s="726"/>
      <c r="J12" s="726"/>
      <c r="K12" s="726"/>
      <c r="L12" s="726"/>
      <c r="M12" s="726"/>
      <c r="N12" s="726"/>
    </row>
    <row r="13" spans="1:19" ht="27" customHeight="1" x14ac:dyDescent="0.35">
      <c r="A13" s="704"/>
      <c r="B13" s="244" t="s">
        <v>37</v>
      </c>
      <c r="C13" s="244" t="s">
        <v>170</v>
      </c>
      <c r="D13" s="244" t="s">
        <v>169</v>
      </c>
      <c r="E13" s="244" t="s">
        <v>171</v>
      </c>
      <c r="F13" s="244" t="s">
        <v>172</v>
      </c>
      <c r="G13" s="244" t="s">
        <v>166</v>
      </c>
      <c r="H13" s="244" t="s">
        <v>164</v>
      </c>
      <c r="I13" s="244" t="s">
        <v>165</v>
      </c>
      <c r="J13" s="244" t="s">
        <v>167</v>
      </c>
      <c r="K13" s="244" t="s">
        <v>168</v>
      </c>
      <c r="L13" s="244" t="s">
        <v>122</v>
      </c>
      <c r="M13" s="244" t="s">
        <v>123</v>
      </c>
      <c r="N13" s="244" t="s">
        <v>124</v>
      </c>
      <c r="Q13" s="706" t="s">
        <v>199</v>
      </c>
      <c r="R13" s="707"/>
      <c r="S13" s="708"/>
    </row>
    <row r="14" spans="1:19" x14ac:dyDescent="0.35">
      <c r="A14" s="245" t="s">
        <v>5</v>
      </c>
      <c r="B14" s="246"/>
      <c r="C14" s="246"/>
      <c r="D14" s="246"/>
      <c r="E14" s="246"/>
      <c r="F14" s="246"/>
      <c r="G14" s="246"/>
      <c r="H14" s="246">
        <v>0.03</v>
      </c>
      <c r="I14" s="246"/>
      <c r="J14" s="246"/>
      <c r="K14" s="246">
        <v>0.12</v>
      </c>
      <c r="L14" s="246"/>
      <c r="M14" s="246"/>
      <c r="N14" s="246">
        <f t="shared" ref="N14:N59" si="0">SUM(B14:M14)</f>
        <v>0.15</v>
      </c>
      <c r="Q14" s="246" t="s">
        <v>164</v>
      </c>
      <c r="R14" s="212">
        <v>2564.1399999999931</v>
      </c>
      <c r="S14" s="22">
        <f t="shared" ref="S14:S23" si="1">R14/$R$26</f>
        <v>0.80869839467625415</v>
      </c>
    </row>
    <row r="15" spans="1:19" x14ac:dyDescent="0.35">
      <c r="A15" s="6" t="s">
        <v>8</v>
      </c>
      <c r="B15" s="12"/>
      <c r="C15" s="12"/>
      <c r="D15" s="12"/>
      <c r="E15" s="12"/>
      <c r="F15" s="12"/>
      <c r="G15" s="12"/>
      <c r="H15" s="12"/>
      <c r="I15" s="12"/>
      <c r="J15" s="12"/>
      <c r="K15" s="12">
        <v>0.12</v>
      </c>
      <c r="L15" s="12"/>
      <c r="M15" s="12"/>
      <c r="N15" s="12">
        <f t="shared" si="0"/>
        <v>0.12</v>
      </c>
      <c r="Q15" s="246" t="s">
        <v>165</v>
      </c>
      <c r="R15" s="212">
        <v>103.74</v>
      </c>
      <c r="S15" s="22">
        <f t="shared" si="1"/>
        <v>3.271832718327191E-2</v>
      </c>
    </row>
    <row r="16" spans="1:19" x14ac:dyDescent="0.35">
      <c r="A16" s="6" t="s">
        <v>29</v>
      </c>
      <c r="B16" s="12"/>
      <c r="C16" s="12"/>
      <c r="D16" s="12"/>
      <c r="E16" s="12"/>
      <c r="F16" s="12"/>
      <c r="G16" s="12"/>
      <c r="H16" s="12">
        <v>0.03</v>
      </c>
      <c r="I16" s="12"/>
      <c r="J16" s="12"/>
      <c r="K16" s="12"/>
      <c r="L16" s="12"/>
      <c r="M16" s="12"/>
      <c r="N16" s="12">
        <f t="shared" si="0"/>
        <v>0.03</v>
      </c>
      <c r="Q16" s="246" t="s">
        <v>166</v>
      </c>
      <c r="R16" s="212">
        <v>74.989999999999995</v>
      </c>
      <c r="S16" s="22">
        <f t="shared" si="1"/>
        <v>2.365092881698053E-2</v>
      </c>
    </row>
    <row r="17" spans="1:19" x14ac:dyDescent="0.35">
      <c r="A17" s="245" t="s">
        <v>12</v>
      </c>
      <c r="B17" s="246">
        <v>7.0000000000000007E-2</v>
      </c>
      <c r="C17" s="246"/>
      <c r="D17" s="246">
        <v>1.1000000000000001</v>
      </c>
      <c r="E17" s="246"/>
      <c r="F17" s="246"/>
      <c r="G17" s="246">
        <v>2.23</v>
      </c>
      <c r="H17" s="246">
        <v>11.870000000000001</v>
      </c>
      <c r="I17" s="246">
        <v>0.79999999999999993</v>
      </c>
      <c r="J17" s="246"/>
      <c r="K17" s="246">
        <v>1.54</v>
      </c>
      <c r="L17" s="246"/>
      <c r="M17" s="246">
        <v>2.71</v>
      </c>
      <c r="N17" s="246">
        <f t="shared" si="0"/>
        <v>20.32</v>
      </c>
      <c r="Q17" s="246" t="s">
        <v>168</v>
      </c>
      <c r="R17" s="212">
        <v>37.82</v>
      </c>
      <c r="S17" s="384">
        <f t="shared" si="1"/>
        <v>1.1927965433500517E-2</v>
      </c>
    </row>
    <row r="18" spans="1:19" x14ac:dyDescent="0.35">
      <c r="A18" s="6" t="s">
        <v>31</v>
      </c>
      <c r="B18" s="12"/>
      <c r="C18" s="12"/>
      <c r="D18" s="12"/>
      <c r="E18" s="12"/>
      <c r="F18" s="12"/>
      <c r="G18" s="12"/>
      <c r="H18" s="12">
        <v>1.91</v>
      </c>
      <c r="I18" s="12"/>
      <c r="J18" s="12"/>
      <c r="K18" s="12"/>
      <c r="L18" s="12"/>
      <c r="M18" s="12"/>
      <c r="N18" s="12">
        <f t="shared" si="0"/>
        <v>1.91</v>
      </c>
      <c r="Q18" s="246" t="s">
        <v>167</v>
      </c>
      <c r="R18" s="212">
        <v>29.270000000000007</v>
      </c>
      <c r="S18" s="384">
        <f t="shared" si="1"/>
        <v>9.2314000063077797E-3</v>
      </c>
    </row>
    <row r="19" spans="1:19" x14ac:dyDescent="0.35">
      <c r="A19" s="6" t="s">
        <v>32</v>
      </c>
      <c r="B19" s="12">
        <v>7.0000000000000007E-2</v>
      </c>
      <c r="C19" s="12"/>
      <c r="D19" s="12">
        <v>0.62</v>
      </c>
      <c r="E19" s="12"/>
      <c r="F19" s="12"/>
      <c r="G19" s="12">
        <v>2.23</v>
      </c>
      <c r="H19" s="12">
        <v>9.4400000000000013</v>
      </c>
      <c r="I19" s="12">
        <v>0.79999999999999993</v>
      </c>
      <c r="J19" s="12"/>
      <c r="K19" s="12">
        <v>1.54</v>
      </c>
      <c r="L19" s="12"/>
      <c r="M19" s="12">
        <v>2.71</v>
      </c>
      <c r="N19" s="12">
        <f t="shared" si="0"/>
        <v>17.410000000000004</v>
      </c>
      <c r="Q19" s="246" t="s">
        <v>169</v>
      </c>
      <c r="R19" s="212">
        <v>13.239999999999998</v>
      </c>
      <c r="S19" s="384">
        <f t="shared" si="1"/>
        <v>4.1757340650329672E-3</v>
      </c>
    </row>
    <row r="20" spans="1:19" x14ac:dyDescent="0.35">
      <c r="A20" s="6" t="s">
        <v>33</v>
      </c>
      <c r="B20" s="12"/>
      <c r="C20" s="12"/>
      <c r="D20" s="12">
        <v>0.48</v>
      </c>
      <c r="E20" s="12"/>
      <c r="F20" s="12"/>
      <c r="G20" s="12"/>
      <c r="H20" s="12">
        <v>0.52</v>
      </c>
      <c r="I20" s="12"/>
      <c r="J20" s="12"/>
      <c r="K20" s="12"/>
      <c r="L20" s="12"/>
      <c r="M20" s="12"/>
      <c r="N20" s="12">
        <f t="shared" si="0"/>
        <v>1</v>
      </c>
      <c r="Q20" s="246" t="s">
        <v>172</v>
      </c>
      <c r="R20" s="212">
        <v>8.16</v>
      </c>
      <c r="S20" s="384">
        <f t="shared" si="1"/>
        <v>2.5735641971804395E-3</v>
      </c>
    </row>
    <row r="21" spans="1:19" x14ac:dyDescent="0.35">
      <c r="A21" s="245" t="s">
        <v>69</v>
      </c>
      <c r="B21" s="246">
        <v>0.21</v>
      </c>
      <c r="C21" s="246">
        <v>0.31</v>
      </c>
      <c r="D21" s="246">
        <v>0.23</v>
      </c>
      <c r="E21" s="246"/>
      <c r="F21" s="246"/>
      <c r="G21" s="246"/>
      <c r="H21" s="246"/>
      <c r="I21" s="246"/>
      <c r="J21" s="246"/>
      <c r="K21" s="246"/>
      <c r="L21" s="246"/>
      <c r="M21" s="246">
        <v>0.28999999999999998</v>
      </c>
      <c r="N21" s="246">
        <f t="shared" si="0"/>
        <v>1.04</v>
      </c>
      <c r="Q21" s="246" t="s">
        <v>170</v>
      </c>
      <c r="R21" s="212">
        <v>7.0200000000000005</v>
      </c>
      <c r="S21" s="384">
        <f t="shared" si="1"/>
        <v>2.2140221402214074E-3</v>
      </c>
    </row>
    <row r="22" spans="1:19" x14ac:dyDescent="0.35">
      <c r="A22" s="6" t="s">
        <v>69</v>
      </c>
      <c r="B22" s="12">
        <v>0.09</v>
      </c>
      <c r="C22" s="12">
        <v>0.31</v>
      </c>
      <c r="D22" s="12">
        <v>0.23</v>
      </c>
      <c r="E22" s="12"/>
      <c r="F22" s="12"/>
      <c r="G22" s="12"/>
      <c r="H22" s="12"/>
      <c r="I22" s="12"/>
      <c r="J22" s="12"/>
      <c r="K22" s="12"/>
      <c r="L22" s="12"/>
      <c r="M22" s="12">
        <v>0.28999999999999998</v>
      </c>
      <c r="N22" s="12">
        <f t="shared" si="0"/>
        <v>0.91999999999999993</v>
      </c>
      <c r="Q22" s="246" t="s">
        <v>37</v>
      </c>
      <c r="R22" s="212">
        <v>2.6999999999999997</v>
      </c>
      <c r="S22" s="384">
        <f t="shared" si="1"/>
        <v>8.5154697700823355E-4</v>
      </c>
    </row>
    <row r="23" spans="1:19" x14ac:dyDescent="0.35">
      <c r="A23" s="245" t="s">
        <v>13</v>
      </c>
      <c r="B23" s="246">
        <v>0.5</v>
      </c>
      <c r="C23" s="246"/>
      <c r="D23" s="246">
        <v>1.02</v>
      </c>
      <c r="E23" s="246"/>
      <c r="F23" s="246">
        <v>6.6</v>
      </c>
      <c r="G23" s="246">
        <v>69.31</v>
      </c>
      <c r="H23" s="246">
        <v>353.34999999999985</v>
      </c>
      <c r="I23" s="246">
        <v>1.03</v>
      </c>
      <c r="J23" s="246"/>
      <c r="K23" s="246">
        <v>7.4700000000000006</v>
      </c>
      <c r="L23" s="246"/>
      <c r="M23" s="246">
        <v>10.579999999999998</v>
      </c>
      <c r="N23" s="246">
        <f t="shared" si="0"/>
        <v>449.85999999999984</v>
      </c>
      <c r="Q23" s="246" t="s">
        <v>171</v>
      </c>
      <c r="R23" s="212">
        <v>0.7</v>
      </c>
      <c r="S23" s="384">
        <f t="shared" si="1"/>
        <v>2.2077143848361612E-4</v>
      </c>
    </row>
    <row r="24" spans="1:19" x14ac:dyDescent="0.35">
      <c r="A24" s="6" t="s">
        <v>34</v>
      </c>
      <c r="B24" s="12"/>
      <c r="C24" s="12"/>
      <c r="D24" s="12"/>
      <c r="E24" s="12"/>
      <c r="F24" s="12"/>
      <c r="G24" s="12"/>
      <c r="H24" s="12">
        <v>9.0000000000000011E-2</v>
      </c>
      <c r="I24" s="12"/>
      <c r="J24" s="12"/>
      <c r="K24" s="12"/>
      <c r="L24" s="12"/>
      <c r="M24" s="12">
        <v>0.19</v>
      </c>
      <c r="N24" s="12">
        <f t="shared" si="0"/>
        <v>0.28000000000000003</v>
      </c>
      <c r="Q24" s="246" t="s">
        <v>122</v>
      </c>
      <c r="R24" s="212">
        <v>1.56</v>
      </c>
      <c r="S24" s="384">
        <f t="shared" ref="S24:S26" si="2">R24/$R$26</f>
        <v>4.9200492004920163E-4</v>
      </c>
    </row>
    <row r="25" spans="1:19" x14ac:dyDescent="0.35">
      <c r="A25" s="6" t="s">
        <v>61</v>
      </c>
      <c r="B25" s="12">
        <v>0.5</v>
      </c>
      <c r="C25" s="12"/>
      <c r="D25" s="12">
        <v>1.02</v>
      </c>
      <c r="E25" s="12"/>
      <c r="F25" s="12"/>
      <c r="G25" s="12">
        <v>69.12</v>
      </c>
      <c r="H25" s="12">
        <v>352.58999999999986</v>
      </c>
      <c r="I25" s="12">
        <v>1.03</v>
      </c>
      <c r="J25" s="12"/>
      <c r="K25" s="12">
        <v>7.4700000000000006</v>
      </c>
      <c r="L25" s="12"/>
      <c r="M25" s="12">
        <v>9.629999999999999</v>
      </c>
      <c r="N25" s="12">
        <f t="shared" si="0"/>
        <v>441.35999999999984</v>
      </c>
      <c r="Q25" s="246" t="s">
        <v>123</v>
      </c>
      <c r="R25" s="212">
        <v>327.3599999999999</v>
      </c>
      <c r="S25" s="22">
        <f t="shared" si="2"/>
        <v>0.10324534014570937</v>
      </c>
    </row>
    <row r="26" spans="1:19" x14ac:dyDescent="0.35">
      <c r="A26" s="6" t="s">
        <v>36</v>
      </c>
      <c r="B26" s="12"/>
      <c r="C26" s="12"/>
      <c r="D26" s="12"/>
      <c r="E26" s="12"/>
      <c r="F26" s="12">
        <v>6.6</v>
      </c>
      <c r="G26" s="12">
        <v>0.19</v>
      </c>
      <c r="H26" s="12">
        <v>0.66999999999999993</v>
      </c>
      <c r="I26" s="12"/>
      <c r="J26" s="12"/>
      <c r="K26" s="12"/>
      <c r="L26" s="12"/>
      <c r="M26" s="12">
        <v>0.76</v>
      </c>
      <c r="N26" s="12">
        <f t="shared" si="0"/>
        <v>8.2200000000000006</v>
      </c>
      <c r="Q26" s="243" t="s">
        <v>130</v>
      </c>
      <c r="R26" s="259">
        <v>3170.6999999999925</v>
      </c>
      <c r="S26" s="260">
        <f t="shared" si="2"/>
        <v>1</v>
      </c>
    </row>
    <row r="27" spans="1:19" x14ac:dyDescent="0.35">
      <c r="A27" s="245" t="s">
        <v>16</v>
      </c>
      <c r="B27" s="246">
        <v>0.19</v>
      </c>
      <c r="C27" s="246"/>
      <c r="D27" s="246"/>
      <c r="E27" s="246"/>
      <c r="F27" s="246"/>
      <c r="G27" s="246"/>
      <c r="H27" s="246">
        <v>0.8</v>
      </c>
      <c r="I27" s="246"/>
      <c r="J27" s="246"/>
      <c r="K27" s="246"/>
      <c r="L27" s="246"/>
      <c r="M27" s="246">
        <v>5.57</v>
      </c>
      <c r="N27" s="246">
        <f t="shared" si="0"/>
        <v>6.5600000000000005</v>
      </c>
    </row>
    <row r="28" spans="1:19" x14ac:dyDescent="0.35">
      <c r="A28" s="6" t="s">
        <v>47</v>
      </c>
      <c r="B28" s="12"/>
      <c r="C28" s="12"/>
      <c r="D28" s="12"/>
      <c r="E28" s="12"/>
      <c r="F28" s="12"/>
      <c r="G28" s="12"/>
      <c r="H28" s="12"/>
      <c r="I28" s="12"/>
      <c r="J28" s="12"/>
      <c r="K28" s="12"/>
      <c r="L28" s="12"/>
      <c r="M28" s="12">
        <v>2.25</v>
      </c>
      <c r="N28" s="12">
        <f t="shared" si="0"/>
        <v>2.25</v>
      </c>
    </row>
    <row r="29" spans="1:19" x14ac:dyDescent="0.35">
      <c r="A29" s="6" t="s">
        <v>48</v>
      </c>
      <c r="B29" s="12"/>
      <c r="C29" s="12"/>
      <c r="D29" s="12"/>
      <c r="E29" s="12"/>
      <c r="F29" s="12"/>
      <c r="G29" s="12"/>
      <c r="H29" s="12"/>
      <c r="I29" s="12"/>
      <c r="J29" s="12"/>
      <c r="K29" s="12"/>
      <c r="L29" s="12"/>
      <c r="M29" s="12">
        <v>3.32</v>
      </c>
      <c r="N29" s="12">
        <f t="shared" si="0"/>
        <v>3.32</v>
      </c>
    </row>
    <row r="30" spans="1:19" x14ac:dyDescent="0.35">
      <c r="A30" s="6" t="s">
        <v>53</v>
      </c>
      <c r="B30" s="12">
        <v>0.19</v>
      </c>
      <c r="C30" s="12"/>
      <c r="D30" s="12"/>
      <c r="E30" s="12"/>
      <c r="F30" s="12"/>
      <c r="G30" s="12"/>
      <c r="H30" s="12">
        <v>0.8</v>
      </c>
      <c r="I30" s="12"/>
      <c r="J30" s="12"/>
      <c r="K30" s="12"/>
      <c r="L30" s="12"/>
      <c r="M30" s="12"/>
      <c r="N30" s="12">
        <f t="shared" si="0"/>
        <v>0.99</v>
      </c>
    </row>
    <row r="31" spans="1:19" x14ac:dyDescent="0.35">
      <c r="A31" s="245" t="s">
        <v>15</v>
      </c>
      <c r="B31" s="246">
        <f>SUM(B32:B35)</f>
        <v>0.59</v>
      </c>
      <c r="C31" s="246"/>
      <c r="D31" s="246"/>
      <c r="E31" s="246"/>
      <c r="F31" s="246"/>
      <c r="G31" s="246">
        <f t="shared" ref="G31" si="3">SUM(G32:G35)</f>
        <v>1.26</v>
      </c>
      <c r="H31" s="246"/>
      <c r="I31" s="246"/>
      <c r="J31" s="246"/>
      <c r="K31" s="246"/>
      <c r="L31" s="246"/>
      <c r="M31" s="246">
        <v>2.09</v>
      </c>
      <c r="N31" s="246">
        <f t="shared" si="0"/>
        <v>3.94</v>
      </c>
    </row>
    <row r="32" spans="1:19" x14ac:dyDescent="0.35">
      <c r="A32" s="6" t="s">
        <v>41</v>
      </c>
      <c r="B32" s="12"/>
      <c r="C32" s="12"/>
      <c r="D32" s="12"/>
      <c r="E32" s="12"/>
      <c r="F32" s="12"/>
      <c r="G32" s="12">
        <v>1.26</v>
      </c>
      <c r="H32" s="12"/>
      <c r="I32" s="12"/>
      <c r="J32" s="12"/>
      <c r="K32" s="12"/>
      <c r="L32" s="12"/>
      <c r="M32" s="12"/>
      <c r="N32" s="12">
        <f t="shared" si="0"/>
        <v>1.26</v>
      </c>
    </row>
    <row r="33" spans="1:14" x14ac:dyDescent="0.35">
      <c r="A33" s="6" t="s">
        <v>43</v>
      </c>
      <c r="B33" s="12"/>
      <c r="C33" s="12"/>
      <c r="D33" s="12"/>
      <c r="E33" s="12"/>
      <c r="F33" s="12"/>
      <c r="G33" s="12"/>
      <c r="H33" s="12"/>
      <c r="I33" s="12"/>
      <c r="J33" s="12"/>
      <c r="K33" s="12"/>
      <c r="L33" s="12"/>
      <c r="M33" s="12">
        <v>2.0300000000000002</v>
      </c>
      <c r="N33" s="12">
        <f t="shared" si="0"/>
        <v>2.0300000000000002</v>
      </c>
    </row>
    <row r="34" spans="1:14" x14ac:dyDescent="0.35">
      <c r="A34" s="6" t="s">
        <v>44</v>
      </c>
      <c r="B34" s="12">
        <v>0.47</v>
      </c>
      <c r="C34" s="12"/>
      <c r="D34" s="12"/>
      <c r="E34" s="12"/>
      <c r="F34" s="12"/>
      <c r="G34" s="12"/>
      <c r="H34" s="12"/>
      <c r="I34" s="12"/>
      <c r="J34" s="12"/>
      <c r="K34" s="12"/>
      <c r="L34" s="12"/>
      <c r="M34" s="12"/>
      <c r="N34" s="12">
        <f t="shared" si="0"/>
        <v>0.47</v>
      </c>
    </row>
    <row r="35" spans="1:14" x14ac:dyDescent="0.35">
      <c r="A35" s="6" t="s">
        <v>45</v>
      </c>
      <c r="B35" s="12">
        <v>0.12</v>
      </c>
      <c r="C35" s="12"/>
      <c r="D35" s="12"/>
      <c r="E35" s="12"/>
      <c r="F35" s="12"/>
      <c r="G35" s="12"/>
      <c r="H35" s="12"/>
      <c r="I35" s="12"/>
      <c r="J35" s="12"/>
      <c r="K35" s="12"/>
      <c r="L35" s="12"/>
      <c r="M35" s="12">
        <v>0.06</v>
      </c>
      <c r="N35" s="12">
        <f t="shared" si="0"/>
        <v>0.18</v>
      </c>
    </row>
    <row r="36" spans="1:14" x14ac:dyDescent="0.35">
      <c r="A36" s="245" t="s">
        <v>70</v>
      </c>
      <c r="B36" s="246">
        <v>0.06</v>
      </c>
      <c r="C36" s="246"/>
      <c r="D36" s="246"/>
      <c r="E36" s="246"/>
      <c r="F36" s="246"/>
      <c r="G36" s="246"/>
      <c r="H36" s="246"/>
      <c r="I36" s="246">
        <v>0.32</v>
      </c>
      <c r="J36" s="246"/>
      <c r="K36" s="246"/>
      <c r="L36" s="246"/>
      <c r="M36" s="246"/>
      <c r="N36" s="246">
        <f t="shared" si="0"/>
        <v>0.38</v>
      </c>
    </row>
    <row r="37" spans="1:14" x14ac:dyDescent="0.35">
      <c r="A37" s="6" t="s">
        <v>70</v>
      </c>
      <c r="B37" s="12">
        <v>0.06</v>
      </c>
      <c r="C37" s="12"/>
      <c r="D37" s="12"/>
      <c r="E37" s="12"/>
      <c r="F37" s="12"/>
      <c r="G37" s="12"/>
      <c r="H37" s="12"/>
      <c r="I37" s="12">
        <v>0.32</v>
      </c>
      <c r="J37" s="12"/>
      <c r="K37" s="12"/>
      <c r="L37" s="12"/>
      <c r="M37" s="12"/>
      <c r="N37" s="12">
        <f t="shared" si="0"/>
        <v>0.38</v>
      </c>
    </row>
    <row r="38" spans="1:14" x14ac:dyDescent="0.35">
      <c r="A38" s="245" t="s">
        <v>14</v>
      </c>
      <c r="B38" s="246"/>
      <c r="C38" s="246">
        <v>1.42</v>
      </c>
      <c r="D38" s="246">
        <v>10.69</v>
      </c>
      <c r="E38" s="246"/>
      <c r="F38" s="246"/>
      <c r="G38" s="246">
        <v>2.0500000000000003</v>
      </c>
      <c r="H38" s="246">
        <v>2196.2899999999931</v>
      </c>
      <c r="I38" s="246">
        <v>100.04999999999998</v>
      </c>
      <c r="J38" s="246">
        <v>29.270000000000007</v>
      </c>
      <c r="K38" s="246">
        <v>28.360000000000003</v>
      </c>
      <c r="L38" s="246"/>
      <c r="M38" s="246">
        <v>303.11999999999989</v>
      </c>
      <c r="N38" s="246">
        <f t="shared" si="0"/>
        <v>2671.2499999999932</v>
      </c>
    </row>
    <row r="39" spans="1:14" x14ac:dyDescent="0.35">
      <c r="A39" s="6" t="s">
        <v>37</v>
      </c>
      <c r="B39" s="12"/>
      <c r="C39" s="12"/>
      <c r="D39" s="12">
        <v>0.51</v>
      </c>
      <c r="E39" s="12"/>
      <c r="F39" s="12"/>
      <c r="G39" s="12"/>
      <c r="H39" s="12">
        <v>37.649999999999991</v>
      </c>
      <c r="I39" s="12">
        <v>0.47</v>
      </c>
      <c r="J39" s="12"/>
      <c r="K39" s="12"/>
      <c r="L39" s="12"/>
      <c r="M39" s="12"/>
      <c r="N39" s="12">
        <f t="shared" si="0"/>
        <v>38.629999999999988</v>
      </c>
    </row>
    <row r="40" spans="1:14" x14ac:dyDescent="0.35">
      <c r="A40" s="6" t="s">
        <v>38</v>
      </c>
      <c r="B40" s="12"/>
      <c r="C40" s="12"/>
      <c r="D40" s="12"/>
      <c r="E40" s="12"/>
      <c r="F40" s="12"/>
      <c r="G40" s="12"/>
      <c r="H40" s="12">
        <v>371.71000000000009</v>
      </c>
      <c r="I40" s="12"/>
      <c r="J40" s="12">
        <v>0.71</v>
      </c>
      <c r="K40" s="12"/>
      <c r="L40" s="12"/>
      <c r="M40" s="12">
        <v>0.01</v>
      </c>
      <c r="N40" s="12">
        <f t="shared" si="0"/>
        <v>372.43000000000006</v>
      </c>
    </row>
    <row r="41" spans="1:14" x14ac:dyDescent="0.35">
      <c r="A41" s="6" t="s">
        <v>39</v>
      </c>
      <c r="B41" s="12"/>
      <c r="C41" s="12">
        <v>0.04</v>
      </c>
      <c r="D41" s="12"/>
      <c r="E41" s="12"/>
      <c r="F41" s="12"/>
      <c r="G41" s="12"/>
      <c r="H41" s="12">
        <v>3.83</v>
      </c>
      <c r="I41" s="12">
        <v>0.25</v>
      </c>
      <c r="J41" s="12"/>
      <c r="K41" s="12"/>
      <c r="L41" s="12"/>
      <c r="M41" s="12"/>
      <c r="N41" s="12">
        <f t="shared" si="0"/>
        <v>4.12</v>
      </c>
    </row>
    <row r="42" spans="1:14" x14ac:dyDescent="0.35">
      <c r="A42" s="6" t="s">
        <v>40</v>
      </c>
      <c r="B42" s="12"/>
      <c r="C42" s="12">
        <v>1.38</v>
      </c>
      <c r="D42" s="12">
        <v>10.18</v>
      </c>
      <c r="E42" s="12"/>
      <c r="F42" s="12"/>
      <c r="G42" s="12">
        <v>2.0500000000000003</v>
      </c>
      <c r="H42" s="12">
        <v>1783.0999999999931</v>
      </c>
      <c r="I42" s="12">
        <v>99.329999999999984</v>
      </c>
      <c r="J42" s="12">
        <v>28.560000000000006</v>
      </c>
      <c r="K42" s="12">
        <v>28.360000000000003</v>
      </c>
      <c r="L42" s="12"/>
      <c r="M42" s="12">
        <v>303.1099999999999</v>
      </c>
      <c r="N42" s="12">
        <f t="shared" si="0"/>
        <v>2256.0699999999924</v>
      </c>
    </row>
    <row r="43" spans="1:14" x14ac:dyDescent="0.35">
      <c r="A43" s="245" t="s">
        <v>17</v>
      </c>
      <c r="B43" s="246"/>
      <c r="C43" s="246"/>
      <c r="D43" s="246">
        <v>0.04</v>
      </c>
      <c r="E43" s="246"/>
      <c r="F43" s="246"/>
      <c r="G43" s="246">
        <v>0.14000000000000001</v>
      </c>
      <c r="H43" s="246">
        <v>0.01</v>
      </c>
      <c r="I43" s="246"/>
      <c r="J43" s="246"/>
      <c r="K43" s="246"/>
      <c r="L43" s="246"/>
      <c r="M43" s="246">
        <v>0.08</v>
      </c>
      <c r="N43" s="246">
        <f t="shared" si="0"/>
        <v>0.27</v>
      </c>
    </row>
    <row r="44" spans="1:14" x14ac:dyDescent="0.35">
      <c r="A44" s="6" t="s">
        <v>55</v>
      </c>
      <c r="B44" s="12"/>
      <c r="C44" s="12"/>
      <c r="D44" s="12">
        <v>0.04</v>
      </c>
      <c r="E44" s="12"/>
      <c r="F44" s="12"/>
      <c r="G44" s="12"/>
      <c r="H44" s="12"/>
      <c r="I44" s="12"/>
      <c r="J44" s="12"/>
      <c r="K44" s="12"/>
      <c r="L44" s="12"/>
      <c r="M44" s="12"/>
      <c r="N44" s="12">
        <f t="shared" si="0"/>
        <v>0.04</v>
      </c>
    </row>
    <row r="45" spans="1:14" x14ac:dyDescent="0.35">
      <c r="A45" s="6" t="s">
        <v>56</v>
      </c>
      <c r="B45" s="12"/>
      <c r="C45" s="12"/>
      <c r="D45" s="12"/>
      <c r="E45" s="12"/>
      <c r="F45" s="12"/>
      <c r="G45" s="12">
        <v>0.14000000000000001</v>
      </c>
      <c r="H45" s="12">
        <v>0.01</v>
      </c>
      <c r="I45" s="12"/>
      <c r="J45" s="12"/>
      <c r="K45" s="12"/>
      <c r="L45" s="12"/>
      <c r="M45" s="12">
        <v>0.08</v>
      </c>
      <c r="N45" s="12">
        <f t="shared" si="0"/>
        <v>0.23000000000000004</v>
      </c>
    </row>
    <row r="46" spans="1:14" x14ac:dyDescent="0.35">
      <c r="A46" s="245" t="s">
        <v>64</v>
      </c>
      <c r="B46" s="246">
        <v>0.43</v>
      </c>
      <c r="C46" s="246"/>
      <c r="D46" s="246"/>
      <c r="E46" s="246"/>
      <c r="F46" s="246"/>
      <c r="G46" s="246"/>
      <c r="H46" s="246">
        <v>0.33</v>
      </c>
      <c r="I46" s="246">
        <v>0.47</v>
      </c>
      <c r="J46" s="246"/>
      <c r="K46" s="246"/>
      <c r="L46" s="246"/>
      <c r="M46" s="246">
        <v>0.7</v>
      </c>
      <c r="N46" s="246">
        <f t="shared" si="0"/>
        <v>1.93</v>
      </c>
    </row>
    <row r="47" spans="1:14" x14ac:dyDescent="0.35">
      <c r="A47" s="6" t="s">
        <v>71</v>
      </c>
      <c r="B47" s="12">
        <v>0.43</v>
      </c>
      <c r="C47" s="12"/>
      <c r="D47" s="12"/>
      <c r="E47" s="12"/>
      <c r="F47" s="12"/>
      <c r="G47" s="12"/>
      <c r="H47" s="12"/>
      <c r="I47" s="12"/>
      <c r="J47" s="12"/>
      <c r="K47" s="12"/>
      <c r="L47" s="12"/>
      <c r="M47" s="12">
        <v>0.18</v>
      </c>
      <c r="N47" s="12">
        <f t="shared" si="0"/>
        <v>0.61</v>
      </c>
    </row>
    <row r="48" spans="1:14" x14ac:dyDescent="0.35">
      <c r="A48" s="6" t="s">
        <v>65</v>
      </c>
      <c r="B48" s="12"/>
      <c r="C48" s="12"/>
      <c r="D48" s="12"/>
      <c r="E48" s="12"/>
      <c r="F48" s="12"/>
      <c r="G48" s="12"/>
      <c r="H48" s="12">
        <v>0.33</v>
      </c>
      <c r="I48" s="12">
        <v>0.04</v>
      </c>
      <c r="J48" s="12"/>
      <c r="K48" s="12"/>
      <c r="L48" s="12"/>
      <c r="M48" s="12">
        <v>0.18</v>
      </c>
      <c r="N48" s="12">
        <f t="shared" si="0"/>
        <v>0.55000000000000004</v>
      </c>
    </row>
    <row r="49" spans="1:14" x14ac:dyDescent="0.35">
      <c r="A49" s="6" t="s">
        <v>66</v>
      </c>
      <c r="B49" s="12"/>
      <c r="C49" s="12"/>
      <c r="D49" s="12"/>
      <c r="E49" s="12"/>
      <c r="F49" s="12"/>
      <c r="G49" s="12"/>
      <c r="H49" s="12"/>
      <c r="I49" s="12">
        <v>0.43</v>
      </c>
      <c r="J49" s="12"/>
      <c r="K49" s="12"/>
      <c r="L49" s="12"/>
      <c r="M49" s="12"/>
      <c r="N49" s="12">
        <f t="shared" si="0"/>
        <v>0.43</v>
      </c>
    </row>
    <row r="50" spans="1:14" x14ac:dyDescent="0.35">
      <c r="A50" s="6" t="s">
        <v>72</v>
      </c>
      <c r="B50" s="12"/>
      <c r="C50" s="12"/>
      <c r="D50" s="12"/>
      <c r="E50" s="12"/>
      <c r="F50" s="12"/>
      <c r="G50" s="12"/>
      <c r="H50" s="12"/>
      <c r="I50" s="12"/>
      <c r="J50" s="12"/>
      <c r="K50" s="12"/>
      <c r="L50" s="12"/>
      <c r="M50" s="12">
        <v>0.33999999999999997</v>
      </c>
      <c r="N50" s="12">
        <f t="shared" si="0"/>
        <v>0.33999999999999997</v>
      </c>
    </row>
    <row r="51" spans="1:14" x14ac:dyDescent="0.35">
      <c r="A51" s="245" t="s">
        <v>20</v>
      </c>
      <c r="B51" s="246">
        <v>0.19999999999999998</v>
      </c>
      <c r="C51" s="246">
        <v>0.26</v>
      </c>
      <c r="D51" s="246"/>
      <c r="E51" s="246">
        <v>0.2</v>
      </c>
      <c r="F51" s="246"/>
      <c r="G51" s="246"/>
      <c r="H51" s="246"/>
      <c r="I51" s="246"/>
      <c r="J51" s="246"/>
      <c r="K51" s="246"/>
      <c r="L51" s="246"/>
      <c r="M51" s="246">
        <v>0.22</v>
      </c>
      <c r="N51" s="246">
        <f t="shared" si="0"/>
        <v>0.87999999999999989</v>
      </c>
    </row>
    <row r="52" spans="1:14" x14ac:dyDescent="0.35">
      <c r="A52" s="6" t="s">
        <v>20</v>
      </c>
      <c r="B52" s="12">
        <v>0.19999999999999998</v>
      </c>
      <c r="C52" s="12">
        <v>0.26</v>
      </c>
      <c r="D52" s="12"/>
      <c r="E52" s="12">
        <v>0.2</v>
      </c>
      <c r="F52" s="12"/>
      <c r="G52" s="12"/>
      <c r="H52" s="12"/>
      <c r="I52" s="12"/>
      <c r="J52" s="12"/>
      <c r="K52" s="12"/>
      <c r="L52" s="12"/>
      <c r="M52" s="12">
        <v>0.22</v>
      </c>
      <c r="N52" s="12">
        <f t="shared" si="0"/>
        <v>0.87999999999999989</v>
      </c>
    </row>
    <row r="53" spans="1:14" x14ac:dyDescent="0.35">
      <c r="A53" s="245" t="s">
        <v>23</v>
      </c>
      <c r="B53" s="246">
        <v>0.25</v>
      </c>
      <c r="C53" s="246">
        <v>4.9000000000000004</v>
      </c>
      <c r="D53" s="246"/>
      <c r="E53" s="246"/>
      <c r="F53" s="246"/>
      <c r="G53" s="246"/>
      <c r="H53" s="246">
        <v>0.92</v>
      </c>
      <c r="I53" s="246"/>
      <c r="J53" s="246"/>
      <c r="K53" s="246">
        <v>0.33</v>
      </c>
      <c r="L53" s="246"/>
      <c r="M53" s="246">
        <v>0.37</v>
      </c>
      <c r="N53" s="246">
        <f t="shared" si="0"/>
        <v>6.7700000000000005</v>
      </c>
    </row>
    <row r="54" spans="1:14" x14ac:dyDescent="0.35">
      <c r="A54" s="6" t="s">
        <v>23</v>
      </c>
      <c r="B54" s="12">
        <v>0.25</v>
      </c>
      <c r="C54" s="12">
        <v>4.9000000000000004</v>
      </c>
      <c r="D54" s="12"/>
      <c r="E54" s="12"/>
      <c r="F54" s="12"/>
      <c r="G54" s="12"/>
      <c r="H54" s="12">
        <v>0.92</v>
      </c>
      <c r="I54" s="12"/>
      <c r="J54" s="12"/>
      <c r="K54" s="12">
        <v>0.33</v>
      </c>
      <c r="L54" s="12"/>
      <c r="M54" s="12">
        <v>0.37</v>
      </c>
      <c r="N54" s="12">
        <f t="shared" si="0"/>
        <v>6.7700000000000005</v>
      </c>
    </row>
    <row r="55" spans="1:14" x14ac:dyDescent="0.35">
      <c r="A55" s="245" t="s">
        <v>24</v>
      </c>
      <c r="B55" s="246">
        <v>0.32</v>
      </c>
      <c r="C55" s="246">
        <v>0.13</v>
      </c>
      <c r="D55" s="246"/>
      <c r="E55" s="246">
        <v>0.5</v>
      </c>
      <c r="F55" s="246">
        <v>1.56</v>
      </c>
      <c r="G55" s="246"/>
      <c r="H55" s="246">
        <v>0.54</v>
      </c>
      <c r="I55" s="246">
        <v>0.59000000000000008</v>
      </c>
      <c r="J55" s="246"/>
      <c r="K55" s="246"/>
      <c r="L55" s="246">
        <v>1.56</v>
      </c>
      <c r="M55" s="246">
        <v>1.56</v>
      </c>
      <c r="N55" s="246">
        <f t="shared" si="0"/>
        <v>6.76</v>
      </c>
    </row>
    <row r="56" spans="1:14" x14ac:dyDescent="0.35">
      <c r="A56" s="6" t="s">
        <v>59</v>
      </c>
      <c r="B56" s="12">
        <v>0.32</v>
      </c>
      <c r="C56" s="12">
        <v>0.13</v>
      </c>
      <c r="D56" s="12"/>
      <c r="E56" s="12"/>
      <c r="F56" s="12"/>
      <c r="G56" s="12"/>
      <c r="H56" s="12"/>
      <c r="I56" s="12"/>
      <c r="J56" s="12"/>
      <c r="K56" s="12"/>
      <c r="L56" s="12">
        <v>0.04</v>
      </c>
      <c r="M56" s="12">
        <v>0.04</v>
      </c>
      <c r="N56" s="12">
        <f t="shared" si="0"/>
        <v>0.53</v>
      </c>
    </row>
    <row r="57" spans="1:14" x14ac:dyDescent="0.35">
      <c r="A57" s="6" t="s">
        <v>73</v>
      </c>
      <c r="B57" s="12"/>
      <c r="C57" s="12"/>
      <c r="D57" s="12"/>
      <c r="E57" s="12">
        <v>0.5</v>
      </c>
      <c r="F57" s="12">
        <v>1.56</v>
      </c>
      <c r="G57" s="12"/>
      <c r="H57" s="12">
        <v>0.54</v>
      </c>
      <c r="I57" s="12">
        <v>0.59000000000000008</v>
      </c>
      <c r="J57" s="12"/>
      <c r="K57" s="12"/>
      <c r="L57" s="12"/>
      <c r="M57" s="12"/>
      <c r="N57" s="12">
        <f t="shared" si="0"/>
        <v>3.1900000000000004</v>
      </c>
    </row>
    <row r="58" spans="1:14" x14ac:dyDescent="0.35">
      <c r="A58" s="178" t="s">
        <v>74</v>
      </c>
      <c r="B58" s="12"/>
      <c r="C58" s="12"/>
      <c r="D58" s="12"/>
      <c r="E58" s="12"/>
      <c r="F58" s="12"/>
      <c r="G58" s="12"/>
      <c r="H58" s="12"/>
      <c r="I58" s="12"/>
      <c r="J58" s="12"/>
      <c r="K58" s="12"/>
      <c r="L58" s="12">
        <v>1.52</v>
      </c>
      <c r="M58" s="12">
        <v>1.52</v>
      </c>
      <c r="N58" s="12">
        <f t="shared" si="0"/>
        <v>3.04</v>
      </c>
    </row>
    <row r="59" spans="1:14" ht="15.5" x14ac:dyDescent="0.35">
      <c r="A59" s="258" t="s">
        <v>25</v>
      </c>
      <c r="B59" s="251">
        <v>2.6999999999999997</v>
      </c>
      <c r="C59" s="251">
        <v>7.0200000000000005</v>
      </c>
      <c r="D59" s="253">
        <v>13.239999999999998</v>
      </c>
      <c r="E59" s="255">
        <v>0.7</v>
      </c>
      <c r="F59" s="251">
        <v>8.16</v>
      </c>
      <c r="G59" s="256">
        <v>74.989999999999995</v>
      </c>
      <c r="H59" s="249">
        <v>2564.1399999999931</v>
      </c>
      <c r="I59" s="248">
        <v>103.74</v>
      </c>
      <c r="J59" s="250">
        <v>29.270000000000007</v>
      </c>
      <c r="K59" s="251">
        <v>37.82</v>
      </c>
      <c r="L59" s="248">
        <v>1.56</v>
      </c>
      <c r="M59" s="253">
        <v>327.3599999999999</v>
      </c>
      <c r="N59" s="254">
        <f t="shared" si="0"/>
        <v>3170.6999999999925</v>
      </c>
    </row>
    <row r="62" spans="1:14" ht="18.5" x14ac:dyDescent="0.45">
      <c r="A62" s="223"/>
      <c r="B62" s="223"/>
    </row>
    <row r="63" spans="1:14" ht="18.5" x14ac:dyDescent="0.45">
      <c r="A63" s="238" t="s">
        <v>98</v>
      </c>
      <c r="B63" s="223"/>
    </row>
    <row r="64" spans="1:14" x14ac:dyDescent="0.35">
      <c r="A64" s="703" t="s">
        <v>88</v>
      </c>
      <c r="B64" s="725" t="s">
        <v>113</v>
      </c>
      <c r="C64" s="726"/>
      <c r="D64" s="726"/>
      <c r="E64" s="726"/>
      <c r="F64" s="726"/>
      <c r="G64" s="726"/>
      <c r="H64" s="726"/>
      <c r="I64" s="726"/>
      <c r="J64" s="726"/>
      <c r="K64" s="726"/>
      <c r="L64" s="726"/>
      <c r="M64" s="726"/>
      <c r="N64" s="726"/>
    </row>
    <row r="65" spans="1:19" ht="29.25" customHeight="1" x14ac:dyDescent="0.35">
      <c r="A65" s="704"/>
      <c r="B65" s="244" t="s">
        <v>37</v>
      </c>
      <c r="C65" s="244" t="s">
        <v>170</v>
      </c>
      <c r="D65" s="244" t="s">
        <v>169</v>
      </c>
      <c r="E65" s="244" t="s">
        <v>171</v>
      </c>
      <c r="F65" s="244" t="s">
        <v>172</v>
      </c>
      <c r="G65" s="244" t="s">
        <v>166</v>
      </c>
      <c r="H65" s="244" t="s">
        <v>164</v>
      </c>
      <c r="I65" s="244" t="s">
        <v>165</v>
      </c>
      <c r="J65" s="244" t="s">
        <v>167</v>
      </c>
      <c r="K65" s="244" t="s">
        <v>168</v>
      </c>
      <c r="L65" s="244" t="s">
        <v>122</v>
      </c>
      <c r="M65" s="244" t="s">
        <v>123</v>
      </c>
      <c r="N65" s="244" t="s">
        <v>124</v>
      </c>
      <c r="Q65" s="706" t="s">
        <v>200</v>
      </c>
      <c r="R65" s="707"/>
      <c r="S65" s="708"/>
    </row>
    <row r="66" spans="1:19" ht="15.75" customHeight="1" x14ac:dyDescent="0.35">
      <c r="A66" s="245" t="s">
        <v>5</v>
      </c>
      <c r="B66" s="246"/>
      <c r="C66" s="246"/>
      <c r="D66" s="246"/>
      <c r="E66" s="246"/>
      <c r="F66" s="246"/>
      <c r="G66" s="246"/>
      <c r="H66" s="246"/>
      <c r="I66" s="246"/>
      <c r="J66" s="246"/>
      <c r="K66" s="246"/>
      <c r="L66" s="246"/>
      <c r="M66" s="246"/>
      <c r="N66" s="246">
        <f t="shared" ref="N66:N111" si="4">SUM(B66:M66)</f>
        <v>0</v>
      </c>
      <c r="Q66" s="246" t="s">
        <v>164</v>
      </c>
      <c r="R66" s="212">
        <v>92.340000000000018</v>
      </c>
      <c r="S66" s="22">
        <f t="shared" ref="S66:S75" si="5">R66/$R$78</f>
        <v>0.73677491422644215</v>
      </c>
    </row>
    <row r="67" spans="1:19" x14ac:dyDescent="0.35">
      <c r="A67" s="6" t="s">
        <v>8</v>
      </c>
      <c r="B67" s="12"/>
      <c r="C67" s="12"/>
      <c r="D67" s="12"/>
      <c r="E67" s="12"/>
      <c r="F67" s="12"/>
      <c r="G67" s="12"/>
      <c r="H67" s="12"/>
      <c r="I67" s="12"/>
      <c r="J67" s="12"/>
      <c r="K67" s="12"/>
      <c r="L67" s="12"/>
      <c r="M67" s="12"/>
      <c r="N67" s="12">
        <f t="shared" si="4"/>
        <v>0</v>
      </c>
      <c r="Q67" s="246" t="s">
        <v>165</v>
      </c>
      <c r="R67" s="212">
        <v>2.73</v>
      </c>
      <c r="S67" s="22">
        <f t="shared" si="5"/>
        <v>2.1782494215271678E-2</v>
      </c>
    </row>
    <row r="68" spans="1:19" x14ac:dyDescent="0.35">
      <c r="A68" s="6" t="s">
        <v>29</v>
      </c>
      <c r="B68" s="12"/>
      <c r="C68" s="12"/>
      <c r="D68" s="12"/>
      <c r="E68" s="12"/>
      <c r="F68" s="12"/>
      <c r="G68" s="12"/>
      <c r="H68" s="12"/>
      <c r="I68" s="12"/>
      <c r="J68" s="12"/>
      <c r="K68" s="12"/>
      <c r="L68" s="12"/>
      <c r="M68" s="12"/>
      <c r="N68" s="12">
        <f t="shared" si="4"/>
        <v>0</v>
      </c>
      <c r="Q68" s="246" t="s">
        <v>167</v>
      </c>
      <c r="R68" s="212">
        <v>1.8800000000000001</v>
      </c>
      <c r="S68" s="22">
        <f t="shared" si="5"/>
        <v>1.5000398946780498E-2</v>
      </c>
    </row>
    <row r="69" spans="1:19" x14ac:dyDescent="0.35">
      <c r="A69" s="245" t="s">
        <v>12</v>
      </c>
      <c r="B69" s="246"/>
      <c r="C69" s="246"/>
      <c r="D69" s="246"/>
      <c r="E69" s="246"/>
      <c r="F69" s="246"/>
      <c r="G69" s="246"/>
      <c r="H69" s="246">
        <v>4.4000000000000004</v>
      </c>
      <c r="I69" s="246"/>
      <c r="J69" s="246"/>
      <c r="K69" s="246"/>
      <c r="L69" s="246"/>
      <c r="M69" s="246">
        <v>7.0000000000000007E-2</v>
      </c>
      <c r="N69" s="246">
        <f t="shared" si="4"/>
        <v>4.4700000000000006</v>
      </c>
      <c r="Q69" s="246" t="s">
        <v>169</v>
      </c>
      <c r="R69" s="212">
        <v>1.8</v>
      </c>
      <c r="S69" s="384">
        <f t="shared" si="5"/>
        <v>1.4362084097981327E-2</v>
      </c>
    </row>
    <row r="70" spans="1:19" x14ac:dyDescent="0.35">
      <c r="A70" s="6" t="s">
        <v>31</v>
      </c>
      <c r="B70" s="12"/>
      <c r="C70" s="12"/>
      <c r="D70" s="12"/>
      <c r="E70" s="12"/>
      <c r="F70" s="12"/>
      <c r="G70" s="12"/>
      <c r="H70" s="12">
        <v>1.91</v>
      </c>
      <c r="I70" s="12"/>
      <c r="J70" s="12"/>
      <c r="K70" s="12"/>
      <c r="L70" s="12"/>
      <c r="M70" s="12"/>
      <c r="N70" s="12">
        <f t="shared" si="4"/>
        <v>1.91</v>
      </c>
      <c r="Q70" s="246" t="s">
        <v>37</v>
      </c>
      <c r="R70" s="212">
        <v>0.85000000000000009</v>
      </c>
      <c r="S70" s="384">
        <f t="shared" si="5"/>
        <v>6.7820952684911825E-3</v>
      </c>
    </row>
    <row r="71" spans="1:19" x14ac:dyDescent="0.35">
      <c r="A71" s="6" t="s">
        <v>32</v>
      </c>
      <c r="B71" s="12"/>
      <c r="C71" s="12"/>
      <c r="D71" s="12"/>
      <c r="E71" s="12"/>
      <c r="F71" s="12"/>
      <c r="G71" s="12"/>
      <c r="H71" s="12">
        <v>2.4900000000000002</v>
      </c>
      <c r="I71" s="12"/>
      <c r="J71" s="12"/>
      <c r="K71" s="12"/>
      <c r="L71" s="12"/>
      <c r="M71" s="12">
        <v>7.0000000000000007E-2</v>
      </c>
      <c r="N71" s="12">
        <f t="shared" si="4"/>
        <v>2.56</v>
      </c>
      <c r="Q71" s="246" t="s">
        <v>168</v>
      </c>
      <c r="R71" s="212">
        <v>0.51</v>
      </c>
      <c r="S71" s="384">
        <f t="shared" si="5"/>
        <v>4.0692571610947094E-3</v>
      </c>
    </row>
    <row r="72" spans="1:19" x14ac:dyDescent="0.35">
      <c r="A72" s="6" t="s">
        <v>33</v>
      </c>
      <c r="B72" s="12"/>
      <c r="C72" s="12"/>
      <c r="D72" s="12"/>
      <c r="E72" s="12"/>
      <c r="F72" s="12"/>
      <c r="G72" s="12"/>
      <c r="H72" s="12"/>
      <c r="I72" s="12"/>
      <c r="J72" s="12"/>
      <c r="K72" s="12"/>
      <c r="L72" s="12"/>
      <c r="M72" s="12"/>
      <c r="N72" s="12">
        <f t="shared" si="4"/>
        <v>0</v>
      </c>
      <c r="Q72" s="246" t="s">
        <v>170</v>
      </c>
      <c r="R72" s="212">
        <v>0.04</v>
      </c>
      <c r="S72" s="384">
        <f t="shared" si="5"/>
        <v>3.1915742439958501E-4</v>
      </c>
    </row>
    <row r="73" spans="1:19" x14ac:dyDescent="0.35">
      <c r="A73" s="245" t="s">
        <v>69</v>
      </c>
      <c r="B73" s="246"/>
      <c r="C73" s="246"/>
      <c r="D73" s="246"/>
      <c r="E73" s="246"/>
      <c r="F73" s="246"/>
      <c r="G73" s="246"/>
      <c r="H73" s="246"/>
      <c r="I73" s="246"/>
      <c r="J73" s="246"/>
      <c r="K73" s="246"/>
      <c r="L73" s="246"/>
      <c r="M73" s="246"/>
      <c r="N73" s="246">
        <f t="shared" si="4"/>
        <v>0</v>
      </c>
      <c r="Q73" s="246" t="s">
        <v>171</v>
      </c>
      <c r="R73" s="212"/>
      <c r="S73" s="22">
        <f t="shared" si="5"/>
        <v>0</v>
      </c>
    </row>
    <row r="74" spans="1:19" x14ac:dyDescent="0.35">
      <c r="A74" s="6" t="s">
        <v>69</v>
      </c>
      <c r="B74" s="12"/>
      <c r="C74" s="12"/>
      <c r="D74" s="12"/>
      <c r="E74" s="12"/>
      <c r="F74" s="12"/>
      <c r="G74" s="12"/>
      <c r="H74" s="12"/>
      <c r="I74" s="12"/>
      <c r="J74" s="12"/>
      <c r="K74" s="12"/>
      <c r="L74" s="12"/>
      <c r="M74" s="12"/>
      <c r="N74" s="12">
        <f t="shared" si="4"/>
        <v>0</v>
      </c>
      <c r="Q74" s="246" t="s">
        <v>172</v>
      </c>
      <c r="R74" s="212"/>
      <c r="S74" s="22">
        <f t="shared" si="5"/>
        <v>0</v>
      </c>
    </row>
    <row r="75" spans="1:19" x14ac:dyDescent="0.35">
      <c r="A75" s="245" t="s">
        <v>13</v>
      </c>
      <c r="B75" s="246"/>
      <c r="C75" s="246"/>
      <c r="D75" s="246">
        <v>0.28000000000000003</v>
      </c>
      <c r="E75" s="246"/>
      <c r="F75" s="246"/>
      <c r="G75" s="246"/>
      <c r="H75" s="246">
        <v>50.410000000000004</v>
      </c>
      <c r="I75" s="246"/>
      <c r="J75" s="246"/>
      <c r="K75" s="246">
        <v>0.41</v>
      </c>
      <c r="L75" s="246"/>
      <c r="M75" s="246"/>
      <c r="N75" s="246">
        <f t="shared" si="4"/>
        <v>51.1</v>
      </c>
      <c r="Q75" s="246" t="s">
        <v>166</v>
      </c>
      <c r="R75" s="212"/>
      <c r="S75" s="22">
        <f t="shared" si="5"/>
        <v>0</v>
      </c>
    </row>
    <row r="76" spans="1:19" x14ac:dyDescent="0.35">
      <c r="A76" s="6" t="s">
        <v>34</v>
      </c>
      <c r="B76" s="12"/>
      <c r="C76" s="12"/>
      <c r="D76" s="12"/>
      <c r="E76" s="12"/>
      <c r="F76" s="12"/>
      <c r="G76" s="12"/>
      <c r="H76" s="12">
        <v>9.0000000000000011E-2</v>
      </c>
      <c r="I76" s="12"/>
      <c r="J76" s="12"/>
      <c r="K76" s="12"/>
      <c r="L76" s="12"/>
      <c r="M76" s="12"/>
      <c r="N76" s="12">
        <f t="shared" si="4"/>
        <v>9.0000000000000011E-2</v>
      </c>
      <c r="Q76" s="246" t="s">
        <v>122</v>
      </c>
      <c r="R76" s="212">
        <v>0.15</v>
      </c>
      <c r="S76" s="384">
        <f t="shared" ref="S76:S78" si="6">R76/$R$78</f>
        <v>1.1968403414984439E-3</v>
      </c>
    </row>
    <row r="77" spans="1:19" x14ac:dyDescent="0.35">
      <c r="A77" s="6" t="s">
        <v>61</v>
      </c>
      <c r="B77" s="12"/>
      <c r="C77" s="12"/>
      <c r="D77" s="12">
        <v>0.28000000000000003</v>
      </c>
      <c r="E77" s="12"/>
      <c r="F77" s="12"/>
      <c r="G77" s="12"/>
      <c r="H77" s="12">
        <v>50.32</v>
      </c>
      <c r="I77" s="12"/>
      <c r="J77" s="12"/>
      <c r="K77" s="12">
        <v>0.41</v>
      </c>
      <c r="L77" s="12"/>
      <c r="M77" s="12"/>
      <c r="N77" s="12">
        <f t="shared" si="4"/>
        <v>51.01</v>
      </c>
      <c r="Q77" s="246" t="s">
        <v>123</v>
      </c>
      <c r="R77" s="212">
        <v>25.029999999999998</v>
      </c>
      <c r="S77" s="22">
        <f t="shared" si="6"/>
        <v>0.19971275831804031</v>
      </c>
    </row>
    <row r="78" spans="1:19" x14ac:dyDescent="0.35">
      <c r="A78" s="6" t="s">
        <v>36</v>
      </c>
      <c r="B78" s="12"/>
      <c r="C78" s="12"/>
      <c r="D78" s="12"/>
      <c r="E78" s="12"/>
      <c r="F78" s="12"/>
      <c r="G78" s="12"/>
      <c r="H78" s="12"/>
      <c r="I78" s="12"/>
      <c r="J78" s="12"/>
      <c r="K78" s="12"/>
      <c r="L78" s="12"/>
      <c r="M78" s="12"/>
      <c r="N78" s="12">
        <f t="shared" si="4"/>
        <v>0</v>
      </c>
      <c r="Q78" s="243" t="s">
        <v>130</v>
      </c>
      <c r="R78" s="259">
        <v>125.33000000000003</v>
      </c>
      <c r="S78" s="260">
        <f t="shared" si="6"/>
        <v>1</v>
      </c>
    </row>
    <row r="79" spans="1:19" x14ac:dyDescent="0.35">
      <c r="A79" s="245" t="s">
        <v>16</v>
      </c>
      <c r="B79" s="246"/>
      <c r="C79" s="246"/>
      <c r="D79" s="246"/>
      <c r="E79" s="246"/>
      <c r="F79" s="246"/>
      <c r="G79" s="246"/>
      <c r="H79" s="246">
        <v>0.8</v>
      </c>
      <c r="I79" s="246"/>
      <c r="J79" s="246"/>
      <c r="K79" s="246"/>
      <c r="L79" s="246"/>
      <c r="M79" s="246"/>
      <c r="N79" s="246">
        <f t="shared" si="4"/>
        <v>0.8</v>
      </c>
    </row>
    <row r="80" spans="1:19" x14ac:dyDescent="0.35">
      <c r="A80" s="6" t="s">
        <v>47</v>
      </c>
      <c r="B80" s="12"/>
      <c r="C80" s="12"/>
      <c r="D80" s="12"/>
      <c r="E80" s="12"/>
      <c r="F80" s="12"/>
      <c r="G80" s="12"/>
      <c r="H80" s="12"/>
      <c r="I80" s="12"/>
      <c r="J80" s="12"/>
      <c r="K80" s="12"/>
      <c r="L80" s="12"/>
      <c r="M80" s="12"/>
      <c r="N80" s="12">
        <f t="shared" si="4"/>
        <v>0</v>
      </c>
    </row>
    <row r="81" spans="1:14" x14ac:dyDescent="0.35">
      <c r="A81" s="6" t="s">
        <v>48</v>
      </c>
      <c r="B81" s="12"/>
      <c r="C81" s="12"/>
      <c r="D81" s="12"/>
      <c r="E81" s="12"/>
      <c r="F81" s="12"/>
      <c r="G81" s="12"/>
      <c r="H81" s="12"/>
      <c r="I81" s="12"/>
      <c r="J81" s="12"/>
      <c r="K81" s="12"/>
      <c r="L81" s="12"/>
      <c r="M81" s="12"/>
      <c r="N81" s="12">
        <f t="shared" si="4"/>
        <v>0</v>
      </c>
    </row>
    <row r="82" spans="1:14" x14ac:dyDescent="0.35">
      <c r="A82" s="6" t="s">
        <v>53</v>
      </c>
      <c r="B82" s="12"/>
      <c r="C82" s="12"/>
      <c r="D82" s="12"/>
      <c r="E82" s="12"/>
      <c r="F82" s="12"/>
      <c r="G82" s="12"/>
      <c r="H82" s="12">
        <v>0.8</v>
      </c>
      <c r="I82" s="12"/>
      <c r="J82" s="12"/>
      <c r="K82" s="12"/>
      <c r="L82" s="12"/>
      <c r="M82" s="12"/>
      <c r="N82" s="12">
        <f t="shared" si="4"/>
        <v>0.8</v>
      </c>
    </row>
    <row r="83" spans="1:14" x14ac:dyDescent="0.35">
      <c r="A83" s="245" t="s">
        <v>15</v>
      </c>
      <c r="B83" s="246">
        <v>0.47</v>
      </c>
      <c r="C83" s="246"/>
      <c r="D83" s="246"/>
      <c r="E83" s="246"/>
      <c r="F83" s="246"/>
      <c r="G83" s="246"/>
      <c r="H83" s="246"/>
      <c r="I83" s="246"/>
      <c r="J83" s="246"/>
      <c r="K83" s="246"/>
      <c r="L83" s="246"/>
      <c r="M83" s="246">
        <v>1.35</v>
      </c>
      <c r="N83" s="246">
        <f t="shared" si="4"/>
        <v>1.82</v>
      </c>
    </row>
    <row r="84" spans="1:14" x14ac:dyDescent="0.35">
      <c r="A84" s="6" t="s">
        <v>41</v>
      </c>
      <c r="B84" s="12"/>
      <c r="C84" s="12"/>
      <c r="D84" s="12"/>
      <c r="E84" s="12"/>
      <c r="F84" s="12"/>
      <c r="G84" s="12"/>
      <c r="H84" s="12"/>
      <c r="I84" s="12"/>
      <c r="J84" s="12"/>
      <c r="K84" s="12"/>
      <c r="L84" s="12"/>
      <c r="M84" s="12"/>
      <c r="N84" s="12">
        <f t="shared" si="4"/>
        <v>0</v>
      </c>
    </row>
    <row r="85" spans="1:14" x14ac:dyDescent="0.35">
      <c r="A85" s="6" t="s">
        <v>43</v>
      </c>
      <c r="B85" s="12"/>
      <c r="C85" s="12"/>
      <c r="D85" s="12"/>
      <c r="E85" s="12"/>
      <c r="F85" s="12"/>
      <c r="G85" s="12"/>
      <c r="H85" s="12"/>
      <c r="I85" s="12"/>
      <c r="J85" s="12"/>
      <c r="K85" s="12"/>
      <c r="L85" s="12"/>
      <c r="M85" s="12">
        <v>1.35</v>
      </c>
      <c r="N85" s="12">
        <f t="shared" si="4"/>
        <v>1.35</v>
      </c>
    </row>
    <row r="86" spans="1:14" x14ac:dyDescent="0.35">
      <c r="A86" s="6" t="s">
        <v>44</v>
      </c>
      <c r="B86" s="12">
        <v>0.47</v>
      </c>
      <c r="C86" s="12"/>
      <c r="D86" s="12"/>
      <c r="E86" s="12"/>
      <c r="F86" s="12"/>
      <c r="G86" s="12"/>
      <c r="H86" s="12"/>
      <c r="I86" s="12"/>
      <c r="J86" s="12"/>
      <c r="K86" s="12"/>
      <c r="L86" s="12"/>
      <c r="M86" s="12"/>
      <c r="N86" s="12">
        <f t="shared" si="4"/>
        <v>0.47</v>
      </c>
    </row>
    <row r="87" spans="1:14" x14ac:dyDescent="0.35">
      <c r="A87" s="6" t="s">
        <v>45</v>
      </c>
      <c r="B87" s="12"/>
      <c r="C87" s="12"/>
      <c r="D87" s="12"/>
      <c r="E87" s="12"/>
      <c r="F87" s="12"/>
      <c r="G87" s="12"/>
      <c r="H87" s="12"/>
      <c r="I87" s="12"/>
      <c r="J87" s="12"/>
      <c r="K87" s="12"/>
      <c r="L87" s="12"/>
      <c r="M87" s="12"/>
      <c r="N87" s="12">
        <f t="shared" si="4"/>
        <v>0</v>
      </c>
    </row>
    <row r="88" spans="1:14" x14ac:dyDescent="0.35">
      <c r="A88" s="245" t="s">
        <v>70</v>
      </c>
      <c r="B88" s="246">
        <v>0.06</v>
      </c>
      <c r="C88" s="246"/>
      <c r="D88" s="246"/>
      <c r="E88" s="246"/>
      <c r="F88" s="246"/>
      <c r="G88" s="246"/>
      <c r="H88" s="246"/>
      <c r="I88" s="246">
        <v>0.32</v>
      </c>
      <c r="J88" s="246"/>
      <c r="K88" s="246"/>
      <c r="L88" s="246"/>
      <c r="M88" s="246"/>
      <c r="N88" s="246">
        <f t="shared" si="4"/>
        <v>0.38</v>
      </c>
    </row>
    <row r="89" spans="1:14" x14ac:dyDescent="0.35">
      <c r="A89" s="6" t="s">
        <v>70</v>
      </c>
      <c r="B89" s="12">
        <v>0.06</v>
      </c>
      <c r="C89" s="12"/>
      <c r="D89" s="12"/>
      <c r="E89" s="12"/>
      <c r="F89" s="12"/>
      <c r="G89" s="12"/>
      <c r="H89" s="12"/>
      <c r="I89" s="12">
        <v>0.32</v>
      </c>
      <c r="J89" s="12"/>
      <c r="K89" s="12"/>
      <c r="L89" s="12"/>
      <c r="M89" s="12"/>
      <c r="N89" s="12">
        <f t="shared" si="4"/>
        <v>0.38</v>
      </c>
    </row>
    <row r="90" spans="1:14" x14ac:dyDescent="0.35">
      <c r="A90" s="245" t="s">
        <v>14</v>
      </c>
      <c r="B90" s="246"/>
      <c r="C90" s="246">
        <v>0.04</v>
      </c>
      <c r="D90" s="246">
        <v>1.52</v>
      </c>
      <c r="E90" s="246"/>
      <c r="F90" s="246"/>
      <c r="G90" s="246"/>
      <c r="H90" s="246">
        <v>35.820000000000007</v>
      </c>
      <c r="I90" s="246">
        <v>1.98</v>
      </c>
      <c r="J90" s="246">
        <v>1.8800000000000001</v>
      </c>
      <c r="K90" s="246">
        <v>0.1</v>
      </c>
      <c r="L90" s="246"/>
      <c r="M90" s="246">
        <v>23.38</v>
      </c>
      <c r="N90" s="246">
        <f t="shared" si="4"/>
        <v>64.720000000000013</v>
      </c>
    </row>
    <row r="91" spans="1:14" x14ac:dyDescent="0.35">
      <c r="A91" s="6" t="s">
        <v>37</v>
      </c>
      <c r="B91" s="12"/>
      <c r="C91" s="12"/>
      <c r="D91" s="12">
        <v>0.51</v>
      </c>
      <c r="E91" s="12"/>
      <c r="F91" s="12"/>
      <c r="G91" s="12"/>
      <c r="H91" s="12">
        <v>0.3</v>
      </c>
      <c r="I91" s="12"/>
      <c r="J91" s="12"/>
      <c r="K91" s="12"/>
      <c r="L91" s="12"/>
      <c r="M91" s="12"/>
      <c r="N91" s="12">
        <f t="shared" si="4"/>
        <v>0.81</v>
      </c>
    </row>
    <row r="92" spans="1:14" x14ac:dyDescent="0.35">
      <c r="A92" s="6" t="s">
        <v>38</v>
      </c>
      <c r="B92" s="12"/>
      <c r="C92" s="12"/>
      <c r="D92" s="12"/>
      <c r="E92" s="12"/>
      <c r="F92" s="12"/>
      <c r="G92" s="12"/>
      <c r="H92" s="12"/>
      <c r="I92" s="12"/>
      <c r="J92" s="12"/>
      <c r="K92" s="12"/>
      <c r="L92" s="12"/>
      <c r="M92" s="12"/>
      <c r="N92" s="12">
        <f t="shared" si="4"/>
        <v>0</v>
      </c>
    </row>
    <row r="93" spans="1:14" x14ac:dyDescent="0.35">
      <c r="A93" s="6" t="s">
        <v>39</v>
      </c>
      <c r="B93" s="12"/>
      <c r="C93" s="12">
        <v>0.04</v>
      </c>
      <c r="D93" s="12"/>
      <c r="E93" s="12"/>
      <c r="F93" s="12"/>
      <c r="G93" s="12"/>
      <c r="H93" s="12">
        <v>0.25</v>
      </c>
      <c r="I93" s="12"/>
      <c r="J93" s="12"/>
      <c r="K93" s="12"/>
      <c r="L93" s="12"/>
      <c r="M93" s="12"/>
      <c r="N93" s="12">
        <f t="shared" si="4"/>
        <v>0.28999999999999998</v>
      </c>
    </row>
    <row r="94" spans="1:14" x14ac:dyDescent="0.35">
      <c r="A94" s="6" t="s">
        <v>40</v>
      </c>
      <c r="B94" s="12"/>
      <c r="C94" s="12"/>
      <c r="D94" s="12">
        <v>1.01</v>
      </c>
      <c r="E94" s="12"/>
      <c r="F94" s="12"/>
      <c r="G94" s="12"/>
      <c r="H94" s="12">
        <v>35.27000000000001</v>
      </c>
      <c r="I94" s="12">
        <v>1.98</v>
      </c>
      <c r="J94" s="12">
        <v>1.8800000000000001</v>
      </c>
      <c r="K94" s="12">
        <v>0.1</v>
      </c>
      <c r="L94" s="12"/>
      <c r="M94" s="12">
        <v>23.38</v>
      </c>
      <c r="N94" s="12">
        <f t="shared" si="4"/>
        <v>63.620000000000005</v>
      </c>
    </row>
    <row r="95" spans="1:14" x14ac:dyDescent="0.35">
      <c r="A95" s="245" t="s">
        <v>17</v>
      </c>
      <c r="B95" s="246"/>
      <c r="C95" s="246"/>
      <c r="D95" s="246"/>
      <c r="E95" s="246"/>
      <c r="F95" s="246"/>
      <c r="G95" s="246"/>
      <c r="H95" s="246">
        <v>0.01</v>
      </c>
      <c r="I95" s="246"/>
      <c r="J95" s="246"/>
      <c r="K95" s="246"/>
      <c r="L95" s="246"/>
      <c r="M95" s="246">
        <v>0.08</v>
      </c>
      <c r="N95" s="246">
        <f t="shared" si="4"/>
        <v>0.09</v>
      </c>
    </row>
    <row r="96" spans="1:14" x14ac:dyDescent="0.35">
      <c r="A96" s="6" t="s">
        <v>55</v>
      </c>
      <c r="B96" s="12"/>
      <c r="C96" s="12"/>
      <c r="D96" s="12"/>
      <c r="E96" s="12"/>
      <c r="F96" s="12"/>
      <c r="G96" s="12"/>
      <c r="H96" s="12"/>
      <c r="I96" s="12"/>
      <c r="J96" s="12"/>
      <c r="K96" s="12"/>
      <c r="L96" s="12"/>
      <c r="M96" s="12"/>
      <c r="N96" s="12">
        <f t="shared" si="4"/>
        <v>0</v>
      </c>
    </row>
    <row r="97" spans="1:14" x14ac:dyDescent="0.35">
      <c r="A97" s="6" t="s">
        <v>56</v>
      </c>
      <c r="B97" s="12"/>
      <c r="C97" s="12"/>
      <c r="D97" s="12"/>
      <c r="E97" s="12"/>
      <c r="F97" s="12"/>
      <c r="G97" s="12"/>
      <c r="H97" s="12">
        <v>0.01</v>
      </c>
      <c r="I97" s="12"/>
      <c r="J97" s="12"/>
      <c r="K97" s="12"/>
      <c r="L97" s="12"/>
      <c r="M97" s="12">
        <v>0.08</v>
      </c>
      <c r="N97" s="12">
        <f t="shared" si="4"/>
        <v>0.09</v>
      </c>
    </row>
    <row r="98" spans="1:14" x14ac:dyDescent="0.35">
      <c r="A98" s="245" t="s">
        <v>64</v>
      </c>
      <c r="B98" s="246"/>
      <c r="C98" s="246"/>
      <c r="D98" s="246"/>
      <c r="E98" s="246"/>
      <c r="F98" s="246"/>
      <c r="G98" s="246"/>
      <c r="H98" s="246"/>
      <c r="I98" s="246">
        <v>0.43</v>
      </c>
      <c r="J98" s="246"/>
      <c r="K98" s="246"/>
      <c r="L98" s="246"/>
      <c r="M98" s="246"/>
      <c r="N98" s="246">
        <f t="shared" si="4"/>
        <v>0.43</v>
      </c>
    </row>
    <row r="99" spans="1:14" x14ac:dyDescent="0.35">
      <c r="A99" s="6" t="s">
        <v>71</v>
      </c>
      <c r="B99" s="12"/>
      <c r="C99" s="12"/>
      <c r="D99" s="12"/>
      <c r="E99" s="12"/>
      <c r="F99" s="12"/>
      <c r="G99" s="12"/>
      <c r="H99" s="12"/>
      <c r="I99" s="12"/>
      <c r="J99" s="12"/>
      <c r="K99" s="12"/>
      <c r="L99" s="12"/>
      <c r="M99" s="12"/>
      <c r="N99" s="12">
        <f t="shared" si="4"/>
        <v>0</v>
      </c>
    </row>
    <row r="100" spans="1:14" x14ac:dyDescent="0.35">
      <c r="A100" s="6" t="s">
        <v>65</v>
      </c>
      <c r="B100" s="12"/>
      <c r="C100" s="12"/>
      <c r="D100" s="12"/>
      <c r="E100" s="12"/>
      <c r="F100" s="12"/>
      <c r="G100" s="12"/>
      <c r="H100" s="12"/>
      <c r="I100" s="12"/>
      <c r="J100" s="12"/>
      <c r="K100" s="12"/>
      <c r="L100" s="12"/>
      <c r="M100" s="12"/>
      <c r="N100" s="12">
        <f t="shared" si="4"/>
        <v>0</v>
      </c>
    </row>
    <row r="101" spans="1:14" x14ac:dyDescent="0.35">
      <c r="A101" s="6" t="s">
        <v>66</v>
      </c>
      <c r="B101" s="12"/>
      <c r="C101" s="12"/>
      <c r="D101" s="12"/>
      <c r="E101" s="12"/>
      <c r="F101" s="12"/>
      <c r="G101" s="12"/>
      <c r="H101" s="12"/>
      <c r="I101" s="12"/>
      <c r="J101" s="12"/>
      <c r="K101" s="12"/>
      <c r="L101" s="12"/>
      <c r="M101" s="12"/>
      <c r="N101" s="12">
        <f t="shared" si="4"/>
        <v>0</v>
      </c>
    </row>
    <row r="102" spans="1:14" x14ac:dyDescent="0.35">
      <c r="A102" s="6" t="s">
        <v>72</v>
      </c>
      <c r="B102" s="12"/>
      <c r="C102" s="12"/>
      <c r="D102" s="12"/>
      <c r="E102" s="12"/>
      <c r="F102" s="12"/>
      <c r="G102" s="12"/>
      <c r="H102" s="12"/>
      <c r="I102" s="12">
        <v>0.43</v>
      </c>
      <c r="J102" s="12"/>
      <c r="K102" s="12"/>
      <c r="L102" s="12"/>
      <c r="M102" s="12"/>
      <c r="N102" s="12">
        <f t="shared" si="4"/>
        <v>0.43</v>
      </c>
    </row>
    <row r="103" spans="1:14" x14ac:dyDescent="0.35">
      <c r="A103" s="245" t="s">
        <v>20</v>
      </c>
      <c r="B103" s="246"/>
      <c r="C103" s="246"/>
      <c r="D103" s="246"/>
      <c r="E103" s="246"/>
      <c r="F103" s="246"/>
      <c r="G103" s="246"/>
      <c r="H103" s="246"/>
      <c r="I103" s="246"/>
      <c r="J103" s="246"/>
      <c r="K103" s="246"/>
      <c r="L103" s="246"/>
      <c r="M103" s="246"/>
      <c r="N103" s="246">
        <f t="shared" si="4"/>
        <v>0</v>
      </c>
    </row>
    <row r="104" spans="1:14" x14ac:dyDescent="0.35">
      <c r="A104" s="6" t="s">
        <v>20</v>
      </c>
      <c r="B104" s="12"/>
      <c r="C104" s="12"/>
      <c r="D104" s="12"/>
      <c r="E104" s="12"/>
      <c r="F104" s="12"/>
      <c r="G104" s="12"/>
      <c r="H104" s="12"/>
      <c r="I104" s="12"/>
      <c r="J104" s="12"/>
      <c r="K104" s="12"/>
      <c r="L104" s="12"/>
      <c r="M104" s="12"/>
      <c r="N104" s="12">
        <f t="shared" si="4"/>
        <v>0</v>
      </c>
    </row>
    <row r="105" spans="1:14" x14ac:dyDescent="0.35">
      <c r="A105" s="245" t="s">
        <v>23</v>
      </c>
      <c r="B105" s="246"/>
      <c r="C105" s="246"/>
      <c r="D105" s="246"/>
      <c r="E105" s="246"/>
      <c r="F105" s="246"/>
      <c r="G105" s="246"/>
      <c r="H105" s="246">
        <v>0.9</v>
      </c>
      <c r="I105" s="246"/>
      <c r="J105" s="246"/>
      <c r="K105" s="246"/>
      <c r="L105" s="246"/>
      <c r="M105" s="246"/>
      <c r="N105" s="246">
        <f t="shared" si="4"/>
        <v>0.9</v>
      </c>
    </row>
    <row r="106" spans="1:14" x14ac:dyDescent="0.35">
      <c r="A106" s="6" t="s">
        <v>23</v>
      </c>
      <c r="B106" s="12"/>
      <c r="C106" s="12"/>
      <c r="D106" s="12"/>
      <c r="E106" s="12"/>
      <c r="F106" s="12"/>
      <c r="G106" s="12"/>
      <c r="H106" s="12">
        <v>0.9</v>
      </c>
      <c r="I106" s="12"/>
      <c r="J106" s="12"/>
      <c r="K106" s="12"/>
      <c r="L106" s="12"/>
      <c r="M106" s="12"/>
      <c r="N106" s="12">
        <f t="shared" si="4"/>
        <v>0.9</v>
      </c>
    </row>
    <row r="107" spans="1:14" x14ac:dyDescent="0.35">
      <c r="A107" s="245" t="s">
        <v>24</v>
      </c>
      <c r="B107" s="246">
        <v>0.32</v>
      </c>
      <c r="C107" s="246"/>
      <c r="D107" s="246"/>
      <c r="E107" s="246"/>
      <c r="F107" s="246"/>
      <c r="G107" s="246"/>
      <c r="H107" s="246"/>
      <c r="I107" s="246"/>
      <c r="J107" s="246"/>
      <c r="K107" s="246"/>
      <c r="L107" s="246">
        <v>0.15</v>
      </c>
      <c r="M107" s="246">
        <v>0.15</v>
      </c>
      <c r="N107" s="246">
        <f t="shared" si="4"/>
        <v>0.62</v>
      </c>
    </row>
    <row r="108" spans="1:14" x14ac:dyDescent="0.35">
      <c r="A108" s="6" t="s">
        <v>59</v>
      </c>
      <c r="B108" s="12">
        <v>0.32</v>
      </c>
      <c r="C108" s="12"/>
      <c r="D108" s="12"/>
      <c r="E108" s="12"/>
      <c r="F108" s="12"/>
      <c r="G108" s="12"/>
      <c r="H108" s="12"/>
      <c r="I108" s="12"/>
      <c r="J108" s="12"/>
      <c r="K108" s="12"/>
      <c r="L108" s="12"/>
      <c r="M108" s="12"/>
      <c r="N108" s="12">
        <f t="shared" si="4"/>
        <v>0.32</v>
      </c>
    </row>
    <row r="109" spans="1:14" x14ac:dyDescent="0.35">
      <c r="A109" s="6" t="s">
        <v>73</v>
      </c>
      <c r="B109" s="12"/>
      <c r="C109" s="12"/>
      <c r="D109" s="12"/>
      <c r="E109" s="12"/>
      <c r="F109" s="12"/>
      <c r="G109" s="12"/>
      <c r="H109" s="12"/>
      <c r="I109" s="12"/>
      <c r="J109" s="12"/>
      <c r="K109" s="12"/>
      <c r="L109" s="12"/>
      <c r="M109" s="12"/>
      <c r="N109" s="12">
        <f t="shared" si="4"/>
        <v>0</v>
      </c>
    </row>
    <row r="110" spans="1:14" x14ac:dyDescent="0.35">
      <c r="A110" s="178" t="s">
        <v>74</v>
      </c>
      <c r="B110" s="12"/>
      <c r="C110" s="12"/>
      <c r="D110" s="12"/>
      <c r="E110" s="12"/>
      <c r="F110" s="12"/>
      <c r="G110" s="12"/>
      <c r="H110" s="12"/>
      <c r="I110" s="12"/>
      <c r="J110" s="12"/>
      <c r="K110" s="12"/>
      <c r="L110" s="12">
        <v>0.15</v>
      </c>
      <c r="M110" s="12">
        <v>0.15</v>
      </c>
      <c r="N110" s="12">
        <f t="shared" si="4"/>
        <v>0.3</v>
      </c>
    </row>
    <row r="111" spans="1:14" ht="15.5" x14ac:dyDescent="0.35">
      <c r="A111" s="258" t="s">
        <v>25</v>
      </c>
      <c r="B111" s="251">
        <v>0.85000000000000009</v>
      </c>
      <c r="C111" s="251">
        <v>0.04</v>
      </c>
      <c r="D111" s="253">
        <v>1.8</v>
      </c>
      <c r="E111" s="253"/>
      <c r="F111" s="253"/>
      <c r="G111" s="253"/>
      <c r="H111" s="255">
        <v>92.340000000000018</v>
      </c>
      <c r="I111" s="251">
        <v>2.73</v>
      </c>
      <c r="J111" s="256">
        <v>1.8800000000000001</v>
      </c>
      <c r="K111" s="248">
        <v>0.51</v>
      </c>
      <c r="L111" s="249">
        <v>0.15</v>
      </c>
      <c r="M111" s="253">
        <v>25.029999999999998</v>
      </c>
      <c r="N111" s="254">
        <f t="shared" si="4"/>
        <v>125.33000000000003</v>
      </c>
    </row>
    <row r="114" spans="1:19" ht="18.5" x14ac:dyDescent="0.45">
      <c r="A114" s="223"/>
      <c r="B114" s="223"/>
    </row>
    <row r="115" spans="1:19" ht="18.5" x14ac:dyDescent="0.45">
      <c r="A115" s="238" t="s">
        <v>109</v>
      </c>
      <c r="B115" s="223"/>
    </row>
    <row r="116" spans="1:19" x14ac:dyDescent="0.35">
      <c r="A116" s="703" t="s">
        <v>88</v>
      </c>
      <c r="B116" s="725" t="s">
        <v>113</v>
      </c>
      <c r="C116" s="726"/>
      <c r="D116" s="726"/>
      <c r="E116" s="726"/>
      <c r="F116" s="726"/>
      <c r="G116" s="726"/>
      <c r="H116" s="726"/>
      <c r="I116" s="726"/>
      <c r="J116" s="726"/>
      <c r="K116" s="726"/>
      <c r="L116" s="726"/>
      <c r="M116" s="726"/>
      <c r="N116" s="726"/>
    </row>
    <row r="117" spans="1:19" ht="29.25" customHeight="1" x14ac:dyDescent="0.35">
      <c r="A117" s="704"/>
      <c r="B117" s="244" t="s">
        <v>37</v>
      </c>
      <c r="C117" s="244" t="s">
        <v>170</v>
      </c>
      <c r="D117" s="244" t="s">
        <v>169</v>
      </c>
      <c r="E117" s="244" t="s">
        <v>171</v>
      </c>
      <c r="F117" s="244" t="s">
        <v>172</v>
      </c>
      <c r="G117" s="244" t="s">
        <v>166</v>
      </c>
      <c r="H117" s="244" t="s">
        <v>164</v>
      </c>
      <c r="I117" s="244" t="s">
        <v>165</v>
      </c>
      <c r="J117" s="244" t="s">
        <v>167</v>
      </c>
      <c r="K117" s="244" t="s">
        <v>168</v>
      </c>
      <c r="L117" s="244" t="s">
        <v>122</v>
      </c>
      <c r="M117" s="244" t="s">
        <v>123</v>
      </c>
      <c r="N117" s="244" t="s">
        <v>124</v>
      </c>
      <c r="Q117" s="706" t="s">
        <v>201</v>
      </c>
      <c r="R117" s="707"/>
      <c r="S117" s="708"/>
    </row>
    <row r="118" spans="1:19" x14ac:dyDescent="0.35">
      <c r="A118" s="245" t="s">
        <v>5</v>
      </c>
      <c r="B118" s="246"/>
      <c r="C118" s="246"/>
      <c r="D118" s="246"/>
      <c r="E118" s="246"/>
      <c r="F118" s="246"/>
      <c r="G118" s="246"/>
      <c r="H118" s="246">
        <v>0.03</v>
      </c>
      <c r="I118" s="246"/>
      <c r="J118" s="246"/>
      <c r="K118" s="246">
        <v>0.12</v>
      </c>
      <c r="L118" s="246"/>
      <c r="M118" s="246">
        <f t="shared" ref="M118:M163" si="7">M14-M66</f>
        <v>0</v>
      </c>
      <c r="N118" s="246">
        <f t="shared" ref="N118:N163" si="8">SUM(B118:M118)</f>
        <v>0.15</v>
      </c>
      <c r="Q118" s="246" t="s">
        <v>164</v>
      </c>
      <c r="R118" s="212">
        <v>2471.7999999999934</v>
      </c>
      <c r="S118" s="22">
        <f t="shared" ref="S118:S127" si="9">R118/$R$130</f>
        <v>0.81165835350055948</v>
      </c>
    </row>
    <row r="119" spans="1:19" x14ac:dyDescent="0.35">
      <c r="A119" s="6" t="s">
        <v>8</v>
      </c>
      <c r="B119" s="12"/>
      <c r="C119" s="12"/>
      <c r="D119" s="12"/>
      <c r="E119" s="12"/>
      <c r="F119" s="12"/>
      <c r="G119" s="12"/>
      <c r="H119" s="12"/>
      <c r="I119" s="12"/>
      <c r="J119" s="12"/>
      <c r="K119" s="12">
        <v>0.12</v>
      </c>
      <c r="L119" s="12"/>
      <c r="M119" s="12">
        <f t="shared" si="7"/>
        <v>0</v>
      </c>
      <c r="N119" s="12">
        <f t="shared" si="8"/>
        <v>0.12</v>
      </c>
      <c r="Q119" s="246" t="s">
        <v>165</v>
      </c>
      <c r="R119" s="212">
        <v>101.01</v>
      </c>
      <c r="S119" s="22">
        <f t="shared" si="9"/>
        <v>3.3168383480496701E-2</v>
      </c>
    </row>
    <row r="120" spans="1:19" x14ac:dyDescent="0.35">
      <c r="A120" s="6" t="s">
        <v>29</v>
      </c>
      <c r="B120" s="12"/>
      <c r="C120" s="12"/>
      <c r="D120" s="12"/>
      <c r="E120" s="12"/>
      <c r="F120" s="12"/>
      <c r="G120" s="12"/>
      <c r="H120" s="12">
        <v>0.03</v>
      </c>
      <c r="I120" s="12"/>
      <c r="J120" s="12"/>
      <c r="K120" s="12"/>
      <c r="L120" s="12"/>
      <c r="M120" s="12">
        <f t="shared" si="7"/>
        <v>0</v>
      </c>
      <c r="N120" s="12">
        <f t="shared" si="8"/>
        <v>0.03</v>
      </c>
      <c r="Q120" s="246" t="s">
        <v>166</v>
      </c>
      <c r="R120" s="212">
        <v>74.989999999999995</v>
      </c>
      <c r="S120" s="22">
        <f t="shared" si="9"/>
        <v>2.4624265688569916E-2</v>
      </c>
    </row>
    <row r="121" spans="1:19" x14ac:dyDescent="0.35">
      <c r="A121" s="245" t="s">
        <v>12</v>
      </c>
      <c r="B121" s="246">
        <v>7.0000000000000007E-2</v>
      </c>
      <c r="C121" s="246"/>
      <c r="D121" s="246">
        <v>1.1000000000000001</v>
      </c>
      <c r="E121" s="246"/>
      <c r="F121" s="246"/>
      <c r="G121" s="246">
        <v>2.23</v>
      </c>
      <c r="H121" s="246">
        <v>7.4700000000000006</v>
      </c>
      <c r="I121" s="246">
        <v>0.79999999999999993</v>
      </c>
      <c r="J121" s="246"/>
      <c r="K121" s="246">
        <v>1.54</v>
      </c>
      <c r="L121" s="246"/>
      <c r="M121" s="246">
        <f t="shared" si="7"/>
        <v>2.64</v>
      </c>
      <c r="N121" s="246">
        <f t="shared" si="8"/>
        <v>15.850000000000001</v>
      </c>
      <c r="Q121" s="246" t="s">
        <v>168</v>
      </c>
      <c r="R121" s="212">
        <v>37.31</v>
      </c>
      <c r="S121" s="384">
        <f t="shared" si="9"/>
        <v>1.2251384889192475E-2</v>
      </c>
    </row>
    <row r="122" spans="1:19" x14ac:dyDescent="0.35">
      <c r="A122" s="6" t="s">
        <v>31</v>
      </c>
      <c r="B122" s="12"/>
      <c r="C122" s="12"/>
      <c r="D122" s="12"/>
      <c r="E122" s="12"/>
      <c r="F122" s="12"/>
      <c r="G122" s="12"/>
      <c r="H122" s="12"/>
      <c r="I122" s="12"/>
      <c r="J122" s="12"/>
      <c r="K122" s="12"/>
      <c r="L122" s="12"/>
      <c r="M122" s="12">
        <f t="shared" si="7"/>
        <v>0</v>
      </c>
      <c r="N122" s="12">
        <f t="shared" si="8"/>
        <v>0</v>
      </c>
      <c r="Q122" s="246" t="s">
        <v>167</v>
      </c>
      <c r="R122" s="212">
        <v>27.390000000000004</v>
      </c>
      <c r="S122" s="384">
        <f t="shared" si="9"/>
        <v>8.9939810269359932E-3</v>
      </c>
    </row>
    <row r="123" spans="1:19" x14ac:dyDescent="0.35">
      <c r="A123" s="6" t="s">
        <v>32</v>
      </c>
      <c r="B123" s="12">
        <v>7.0000000000000007E-2</v>
      </c>
      <c r="C123" s="12"/>
      <c r="D123" s="12">
        <v>0.62</v>
      </c>
      <c r="E123" s="12"/>
      <c r="F123" s="12"/>
      <c r="G123" s="12">
        <v>2.23</v>
      </c>
      <c r="H123" s="12">
        <v>6.9500000000000011</v>
      </c>
      <c r="I123" s="12">
        <v>0.79999999999999993</v>
      </c>
      <c r="J123" s="12"/>
      <c r="K123" s="12">
        <v>1.54</v>
      </c>
      <c r="L123" s="12"/>
      <c r="M123" s="12">
        <f t="shared" si="7"/>
        <v>2.64</v>
      </c>
      <c r="N123" s="12">
        <f t="shared" si="8"/>
        <v>14.850000000000001</v>
      </c>
      <c r="Q123" s="246" t="s">
        <v>169</v>
      </c>
      <c r="R123" s="212">
        <v>11.44</v>
      </c>
      <c r="S123" s="384">
        <f t="shared" si="9"/>
        <v>3.7565221959893298E-3</v>
      </c>
    </row>
    <row r="124" spans="1:19" x14ac:dyDescent="0.35">
      <c r="A124" s="6" t="s">
        <v>33</v>
      </c>
      <c r="B124" s="12"/>
      <c r="C124" s="12"/>
      <c r="D124" s="12">
        <v>0.48</v>
      </c>
      <c r="E124" s="12"/>
      <c r="F124" s="12"/>
      <c r="G124" s="12"/>
      <c r="H124" s="12">
        <v>0.52</v>
      </c>
      <c r="I124" s="12"/>
      <c r="J124" s="12"/>
      <c r="K124" s="12"/>
      <c r="L124" s="12"/>
      <c r="M124" s="12">
        <f t="shared" si="7"/>
        <v>0</v>
      </c>
      <c r="N124" s="12">
        <f t="shared" si="8"/>
        <v>1</v>
      </c>
      <c r="Q124" s="246" t="s">
        <v>172</v>
      </c>
      <c r="R124" s="212">
        <v>8.16</v>
      </c>
      <c r="S124" s="384">
        <f t="shared" si="9"/>
        <v>2.6794773705658159E-3</v>
      </c>
    </row>
    <row r="125" spans="1:19" x14ac:dyDescent="0.35">
      <c r="A125" s="245" t="s">
        <v>69</v>
      </c>
      <c r="B125" s="246">
        <v>0.09</v>
      </c>
      <c r="C125" s="246">
        <v>0.31</v>
      </c>
      <c r="D125" s="246">
        <v>0.23</v>
      </c>
      <c r="E125" s="246"/>
      <c r="F125" s="246"/>
      <c r="G125" s="246"/>
      <c r="H125" s="246"/>
      <c r="I125" s="246"/>
      <c r="J125" s="246"/>
      <c r="K125" s="246"/>
      <c r="L125" s="246"/>
      <c r="M125" s="246">
        <f t="shared" si="7"/>
        <v>0.28999999999999998</v>
      </c>
      <c r="N125" s="246">
        <f t="shared" si="8"/>
        <v>0.91999999999999993</v>
      </c>
      <c r="Q125" s="246" t="s">
        <v>170</v>
      </c>
      <c r="R125" s="212">
        <v>6.98</v>
      </c>
      <c r="S125" s="384">
        <f t="shared" si="9"/>
        <v>2.2920039272732104E-3</v>
      </c>
    </row>
    <row r="126" spans="1:19" x14ac:dyDescent="0.35">
      <c r="A126" s="6" t="s">
        <v>69</v>
      </c>
      <c r="B126" s="12">
        <v>0.09</v>
      </c>
      <c r="C126" s="12">
        <v>0.31</v>
      </c>
      <c r="D126" s="12">
        <v>0.23</v>
      </c>
      <c r="E126" s="12"/>
      <c r="F126" s="12"/>
      <c r="G126" s="12"/>
      <c r="H126" s="12"/>
      <c r="I126" s="12"/>
      <c r="J126" s="12"/>
      <c r="K126" s="12"/>
      <c r="L126" s="12"/>
      <c r="M126" s="12">
        <f t="shared" si="7"/>
        <v>0.28999999999999998</v>
      </c>
      <c r="N126" s="12">
        <f t="shared" si="8"/>
        <v>0.91999999999999993</v>
      </c>
      <c r="Q126" s="246" t="s">
        <v>37</v>
      </c>
      <c r="R126" s="212">
        <v>1.8499999999999999</v>
      </c>
      <c r="S126" s="384">
        <f t="shared" si="9"/>
        <v>6.0747955092484791E-4</v>
      </c>
    </row>
    <row r="127" spans="1:19" x14ac:dyDescent="0.35">
      <c r="A127" s="245" t="s">
        <v>13</v>
      </c>
      <c r="B127" s="246"/>
      <c r="C127" s="246"/>
      <c r="D127" s="246"/>
      <c r="E127" s="246"/>
      <c r="F127" s="246"/>
      <c r="G127" s="246"/>
      <c r="H127" s="246"/>
      <c r="I127" s="246"/>
      <c r="J127" s="246"/>
      <c r="K127" s="246"/>
      <c r="L127" s="246"/>
      <c r="M127" s="246">
        <f t="shared" si="7"/>
        <v>10.579999999999998</v>
      </c>
      <c r="N127" s="246">
        <f t="shared" si="8"/>
        <v>10.579999999999998</v>
      </c>
      <c r="Q127" s="246" t="s">
        <v>171</v>
      </c>
      <c r="R127" s="212">
        <v>0.7</v>
      </c>
      <c r="S127" s="384">
        <f t="shared" si="9"/>
        <v>2.2985712737696949E-4</v>
      </c>
    </row>
    <row r="128" spans="1:19" x14ac:dyDescent="0.35">
      <c r="A128" s="6" t="s">
        <v>34</v>
      </c>
      <c r="B128" s="12"/>
      <c r="C128" s="12"/>
      <c r="D128" s="12"/>
      <c r="E128" s="12"/>
      <c r="F128" s="12"/>
      <c r="G128" s="12"/>
      <c r="H128" s="12"/>
      <c r="I128" s="12"/>
      <c r="J128" s="12"/>
      <c r="K128" s="12"/>
      <c r="L128" s="12"/>
      <c r="M128" s="12">
        <f t="shared" si="7"/>
        <v>0.19</v>
      </c>
      <c r="N128" s="12">
        <f t="shared" si="8"/>
        <v>0.19</v>
      </c>
      <c r="Q128" s="246" t="s">
        <v>122</v>
      </c>
      <c r="R128" s="212">
        <v>1.4100000000000001</v>
      </c>
      <c r="S128" s="384">
        <f t="shared" ref="S128:S130" si="10">R128/$R$130</f>
        <v>4.6299792800218143E-4</v>
      </c>
    </row>
    <row r="129" spans="1:19" x14ac:dyDescent="0.35">
      <c r="A129" s="6" t="s">
        <v>61</v>
      </c>
      <c r="B129" s="12"/>
      <c r="C129" s="12"/>
      <c r="D129" s="12"/>
      <c r="E129" s="12"/>
      <c r="F129" s="12"/>
      <c r="G129" s="12"/>
      <c r="H129" s="12"/>
      <c r="I129" s="12"/>
      <c r="J129" s="12"/>
      <c r="K129" s="12"/>
      <c r="L129" s="12"/>
      <c r="M129" s="12">
        <f t="shared" si="7"/>
        <v>9.629999999999999</v>
      </c>
      <c r="N129" s="12">
        <f t="shared" si="8"/>
        <v>9.629999999999999</v>
      </c>
      <c r="Q129" s="246" t="s">
        <v>123</v>
      </c>
      <c r="R129" s="212">
        <v>302.32999999999993</v>
      </c>
      <c r="S129" s="22">
        <f t="shared" si="10"/>
        <v>9.9275293314113097E-2</v>
      </c>
    </row>
    <row r="130" spans="1:19" x14ac:dyDescent="0.35">
      <c r="A130" s="6" t="s">
        <v>36</v>
      </c>
      <c r="B130" s="12"/>
      <c r="C130" s="12"/>
      <c r="D130" s="12"/>
      <c r="E130" s="12"/>
      <c r="F130" s="12"/>
      <c r="G130" s="12"/>
      <c r="H130" s="12"/>
      <c r="I130" s="12"/>
      <c r="J130" s="12"/>
      <c r="K130" s="12"/>
      <c r="L130" s="12"/>
      <c r="M130" s="12">
        <f t="shared" si="7"/>
        <v>0.76</v>
      </c>
      <c r="N130" s="12">
        <f t="shared" si="8"/>
        <v>0.76</v>
      </c>
      <c r="Q130" s="243" t="s">
        <v>130</v>
      </c>
      <c r="R130" s="259">
        <v>3045.3699999999931</v>
      </c>
      <c r="S130" s="260">
        <f t="shared" si="10"/>
        <v>1</v>
      </c>
    </row>
    <row r="131" spans="1:19" x14ac:dyDescent="0.35">
      <c r="A131" s="245" t="s">
        <v>16</v>
      </c>
      <c r="B131" s="246">
        <v>0.19</v>
      </c>
      <c r="C131" s="246"/>
      <c r="D131" s="246"/>
      <c r="E131" s="246"/>
      <c r="F131" s="246"/>
      <c r="G131" s="246"/>
      <c r="H131" s="246"/>
      <c r="I131" s="246"/>
      <c r="J131" s="246"/>
      <c r="K131" s="246"/>
      <c r="L131" s="246"/>
      <c r="M131" s="246">
        <f t="shared" si="7"/>
        <v>5.57</v>
      </c>
      <c r="N131" s="246">
        <f t="shared" si="8"/>
        <v>5.7600000000000007</v>
      </c>
    </row>
    <row r="132" spans="1:19" x14ac:dyDescent="0.35">
      <c r="A132" s="6" t="s">
        <v>47</v>
      </c>
      <c r="B132" s="12"/>
      <c r="C132" s="12"/>
      <c r="D132" s="12"/>
      <c r="E132" s="12"/>
      <c r="F132" s="12"/>
      <c r="G132" s="12"/>
      <c r="H132" s="12"/>
      <c r="I132" s="12"/>
      <c r="J132" s="12"/>
      <c r="K132" s="12"/>
      <c r="L132" s="12"/>
      <c r="M132" s="12">
        <f t="shared" si="7"/>
        <v>2.25</v>
      </c>
      <c r="N132" s="12">
        <f t="shared" si="8"/>
        <v>2.25</v>
      </c>
    </row>
    <row r="133" spans="1:19" x14ac:dyDescent="0.35">
      <c r="A133" s="6" t="s">
        <v>48</v>
      </c>
      <c r="B133" s="12"/>
      <c r="C133" s="12"/>
      <c r="D133" s="12"/>
      <c r="E133" s="12"/>
      <c r="F133" s="12"/>
      <c r="G133" s="12"/>
      <c r="H133" s="12"/>
      <c r="I133" s="12"/>
      <c r="J133" s="12"/>
      <c r="K133" s="12"/>
      <c r="L133" s="12"/>
      <c r="M133" s="12">
        <f t="shared" si="7"/>
        <v>3.32</v>
      </c>
      <c r="N133" s="12">
        <f t="shared" si="8"/>
        <v>3.32</v>
      </c>
    </row>
    <row r="134" spans="1:19" x14ac:dyDescent="0.35">
      <c r="A134" s="6" t="s">
        <v>53</v>
      </c>
      <c r="B134" s="12">
        <v>0.19</v>
      </c>
      <c r="C134" s="12"/>
      <c r="D134" s="12"/>
      <c r="E134" s="12"/>
      <c r="F134" s="12"/>
      <c r="G134" s="12"/>
      <c r="H134" s="12"/>
      <c r="I134" s="12"/>
      <c r="J134" s="12"/>
      <c r="K134" s="12"/>
      <c r="L134" s="12"/>
      <c r="M134" s="12">
        <f t="shared" si="7"/>
        <v>0</v>
      </c>
      <c r="N134" s="12">
        <f t="shared" si="8"/>
        <v>0.19</v>
      </c>
    </row>
    <row r="135" spans="1:19" x14ac:dyDescent="0.35">
      <c r="A135" s="245" t="s">
        <v>15</v>
      </c>
      <c r="B135" s="246">
        <f>SUM(B136:B139)</f>
        <v>0.12</v>
      </c>
      <c r="C135" s="246"/>
      <c r="D135" s="246"/>
      <c r="E135" s="246"/>
      <c r="F135" s="246"/>
      <c r="G135" s="246">
        <f>SUM(G136:G139)</f>
        <v>1.26</v>
      </c>
      <c r="H135" s="246"/>
      <c r="I135" s="246">
        <f>SUM(I136:I139)</f>
        <v>0.48</v>
      </c>
      <c r="J135" s="246"/>
      <c r="K135" s="246"/>
      <c r="L135" s="246"/>
      <c r="M135" s="246">
        <f t="shared" si="7"/>
        <v>0.73999999999999977</v>
      </c>
      <c r="N135" s="246">
        <f t="shared" si="8"/>
        <v>2.5999999999999996</v>
      </c>
    </row>
    <row r="136" spans="1:19" x14ac:dyDescent="0.35">
      <c r="A136" s="6" t="s">
        <v>41</v>
      </c>
      <c r="B136" s="12"/>
      <c r="C136" s="12"/>
      <c r="D136" s="12"/>
      <c r="E136" s="12"/>
      <c r="F136" s="12"/>
      <c r="G136" s="12">
        <v>1.26</v>
      </c>
      <c r="H136" s="12"/>
      <c r="I136" s="12"/>
      <c r="J136" s="12"/>
      <c r="K136" s="12"/>
      <c r="L136" s="12"/>
      <c r="M136" s="12">
        <f t="shared" si="7"/>
        <v>0</v>
      </c>
      <c r="N136" s="12">
        <f t="shared" si="8"/>
        <v>1.26</v>
      </c>
    </row>
    <row r="137" spans="1:19" x14ac:dyDescent="0.35">
      <c r="A137" s="6" t="s">
        <v>43</v>
      </c>
      <c r="B137" s="12"/>
      <c r="C137" s="12"/>
      <c r="D137" s="12"/>
      <c r="E137" s="12"/>
      <c r="F137" s="12"/>
      <c r="G137" s="12"/>
      <c r="H137" s="12"/>
      <c r="I137" s="12"/>
      <c r="J137" s="12"/>
      <c r="K137" s="12"/>
      <c r="L137" s="12"/>
      <c r="M137" s="12">
        <f t="shared" si="7"/>
        <v>0.68000000000000016</v>
      </c>
      <c r="N137" s="12">
        <f t="shared" si="8"/>
        <v>0.68000000000000016</v>
      </c>
    </row>
    <row r="138" spans="1:19" x14ac:dyDescent="0.35">
      <c r="A138" s="6" t="s">
        <v>44</v>
      </c>
      <c r="B138" s="12"/>
      <c r="C138" s="12"/>
      <c r="D138" s="12"/>
      <c r="E138" s="12"/>
      <c r="F138" s="12"/>
      <c r="G138" s="12"/>
      <c r="H138" s="12"/>
      <c r="I138" s="12"/>
      <c r="J138" s="12"/>
      <c r="K138" s="12"/>
      <c r="L138" s="12"/>
      <c r="M138" s="12">
        <f t="shared" si="7"/>
        <v>0</v>
      </c>
      <c r="N138" s="12">
        <f t="shared" si="8"/>
        <v>0</v>
      </c>
    </row>
    <row r="139" spans="1:19" x14ac:dyDescent="0.35">
      <c r="A139" s="6" t="s">
        <v>45</v>
      </c>
      <c r="B139" s="12">
        <v>0.12</v>
      </c>
      <c r="C139" s="12"/>
      <c r="D139" s="12"/>
      <c r="E139" s="12"/>
      <c r="F139" s="12"/>
      <c r="G139" s="12"/>
      <c r="H139" s="12"/>
      <c r="I139" s="12">
        <v>0.48</v>
      </c>
      <c r="J139" s="12"/>
      <c r="K139" s="12"/>
      <c r="L139" s="12"/>
      <c r="M139" s="12">
        <f t="shared" si="7"/>
        <v>0.06</v>
      </c>
      <c r="N139" s="12">
        <f t="shared" si="8"/>
        <v>0.65999999999999992</v>
      </c>
    </row>
    <row r="140" spans="1:19" x14ac:dyDescent="0.35">
      <c r="A140" s="245" t="s">
        <v>70</v>
      </c>
      <c r="B140" s="246"/>
      <c r="C140" s="246"/>
      <c r="D140" s="246"/>
      <c r="E140" s="246"/>
      <c r="F140" s="246"/>
      <c r="G140" s="246"/>
      <c r="H140" s="246"/>
      <c r="I140" s="246"/>
      <c r="J140" s="246"/>
      <c r="K140" s="246"/>
      <c r="L140" s="246"/>
      <c r="M140" s="246">
        <f t="shared" si="7"/>
        <v>0</v>
      </c>
      <c r="N140" s="246">
        <f t="shared" si="8"/>
        <v>0</v>
      </c>
    </row>
    <row r="141" spans="1:19" x14ac:dyDescent="0.35">
      <c r="A141" s="6" t="s">
        <v>70</v>
      </c>
      <c r="B141" s="12"/>
      <c r="C141" s="12"/>
      <c r="D141" s="12"/>
      <c r="E141" s="12"/>
      <c r="F141" s="12"/>
      <c r="G141" s="12"/>
      <c r="H141" s="12"/>
      <c r="I141" s="12"/>
      <c r="J141" s="12"/>
      <c r="K141" s="12"/>
      <c r="L141" s="12"/>
      <c r="M141" s="12">
        <f t="shared" si="7"/>
        <v>0</v>
      </c>
      <c r="N141" s="12">
        <f t="shared" si="8"/>
        <v>0</v>
      </c>
    </row>
    <row r="142" spans="1:19" x14ac:dyDescent="0.35">
      <c r="A142" s="245" t="s">
        <v>14</v>
      </c>
      <c r="B142" s="246"/>
      <c r="C142" s="246">
        <v>1.38</v>
      </c>
      <c r="D142" s="246">
        <v>9.17</v>
      </c>
      <c r="E142" s="246"/>
      <c r="F142" s="246"/>
      <c r="G142" s="246">
        <v>2.0500000000000003</v>
      </c>
      <c r="H142" s="246">
        <v>2160.4699999999934</v>
      </c>
      <c r="I142" s="246">
        <v>98.07</v>
      </c>
      <c r="J142" s="246">
        <v>27.390000000000004</v>
      </c>
      <c r="K142" s="246">
        <v>28.26</v>
      </c>
      <c r="L142" s="246"/>
      <c r="M142" s="246">
        <f t="shared" si="7"/>
        <v>279.7399999999999</v>
      </c>
      <c r="N142" s="246">
        <f t="shared" si="8"/>
        <v>2606.5299999999934</v>
      </c>
    </row>
    <row r="143" spans="1:19" x14ac:dyDescent="0.35">
      <c r="A143" s="6" t="s">
        <v>37</v>
      </c>
      <c r="B143" s="12"/>
      <c r="C143" s="12"/>
      <c r="D143" s="12"/>
      <c r="E143" s="12"/>
      <c r="F143" s="12"/>
      <c r="G143" s="12"/>
      <c r="H143" s="12">
        <v>37.349999999999994</v>
      </c>
      <c r="I143" s="12">
        <v>0.47</v>
      </c>
      <c r="J143" s="12"/>
      <c r="K143" s="12"/>
      <c r="L143" s="12"/>
      <c r="M143" s="12">
        <f t="shared" si="7"/>
        <v>0</v>
      </c>
      <c r="N143" s="12">
        <f t="shared" si="8"/>
        <v>37.819999999999993</v>
      </c>
    </row>
    <row r="144" spans="1:19" x14ac:dyDescent="0.35">
      <c r="A144" s="6" t="s">
        <v>38</v>
      </c>
      <c r="B144" s="12"/>
      <c r="C144" s="12"/>
      <c r="D144" s="12"/>
      <c r="E144" s="12"/>
      <c r="F144" s="12"/>
      <c r="G144" s="12"/>
      <c r="H144" s="12">
        <v>371.71000000000009</v>
      </c>
      <c r="I144" s="12"/>
      <c r="J144" s="12">
        <v>0.71</v>
      </c>
      <c r="K144" s="12"/>
      <c r="L144" s="12"/>
      <c r="M144" s="12">
        <f t="shared" si="7"/>
        <v>0.01</v>
      </c>
      <c r="N144" s="12">
        <f t="shared" si="8"/>
        <v>372.43000000000006</v>
      </c>
    </row>
    <row r="145" spans="1:14" x14ac:dyDescent="0.35">
      <c r="A145" s="6" t="s">
        <v>39</v>
      </c>
      <c r="B145" s="12"/>
      <c r="C145" s="12"/>
      <c r="D145" s="12"/>
      <c r="E145" s="12"/>
      <c r="F145" s="12"/>
      <c r="G145" s="12"/>
      <c r="H145" s="12">
        <v>3.58</v>
      </c>
      <c r="I145" s="12">
        <v>0.25</v>
      </c>
      <c r="J145" s="12"/>
      <c r="K145" s="12"/>
      <c r="L145" s="12"/>
      <c r="M145" s="12">
        <f t="shared" si="7"/>
        <v>0</v>
      </c>
      <c r="N145" s="12">
        <f t="shared" si="8"/>
        <v>3.83</v>
      </c>
    </row>
    <row r="146" spans="1:14" x14ac:dyDescent="0.35">
      <c r="A146" s="6" t="s">
        <v>40</v>
      </c>
      <c r="B146" s="12"/>
      <c r="C146" s="12">
        <v>1.38</v>
      </c>
      <c r="D146" s="12">
        <v>9.17</v>
      </c>
      <c r="E146" s="12"/>
      <c r="F146" s="12"/>
      <c r="G146" s="12">
        <v>2.0500000000000003</v>
      </c>
      <c r="H146" s="12">
        <v>1747.8299999999936</v>
      </c>
      <c r="I146" s="12">
        <v>97.35</v>
      </c>
      <c r="J146" s="12">
        <v>26.680000000000003</v>
      </c>
      <c r="K146" s="12">
        <v>28.26</v>
      </c>
      <c r="L146" s="12"/>
      <c r="M146" s="12">
        <f t="shared" si="7"/>
        <v>279.7299999999999</v>
      </c>
      <c r="N146" s="12">
        <f t="shared" si="8"/>
        <v>2192.4499999999935</v>
      </c>
    </row>
    <row r="147" spans="1:14" x14ac:dyDescent="0.35">
      <c r="A147" s="245" t="s">
        <v>17</v>
      </c>
      <c r="B147" s="246"/>
      <c r="C147" s="246"/>
      <c r="D147" s="246">
        <v>0.04</v>
      </c>
      <c r="E147" s="246"/>
      <c r="F147" s="246"/>
      <c r="G147" s="246">
        <v>0.14000000000000001</v>
      </c>
      <c r="H147" s="246"/>
      <c r="I147" s="246"/>
      <c r="J147" s="246"/>
      <c r="K147" s="246"/>
      <c r="L147" s="246"/>
      <c r="M147" s="246">
        <f t="shared" si="7"/>
        <v>0</v>
      </c>
      <c r="N147" s="246">
        <f t="shared" si="8"/>
        <v>0.18000000000000002</v>
      </c>
    </row>
    <row r="148" spans="1:14" x14ac:dyDescent="0.35">
      <c r="A148" s="6" t="s">
        <v>55</v>
      </c>
      <c r="B148" s="12"/>
      <c r="C148" s="12"/>
      <c r="D148" s="12">
        <v>0.04</v>
      </c>
      <c r="E148" s="12"/>
      <c r="F148" s="12"/>
      <c r="G148" s="12"/>
      <c r="H148" s="12"/>
      <c r="I148" s="12"/>
      <c r="J148" s="12"/>
      <c r="K148" s="12"/>
      <c r="L148" s="12"/>
      <c r="M148" s="12">
        <f t="shared" si="7"/>
        <v>0</v>
      </c>
      <c r="N148" s="12">
        <f t="shared" si="8"/>
        <v>0.04</v>
      </c>
    </row>
    <row r="149" spans="1:14" x14ac:dyDescent="0.35">
      <c r="A149" s="6" t="s">
        <v>56</v>
      </c>
      <c r="B149" s="12"/>
      <c r="C149" s="12"/>
      <c r="D149" s="12"/>
      <c r="E149" s="12"/>
      <c r="F149" s="12"/>
      <c r="G149" s="12">
        <v>0.14000000000000001</v>
      </c>
      <c r="H149" s="12"/>
      <c r="I149" s="12"/>
      <c r="J149" s="12"/>
      <c r="K149" s="12"/>
      <c r="L149" s="12"/>
      <c r="M149" s="12">
        <f t="shared" si="7"/>
        <v>0</v>
      </c>
      <c r="N149" s="12">
        <f t="shared" si="8"/>
        <v>0.14000000000000001</v>
      </c>
    </row>
    <row r="150" spans="1:14" x14ac:dyDescent="0.35">
      <c r="A150" s="245" t="s">
        <v>64</v>
      </c>
      <c r="B150" s="246">
        <v>0.43</v>
      </c>
      <c r="C150" s="246"/>
      <c r="D150" s="246"/>
      <c r="E150" s="246"/>
      <c r="F150" s="246"/>
      <c r="G150" s="246"/>
      <c r="H150" s="246">
        <v>0.33</v>
      </c>
      <c r="I150" s="246">
        <v>0.04</v>
      </c>
      <c r="J150" s="246"/>
      <c r="K150" s="246"/>
      <c r="L150" s="246"/>
      <c r="M150" s="246">
        <f t="shared" si="7"/>
        <v>0.7</v>
      </c>
      <c r="N150" s="246">
        <f t="shared" si="8"/>
        <v>1.5</v>
      </c>
    </row>
    <row r="151" spans="1:14" x14ac:dyDescent="0.35">
      <c r="A151" s="6" t="s">
        <v>71</v>
      </c>
      <c r="B151" s="12"/>
      <c r="C151" s="12"/>
      <c r="D151" s="12"/>
      <c r="E151" s="12"/>
      <c r="F151" s="12"/>
      <c r="G151" s="12"/>
      <c r="H151" s="12"/>
      <c r="I151" s="12"/>
      <c r="J151" s="12"/>
      <c r="K151" s="12"/>
      <c r="L151" s="12"/>
      <c r="M151" s="12">
        <f t="shared" si="7"/>
        <v>0.18</v>
      </c>
      <c r="N151" s="12">
        <f t="shared" si="8"/>
        <v>0.18</v>
      </c>
    </row>
    <row r="152" spans="1:14" x14ac:dyDescent="0.35">
      <c r="A152" s="6" t="s">
        <v>65</v>
      </c>
      <c r="B152" s="12">
        <v>0.43</v>
      </c>
      <c r="C152" s="12"/>
      <c r="D152" s="12"/>
      <c r="E152" s="12"/>
      <c r="F152" s="12"/>
      <c r="G152" s="12"/>
      <c r="H152" s="12"/>
      <c r="I152" s="12"/>
      <c r="J152" s="12"/>
      <c r="K152" s="12"/>
      <c r="L152" s="12"/>
      <c r="M152" s="12">
        <f t="shared" si="7"/>
        <v>0.18</v>
      </c>
      <c r="N152" s="12">
        <f t="shared" si="8"/>
        <v>0.61</v>
      </c>
    </row>
    <row r="153" spans="1:14" x14ac:dyDescent="0.35">
      <c r="A153" s="6" t="s">
        <v>66</v>
      </c>
      <c r="B153" s="12"/>
      <c r="C153" s="12"/>
      <c r="D153" s="12"/>
      <c r="E153" s="12"/>
      <c r="F153" s="12"/>
      <c r="G153" s="12"/>
      <c r="H153" s="12">
        <v>0.33</v>
      </c>
      <c r="I153" s="12">
        <v>0.04</v>
      </c>
      <c r="J153" s="12"/>
      <c r="K153" s="12"/>
      <c r="L153" s="12"/>
      <c r="M153" s="12">
        <f t="shared" si="7"/>
        <v>0</v>
      </c>
      <c r="N153" s="12">
        <f t="shared" si="8"/>
        <v>0.37</v>
      </c>
    </row>
    <row r="154" spans="1:14" x14ac:dyDescent="0.35">
      <c r="A154" s="6" t="s">
        <v>72</v>
      </c>
      <c r="B154" s="12"/>
      <c r="C154" s="12"/>
      <c r="D154" s="12"/>
      <c r="E154" s="12"/>
      <c r="F154" s="12"/>
      <c r="G154" s="12"/>
      <c r="H154" s="12"/>
      <c r="I154" s="12"/>
      <c r="J154" s="12"/>
      <c r="K154" s="12"/>
      <c r="L154" s="12"/>
      <c r="M154" s="12">
        <f t="shared" si="7"/>
        <v>0.33999999999999997</v>
      </c>
      <c r="N154" s="12">
        <f t="shared" si="8"/>
        <v>0.33999999999999997</v>
      </c>
    </row>
    <row r="155" spans="1:14" x14ac:dyDescent="0.35">
      <c r="A155" s="245" t="s">
        <v>20</v>
      </c>
      <c r="B155" s="246">
        <v>0.19999999999999998</v>
      </c>
      <c r="C155" s="246">
        <v>0.26</v>
      </c>
      <c r="D155" s="246"/>
      <c r="E155" s="246">
        <v>0.2</v>
      </c>
      <c r="F155" s="246"/>
      <c r="G155" s="246"/>
      <c r="H155" s="246"/>
      <c r="I155" s="246"/>
      <c r="J155" s="246"/>
      <c r="K155" s="246"/>
      <c r="L155" s="246"/>
      <c r="M155" s="246">
        <f t="shared" si="7"/>
        <v>0.22</v>
      </c>
      <c r="N155" s="246">
        <f t="shared" si="8"/>
        <v>0.87999999999999989</v>
      </c>
    </row>
    <row r="156" spans="1:14" x14ac:dyDescent="0.35">
      <c r="A156" s="6" t="s">
        <v>20</v>
      </c>
      <c r="B156" s="12">
        <v>0.19999999999999998</v>
      </c>
      <c r="C156" s="12">
        <v>0.26</v>
      </c>
      <c r="D156" s="12"/>
      <c r="E156" s="12">
        <v>0.2</v>
      </c>
      <c r="F156" s="12"/>
      <c r="G156" s="12"/>
      <c r="H156" s="12"/>
      <c r="I156" s="12"/>
      <c r="J156" s="12"/>
      <c r="K156" s="12"/>
      <c r="L156" s="12"/>
      <c r="M156" s="12">
        <f t="shared" si="7"/>
        <v>0.22</v>
      </c>
      <c r="N156" s="12">
        <f t="shared" si="8"/>
        <v>0.87999999999999989</v>
      </c>
    </row>
    <row r="157" spans="1:14" x14ac:dyDescent="0.35">
      <c r="A157" s="245" t="s">
        <v>23</v>
      </c>
      <c r="B157" s="246">
        <v>0.25</v>
      </c>
      <c r="C157" s="246">
        <v>4.9000000000000004</v>
      </c>
      <c r="D157" s="246"/>
      <c r="E157" s="246"/>
      <c r="F157" s="246"/>
      <c r="G157" s="246"/>
      <c r="H157" s="246">
        <v>0.02</v>
      </c>
      <c r="I157" s="246"/>
      <c r="J157" s="246"/>
      <c r="K157" s="246">
        <v>0.33</v>
      </c>
      <c r="L157" s="246"/>
      <c r="M157" s="246">
        <f t="shared" si="7"/>
        <v>0.37</v>
      </c>
      <c r="N157" s="246">
        <f t="shared" si="8"/>
        <v>5.87</v>
      </c>
    </row>
    <row r="158" spans="1:14" x14ac:dyDescent="0.35">
      <c r="A158" s="6" t="s">
        <v>23</v>
      </c>
      <c r="B158" s="12">
        <v>0.25</v>
      </c>
      <c r="C158" s="12">
        <v>4.9000000000000004</v>
      </c>
      <c r="D158" s="12"/>
      <c r="E158" s="12"/>
      <c r="F158" s="12"/>
      <c r="G158" s="12"/>
      <c r="H158" s="12">
        <v>0.02</v>
      </c>
      <c r="I158" s="12"/>
      <c r="J158" s="12"/>
      <c r="K158" s="12">
        <v>0.33</v>
      </c>
      <c r="L158" s="12"/>
      <c r="M158" s="12">
        <f t="shared" si="7"/>
        <v>0.37</v>
      </c>
      <c r="N158" s="12">
        <f t="shared" si="8"/>
        <v>5.87</v>
      </c>
    </row>
    <row r="159" spans="1:14" x14ac:dyDescent="0.35">
      <c r="A159" s="245" t="s">
        <v>24</v>
      </c>
      <c r="B159" s="246"/>
      <c r="C159" s="246">
        <v>0.13</v>
      </c>
      <c r="D159" s="246"/>
      <c r="E159" s="246">
        <v>0.5</v>
      </c>
      <c r="F159" s="246">
        <v>1.56</v>
      </c>
      <c r="G159" s="246"/>
      <c r="H159" s="246">
        <v>0.54</v>
      </c>
      <c r="I159" s="246">
        <v>0.59000000000000008</v>
      </c>
      <c r="J159" s="246"/>
      <c r="K159" s="246"/>
      <c r="L159" s="246">
        <v>1.4100000000000001</v>
      </c>
      <c r="M159" s="246">
        <f t="shared" si="7"/>
        <v>1.4100000000000001</v>
      </c>
      <c r="N159" s="246">
        <f t="shared" si="8"/>
        <v>6.1400000000000006</v>
      </c>
    </row>
    <row r="160" spans="1:14" x14ac:dyDescent="0.35">
      <c r="A160" s="6" t="s">
        <v>59</v>
      </c>
      <c r="B160" s="12"/>
      <c r="C160" s="12">
        <v>0.13</v>
      </c>
      <c r="D160" s="12"/>
      <c r="E160" s="12"/>
      <c r="F160" s="12"/>
      <c r="G160" s="12"/>
      <c r="H160" s="12"/>
      <c r="I160" s="12"/>
      <c r="J160" s="12"/>
      <c r="K160" s="12"/>
      <c r="L160" s="12">
        <v>0.04</v>
      </c>
      <c r="M160" s="12">
        <f t="shared" si="7"/>
        <v>0.04</v>
      </c>
      <c r="N160" s="12">
        <f t="shared" si="8"/>
        <v>0.21000000000000002</v>
      </c>
    </row>
    <row r="161" spans="1:14" x14ac:dyDescent="0.35">
      <c r="A161" s="6" t="s">
        <v>73</v>
      </c>
      <c r="B161" s="12"/>
      <c r="C161" s="12"/>
      <c r="D161" s="12"/>
      <c r="E161" s="12">
        <v>0.5</v>
      </c>
      <c r="F161" s="12">
        <v>1.56</v>
      </c>
      <c r="G161" s="12"/>
      <c r="H161" s="12">
        <v>0.54</v>
      </c>
      <c r="I161" s="12">
        <v>0.59000000000000008</v>
      </c>
      <c r="J161" s="12"/>
      <c r="K161" s="12"/>
      <c r="L161" s="12"/>
      <c r="M161" s="12">
        <f t="shared" si="7"/>
        <v>0</v>
      </c>
      <c r="N161" s="12">
        <f t="shared" si="8"/>
        <v>3.1900000000000004</v>
      </c>
    </row>
    <row r="162" spans="1:14" x14ac:dyDescent="0.35">
      <c r="A162" s="178" t="s">
        <v>74</v>
      </c>
      <c r="B162" s="12"/>
      <c r="C162" s="12"/>
      <c r="D162" s="12"/>
      <c r="E162" s="12"/>
      <c r="F162" s="12"/>
      <c r="G162" s="12"/>
      <c r="H162" s="12"/>
      <c r="I162" s="12"/>
      <c r="J162" s="12"/>
      <c r="K162" s="12"/>
      <c r="L162" s="12">
        <v>1.37</v>
      </c>
      <c r="M162" s="12">
        <f t="shared" si="7"/>
        <v>1.37</v>
      </c>
      <c r="N162" s="12">
        <f t="shared" si="8"/>
        <v>2.74</v>
      </c>
    </row>
    <row r="163" spans="1:14" ht="15.5" x14ac:dyDescent="0.35">
      <c r="A163" s="258" t="s">
        <v>25</v>
      </c>
      <c r="B163" s="251">
        <v>1.8499999999999999</v>
      </c>
      <c r="C163" s="251">
        <v>6.98</v>
      </c>
      <c r="D163" s="253">
        <v>11.44</v>
      </c>
      <c r="E163" s="255">
        <v>0.7</v>
      </c>
      <c r="F163" s="251">
        <v>8.16</v>
      </c>
      <c r="G163" s="256">
        <v>74.989999999999995</v>
      </c>
      <c r="H163" s="249">
        <v>2471.7999999999934</v>
      </c>
      <c r="I163" s="248">
        <v>101.01</v>
      </c>
      <c r="J163" s="250">
        <v>27.390000000000004</v>
      </c>
      <c r="K163" s="251">
        <v>37.31</v>
      </c>
      <c r="L163" s="248">
        <v>1.4100000000000001</v>
      </c>
      <c r="M163" s="253">
        <f t="shared" si="7"/>
        <v>302.32999999999993</v>
      </c>
      <c r="N163" s="254">
        <f t="shared" si="8"/>
        <v>3045.3699999999931</v>
      </c>
    </row>
  </sheetData>
  <sortState xmlns:xlrd2="http://schemas.microsoft.com/office/spreadsheetml/2017/richdata2" ref="Q156:AD156">
    <sortCondition descending="1" ref="R118"/>
  </sortState>
  <mergeCells count="9">
    <mergeCell ref="Q117:S117"/>
    <mergeCell ref="A116:A117"/>
    <mergeCell ref="B64:N64"/>
    <mergeCell ref="B12:N12"/>
    <mergeCell ref="B116:N116"/>
    <mergeCell ref="A12:A13"/>
    <mergeCell ref="A64:A65"/>
    <mergeCell ref="Q13:S13"/>
    <mergeCell ref="Q65:S65"/>
  </mergeCells>
  <hyperlinks>
    <hyperlink ref="O1" location="ÍNDICE!A1" display="ÍNDICE!A1" xr:uid="{00000000-0004-0000-1600-000000000000}"/>
    <hyperlink ref="B1" r:id="rId1" xr:uid="{00000000-0004-0000-1600-000001000000}"/>
    <hyperlink ref="C5" location="'AVE S-VAR'!A11" display="TOTAL" xr:uid="{00000000-0004-0000-1600-000002000000}"/>
    <hyperlink ref="C6" location="'AVE S-VAR'!A63" display="ECOLÓGICO" xr:uid="{00000000-0004-0000-1600-000003000000}"/>
    <hyperlink ref="C7" location="'AVE S-VAR'!A115" display="CONVENCIONAL" xr:uid="{00000000-0004-0000-1600-000004000000}"/>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112"/>
  <sheetViews>
    <sheetView workbookViewId="0"/>
  </sheetViews>
  <sheetFormatPr baseColWidth="10" defaultRowHeight="14.5" x14ac:dyDescent="0.35"/>
  <cols>
    <col min="1" max="1" width="25.81640625" customWidth="1"/>
    <col min="6" max="8" width="11.453125" customWidth="1"/>
    <col min="11" max="12" width="11.453125" customWidth="1"/>
    <col min="13" max="13" width="13" customWidth="1"/>
    <col min="14" max="14" width="11.453125" customWidth="1"/>
    <col min="17" max="17" width="31.453125" customWidth="1"/>
    <col min="18" max="18" width="11.453125" customWidth="1"/>
  </cols>
  <sheetData>
    <row r="1" spans="1:19" x14ac:dyDescent="0.35">
      <c r="A1" s="240" t="s">
        <v>10</v>
      </c>
      <c r="B1" s="2" t="s">
        <v>102</v>
      </c>
      <c r="O1" t="s">
        <v>143</v>
      </c>
      <c r="P1" s="2" t="s">
        <v>144</v>
      </c>
    </row>
    <row r="4" spans="1:19" ht="17.5" x14ac:dyDescent="0.35">
      <c r="A4" s="277" t="s">
        <v>173</v>
      </c>
      <c r="B4" s="277"/>
      <c r="C4" s="339" t="s">
        <v>243</v>
      </c>
      <c r="D4" s="110"/>
      <c r="E4" s="110"/>
    </row>
    <row r="5" spans="1:19" x14ac:dyDescent="0.35">
      <c r="A5" s="241" t="s">
        <v>196</v>
      </c>
      <c r="B5" s="241"/>
      <c r="C5" s="340" t="s">
        <v>124</v>
      </c>
      <c r="D5" s="110"/>
      <c r="E5" s="110"/>
    </row>
    <row r="6" spans="1:19" x14ac:dyDescent="0.35">
      <c r="A6" s="242" t="s">
        <v>197</v>
      </c>
      <c r="B6" s="241"/>
      <c r="C6" s="340" t="s">
        <v>213</v>
      </c>
      <c r="D6" s="110"/>
      <c r="E6" s="110"/>
    </row>
    <row r="7" spans="1:19" x14ac:dyDescent="0.35">
      <c r="A7" s="242" t="s">
        <v>198</v>
      </c>
      <c r="B7" s="241"/>
      <c r="C7" s="340" t="s">
        <v>242</v>
      </c>
      <c r="D7" s="110"/>
      <c r="E7" s="110"/>
    </row>
    <row r="10" spans="1:19" ht="18.5" x14ac:dyDescent="0.45">
      <c r="A10" s="223"/>
    </row>
    <row r="11" spans="1:19" ht="15.5" x14ac:dyDescent="0.35">
      <c r="A11" s="280" t="s">
        <v>136</v>
      </c>
    </row>
    <row r="12" spans="1:19" ht="15" customHeight="1" x14ac:dyDescent="0.35">
      <c r="A12" s="721" t="s">
        <v>88</v>
      </c>
      <c r="B12" s="718" t="s">
        <v>113</v>
      </c>
      <c r="C12" s="715"/>
      <c r="D12" s="715"/>
      <c r="E12" s="715"/>
      <c r="F12" s="715"/>
      <c r="G12" s="715"/>
      <c r="H12" s="715"/>
      <c r="I12" s="715"/>
      <c r="J12" s="715"/>
      <c r="K12" s="715"/>
      <c r="L12" s="715"/>
      <c r="M12" s="715"/>
      <c r="N12" s="715"/>
    </row>
    <row r="13" spans="1:19" ht="30" customHeight="1" x14ac:dyDescent="0.35">
      <c r="A13" s="717"/>
      <c r="B13" s="278" t="s">
        <v>37</v>
      </c>
      <c r="C13" s="267" t="s">
        <v>170</v>
      </c>
      <c r="D13" s="282" t="s">
        <v>169</v>
      </c>
      <c r="E13" s="267" t="s">
        <v>171</v>
      </c>
      <c r="F13" s="267" t="s">
        <v>166</v>
      </c>
      <c r="G13" s="267" t="s">
        <v>164</v>
      </c>
      <c r="H13" s="267" t="s">
        <v>165</v>
      </c>
      <c r="I13" s="267" t="s">
        <v>167</v>
      </c>
      <c r="J13" s="267" t="s">
        <v>168</v>
      </c>
      <c r="K13" s="267" t="s">
        <v>174</v>
      </c>
      <c r="L13" s="267" t="s">
        <v>122</v>
      </c>
      <c r="M13" s="267" t="s">
        <v>123</v>
      </c>
      <c r="N13" s="267" t="s">
        <v>124</v>
      </c>
      <c r="Q13" s="711" t="s">
        <v>203</v>
      </c>
      <c r="R13" s="712"/>
      <c r="S13" s="724"/>
    </row>
    <row r="14" spans="1:19" ht="15" customHeight="1" x14ac:dyDescent="0.35">
      <c r="A14" s="272" t="s">
        <v>5</v>
      </c>
      <c r="B14" s="273">
        <v>0.43</v>
      </c>
      <c r="C14" s="273"/>
      <c r="D14" s="273"/>
      <c r="E14" s="273"/>
      <c r="F14" s="273"/>
      <c r="G14" s="273"/>
      <c r="H14" s="273"/>
      <c r="I14" s="273"/>
      <c r="J14" s="273"/>
      <c r="K14" s="273"/>
      <c r="L14" s="273"/>
      <c r="M14" s="273"/>
      <c r="N14" s="273">
        <f t="shared" ref="N14:N42" si="0">SUM(B14:M14)</f>
        <v>0.43</v>
      </c>
      <c r="Q14" s="271" t="s">
        <v>164</v>
      </c>
      <c r="R14" s="212">
        <v>2955.7800000000038</v>
      </c>
      <c r="S14" s="22">
        <f t="shared" ref="S14:S23" si="1">R14/$R$26</f>
        <v>0.43821469077323411</v>
      </c>
    </row>
    <row r="15" spans="1:19" ht="15" customHeight="1" x14ac:dyDescent="0.35">
      <c r="A15" s="6" t="s">
        <v>8</v>
      </c>
      <c r="B15" s="12">
        <v>0.43</v>
      </c>
      <c r="C15" s="12"/>
      <c r="D15" s="12"/>
      <c r="E15" s="12"/>
      <c r="F15" s="12"/>
      <c r="G15" s="12"/>
      <c r="H15" s="12"/>
      <c r="I15" s="12"/>
      <c r="J15" s="12"/>
      <c r="K15" s="12"/>
      <c r="L15" s="12"/>
      <c r="M15" s="12"/>
      <c r="N15" s="12">
        <f t="shared" si="0"/>
        <v>0.43</v>
      </c>
      <c r="Q15" s="271" t="s">
        <v>165</v>
      </c>
      <c r="R15" s="212">
        <v>1953.6999999999996</v>
      </c>
      <c r="S15" s="22">
        <f t="shared" si="1"/>
        <v>0.2896494466312331</v>
      </c>
    </row>
    <row r="16" spans="1:19" ht="15" customHeight="1" x14ac:dyDescent="0.35">
      <c r="A16" s="272" t="s">
        <v>12</v>
      </c>
      <c r="B16" s="273">
        <v>0.39</v>
      </c>
      <c r="C16" s="273">
        <v>0.01</v>
      </c>
      <c r="D16" s="273">
        <v>0.09</v>
      </c>
      <c r="E16" s="273"/>
      <c r="F16" s="273"/>
      <c r="G16" s="273">
        <v>0.28000000000000003</v>
      </c>
      <c r="H16" s="273">
        <v>6.51</v>
      </c>
      <c r="I16" s="273"/>
      <c r="J16" s="273">
        <v>1.6500000000000001</v>
      </c>
      <c r="K16" s="273"/>
      <c r="L16" s="273"/>
      <c r="M16" s="273">
        <v>0.49</v>
      </c>
      <c r="N16" s="273">
        <f t="shared" si="0"/>
        <v>9.42</v>
      </c>
      <c r="Q16" s="271" t="s">
        <v>167</v>
      </c>
      <c r="R16" s="212">
        <v>750.74</v>
      </c>
      <c r="S16" s="22">
        <f t="shared" si="1"/>
        <v>0.11130236247322106</v>
      </c>
    </row>
    <row r="17" spans="1:19" ht="15" customHeight="1" x14ac:dyDescent="0.35">
      <c r="A17" s="6" t="s">
        <v>31</v>
      </c>
      <c r="B17" s="12"/>
      <c r="C17" s="12">
        <v>0.01</v>
      </c>
      <c r="D17" s="12"/>
      <c r="E17" s="12"/>
      <c r="F17" s="12"/>
      <c r="G17" s="12"/>
      <c r="H17" s="12"/>
      <c r="I17" s="12"/>
      <c r="J17" s="12">
        <v>1.32</v>
      </c>
      <c r="K17" s="12"/>
      <c r="L17" s="12"/>
      <c r="M17" s="12">
        <v>0.48</v>
      </c>
      <c r="N17" s="12">
        <f t="shared" si="0"/>
        <v>1.81</v>
      </c>
      <c r="Q17" s="271" t="s">
        <v>168</v>
      </c>
      <c r="R17" s="212">
        <v>611.5999999999998</v>
      </c>
      <c r="S17" s="22">
        <f t="shared" si="1"/>
        <v>9.0673901601915408E-2</v>
      </c>
    </row>
    <row r="18" spans="1:19" ht="15" customHeight="1" x14ac:dyDescent="0.35">
      <c r="A18" s="6" t="s">
        <v>32</v>
      </c>
      <c r="B18" s="12">
        <v>0.13</v>
      </c>
      <c r="C18" s="12"/>
      <c r="D18" s="12"/>
      <c r="E18" s="12"/>
      <c r="F18" s="12"/>
      <c r="G18" s="12"/>
      <c r="H18" s="12">
        <v>6.51</v>
      </c>
      <c r="I18" s="12"/>
      <c r="J18" s="12"/>
      <c r="K18" s="12"/>
      <c r="L18" s="12"/>
      <c r="M18" s="12">
        <v>0.01</v>
      </c>
      <c r="N18" s="12">
        <f t="shared" si="0"/>
        <v>6.6499999999999995</v>
      </c>
      <c r="Q18" s="271" t="s">
        <v>174</v>
      </c>
      <c r="R18" s="212">
        <v>43.639999999999993</v>
      </c>
      <c r="S18" s="384">
        <f t="shared" si="1"/>
        <v>6.4699298003721211E-3</v>
      </c>
    </row>
    <row r="19" spans="1:19" ht="15" customHeight="1" x14ac:dyDescent="0.35">
      <c r="A19" s="6" t="s">
        <v>33</v>
      </c>
      <c r="B19" s="12">
        <v>0.26</v>
      </c>
      <c r="C19" s="12"/>
      <c r="D19" s="12">
        <v>0.09</v>
      </c>
      <c r="E19" s="12"/>
      <c r="F19" s="12"/>
      <c r="G19" s="12">
        <v>0.28000000000000003</v>
      </c>
      <c r="H19" s="12"/>
      <c r="I19" s="12"/>
      <c r="J19" s="12">
        <v>0.33</v>
      </c>
      <c r="K19" s="12"/>
      <c r="L19" s="12"/>
      <c r="M19" s="12"/>
      <c r="N19" s="12">
        <f t="shared" si="0"/>
        <v>0.96</v>
      </c>
      <c r="Q19" s="271" t="s">
        <v>166</v>
      </c>
      <c r="R19" s="212">
        <v>13.99</v>
      </c>
      <c r="S19" s="384">
        <f t="shared" si="1"/>
        <v>2.0741136092393671E-3</v>
      </c>
    </row>
    <row r="20" spans="1:19" ht="15" customHeight="1" x14ac:dyDescent="0.35">
      <c r="A20" s="272" t="s">
        <v>13</v>
      </c>
      <c r="B20" s="273"/>
      <c r="C20" s="273"/>
      <c r="D20" s="273"/>
      <c r="E20" s="273"/>
      <c r="F20" s="273">
        <v>7.37</v>
      </c>
      <c r="G20" s="273">
        <v>3.5</v>
      </c>
      <c r="H20" s="273">
        <v>0.04</v>
      </c>
      <c r="I20" s="273"/>
      <c r="J20" s="273"/>
      <c r="K20" s="273"/>
      <c r="L20" s="273"/>
      <c r="M20" s="273"/>
      <c r="N20" s="273">
        <f t="shared" si="0"/>
        <v>10.91</v>
      </c>
      <c r="Q20" s="271" t="s">
        <v>169</v>
      </c>
      <c r="R20" s="212">
        <v>9.6499999999999986</v>
      </c>
      <c r="S20" s="384">
        <f t="shared" si="1"/>
        <v>1.4306787940786198E-3</v>
      </c>
    </row>
    <row r="21" spans="1:19" ht="15" customHeight="1" x14ac:dyDescent="0.35">
      <c r="A21" s="6" t="s">
        <v>61</v>
      </c>
      <c r="B21" s="12"/>
      <c r="C21" s="12"/>
      <c r="D21" s="12"/>
      <c r="E21" s="12"/>
      <c r="F21" s="12">
        <v>7.37</v>
      </c>
      <c r="G21" s="12">
        <v>3.5</v>
      </c>
      <c r="H21" s="12"/>
      <c r="I21" s="12"/>
      <c r="J21" s="12"/>
      <c r="K21" s="12"/>
      <c r="L21" s="12"/>
      <c r="M21" s="12"/>
      <c r="N21" s="12">
        <f t="shared" si="0"/>
        <v>10.870000000000001</v>
      </c>
      <c r="Q21" s="271" t="s">
        <v>37</v>
      </c>
      <c r="R21" s="212">
        <v>5.51</v>
      </c>
      <c r="S21" s="384">
        <f t="shared" si="1"/>
        <v>8.1689535288841412E-4</v>
      </c>
    </row>
    <row r="22" spans="1:19" ht="15" customHeight="1" x14ac:dyDescent="0.35">
      <c r="A22" s="6" t="s">
        <v>36</v>
      </c>
      <c r="B22" s="12"/>
      <c r="C22" s="12"/>
      <c r="D22" s="12"/>
      <c r="E22" s="12"/>
      <c r="F22" s="12"/>
      <c r="G22" s="12"/>
      <c r="H22" s="12">
        <v>0.04</v>
      </c>
      <c r="I22" s="12"/>
      <c r="J22" s="12"/>
      <c r="K22" s="12"/>
      <c r="L22" s="12"/>
      <c r="M22" s="12"/>
      <c r="N22" s="12">
        <f t="shared" si="0"/>
        <v>0.04</v>
      </c>
      <c r="Q22" s="271" t="s">
        <v>171</v>
      </c>
      <c r="R22" s="212">
        <v>1.1299999999999999</v>
      </c>
      <c r="S22" s="384">
        <f t="shared" si="1"/>
        <v>1.675302629335586E-4</v>
      </c>
    </row>
    <row r="23" spans="1:19" ht="15" customHeight="1" x14ac:dyDescent="0.35">
      <c r="A23" s="272" t="s">
        <v>14</v>
      </c>
      <c r="B23" s="273"/>
      <c r="C23" s="273">
        <v>0.27</v>
      </c>
      <c r="D23" s="273">
        <v>9.5599999999999987</v>
      </c>
      <c r="E23" s="273">
        <v>1.1299999999999999</v>
      </c>
      <c r="F23" s="273"/>
      <c r="G23" s="273">
        <v>2949.5800000000036</v>
      </c>
      <c r="H23" s="273">
        <v>1947.1499999999996</v>
      </c>
      <c r="I23" s="273">
        <v>750.74</v>
      </c>
      <c r="J23" s="273">
        <v>586.3499999999998</v>
      </c>
      <c r="K23" s="273">
        <v>43.489999999999995</v>
      </c>
      <c r="L23" s="273"/>
      <c r="M23" s="273">
        <v>396.9</v>
      </c>
      <c r="N23" s="273">
        <f t="shared" si="0"/>
        <v>6685.1700000000019</v>
      </c>
      <c r="Q23" s="271" t="s">
        <v>170</v>
      </c>
      <c r="R23" s="212">
        <v>0.30000000000000004</v>
      </c>
      <c r="S23" s="386">
        <f t="shared" si="1"/>
        <v>4.4477060955812027E-5</v>
      </c>
    </row>
    <row r="24" spans="1:19" ht="15" customHeight="1" x14ac:dyDescent="0.35">
      <c r="A24" s="6" t="s">
        <v>37</v>
      </c>
      <c r="B24" s="12"/>
      <c r="C24" s="12"/>
      <c r="D24" s="12"/>
      <c r="E24" s="12">
        <v>1.1299999999999999</v>
      </c>
      <c r="F24" s="12"/>
      <c r="G24" s="12">
        <v>30.290000000000006</v>
      </c>
      <c r="H24" s="12">
        <v>1.53</v>
      </c>
      <c r="I24" s="12"/>
      <c r="J24" s="12">
        <v>1.31</v>
      </c>
      <c r="K24" s="12"/>
      <c r="L24" s="12"/>
      <c r="M24" s="12"/>
      <c r="N24" s="12">
        <f t="shared" si="0"/>
        <v>34.260000000000005</v>
      </c>
      <c r="Q24" s="271" t="s">
        <v>122</v>
      </c>
      <c r="R24" s="212"/>
      <c r="S24" s="22">
        <f t="shared" ref="S24:S26" si="2">R24/$R$26</f>
        <v>0</v>
      </c>
    </row>
    <row r="25" spans="1:19" ht="15" customHeight="1" x14ac:dyDescent="0.35">
      <c r="A25" s="6" t="s">
        <v>38</v>
      </c>
      <c r="B25" s="12"/>
      <c r="C25" s="12"/>
      <c r="D25" s="12"/>
      <c r="E25" s="12"/>
      <c r="F25" s="12"/>
      <c r="G25" s="12">
        <v>304.39999999999992</v>
      </c>
      <c r="H25" s="12">
        <v>76.559999999999988</v>
      </c>
      <c r="I25" s="12">
        <v>4.2699999999999996</v>
      </c>
      <c r="J25" s="12">
        <v>6.53</v>
      </c>
      <c r="K25" s="12"/>
      <c r="L25" s="12"/>
      <c r="M25" s="12"/>
      <c r="N25" s="12">
        <f t="shared" si="0"/>
        <v>391.75999999999988</v>
      </c>
      <c r="Q25" s="271" t="s">
        <v>123</v>
      </c>
      <c r="R25" s="212">
        <v>399.01</v>
      </c>
      <c r="S25" s="22">
        <f t="shared" si="2"/>
        <v>5.9155973639928514E-2</v>
      </c>
    </row>
    <row r="26" spans="1:19" x14ac:dyDescent="0.35">
      <c r="A26" s="6" t="s">
        <v>39</v>
      </c>
      <c r="B26" s="12"/>
      <c r="C26" s="12"/>
      <c r="D26" s="12"/>
      <c r="E26" s="12"/>
      <c r="F26" s="12"/>
      <c r="G26" s="12">
        <v>2.5000000000000004</v>
      </c>
      <c r="H26" s="12"/>
      <c r="I26" s="12"/>
      <c r="J26" s="12">
        <v>0.35</v>
      </c>
      <c r="K26" s="12"/>
      <c r="L26" s="12"/>
      <c r="M26" s="12">
        <v>0.06</v>
      </c>
      <c r="N26" s="12">
        <f t="shared" si="0"/>
        <v>2.9100000000000006</v>
      </c>
      <c r="Q26" s="268" t="s">
        <v>130</v>
      </c>
      <c r="R26" s="269">
        <v>6745.0500000000029</v>
      </c>
      <c r="S26" s="270">
        <f t="shared" si="2"/>
        <v>1</v>
      </c>
    </row>
    <row r="27" spans="1:19" x14ac:dyDescent="0.35">
      <c r="A27" s="6" t="s">
        <v>40</v>
      </c>
      <c r="B27" s="12"/>
      <c r="C27" s="12">
        <v>0.27</v>
      </c>
      <c r="D27" s="12">
        <v>9.5599999999999987</v>
      </c>
      <c r="E27" s="12"/>
      <c r="F27" s="12"/>
      <c r="G27" s="12">
        <v>2612.3900000000035</v>
      </c>
      <c r="H27" s="12">
        <v>1869.0599999999997</v>
      </c>
      <c r="I27" s="12">
        <v>746.47</v>
      </c>
      <c r="J27" s="12">
        <v>578.15999999999974</v>
      </c>
      <c r="K27" s="12">
        <v>43.489999999999995</v>
      </c>
      <c r="L27" s="12"/>
      <c r="M27" s="12">
        <v>396.84</v>
      </c>
      <c r="N27" s="12">
        <f t="shared" si="0"/>
        <v>6256.2400000000034</v>
      </c>
    </row>
    <row r="28" spans="1:19" x14ac:dyDescent="0.35">
      <c r="A28" s="272" t="s">
        <v>15</v>
      </c>
      <c r="B28" s="273">
        <f>SUM(B29:B30)</f>
        <v>0.53</v>
      </c>
      <c r="C28" s="273"/>
      <c r="D28" s="273"/>
      <c r="E28" s="273"/>
      <c r="F28" s="273">
        <f t="shared" ref="F28:G28" si="3">SUM(F29:F30)</f>
        <v>6.41</v>
      </c>
      <c r="G28" s="273">
        <f t="shared" si="3"/>
        <v>1.98</v>
      </c>
      <c r="H28" s="273"/>
      <c r="I28" s="273"/>
      <c r="J28" s="273"/>
      <c r="K28" s="273"/>
      <c r="L28" s="273"/>
      <c r="M28" s="273">
        <v>0.35</v>
      </c>
      <c r="N28" s="273">
        <f t="shared" si="0"/>
        <v>9.27</v>
      </c>
    </row>
    <row r="29" spans="1:19" x14ac:dyDescent="0.35">
      <c r="A29" s="6" t="s">
        <v>41</v>
      </c>
      <c r="B29" s="12"/>
      <c r="C29" s="12"/>
      <c r="D29" s="12"/>
      <c r="E29" s="12"/>
      <c r="F29" s="12">
        <v>6.41</v>
      </c>
      <c r="G29" s="12">
        <v>1.98</v>
      </c>
      <c r="H29" s="12"/>
      <c r="I29" s="12"/>
      <c r="J29" s="12"/>
      <c r="K29" s="12"/>
      <c r="L29" s="12"/>
      <c r="M29" s="12">
        <v>0.35</v>
      </c>
      <c r="N29" s="12">
        <f t="shared" si="0"/>
        <v>8.74</v>
      </c>
    </row>
    <row r="30" spans="1:19" x14ac:dyDescent="0.35">
      <c r="A30" s="6" t="s">
        <v>45</v>
      </c>
      <c r="B30" s="12">
        <v>0.53</v>
      </c>
      <c r="C30" s="12"/>
      <c r="D30" s="12"/>
      <c r="E30" s="12"/>
      <c r="F30" s="12"/>
      <c r="G30" s="12"/>
      <c r="H30" s="12"/>
      <c r="I30" s="12"/>
      <c r="J30" s="12"/>
      <c r="K30" s="12"/>
      <c r="L30" s="12"/>
      <c r="M30" s="12"/>
      <c r="N30" s="12">
        <f t="shared" si="0"/>
        <v>0.53</v>
      </c>
    </row>
    <row r="31" spans="1:19" x14ac:dyDescent="0.35">
      <c r="A31" s="272" t="s">
        <v>16</v>
      </c>
      <c r="B31" s="273">
        <v>2.4</v>
      </c>
      <c r="C31" s="273"/>
      <c r="D31" s="273"/>
      <c r="E31" s="273"/>
      <c r="F31" s="273"/>
      <c r="G31" s="273">
        <v>0.09</v>
      </c>
      <c r="H31" s="273"/>
      <c r="I31" s="273"/>
      <c r="J31" s="273">
        <v>0.6</v>
      </c>
      <c r="K31" s="273"/>
      <c r="L31" s="273"/>
      <c r="M31" s="273">
        <v>0.76</v>
      </c>
      <c r="N31" s="273">
        <f t="shared" si="0"/>
        <v>3.8499999999999996</v>
      </c>
    </row>
    <row r="32" spans="1:19" x14ac:dyDescent="0.35">
      <c r="A32" s="6" t="s">
        <v>48</v>
      </c>
      <c r="B32" s="12"/>
      <c r="C32" s="12"/>
      <c r="D32" s="12"/>
      <c r="E32" s="12"/>
      <c r="F32" s="12"/>
      <c r="G32" s="12"/>
      <c r="H32" s="12"/>
      <c r="I32" s="12"/>
      <c r="J32" s="12"/>
      <c r="K32" s="12"/>
      <c r="L32" s="12"/>
      <c r="M32" s="12"/>
      <c r="N32" s="12">
        <f t="shared" si="0"/>
        <v>0</v>
      </c>
    </row>
    <row r="33" spans="1:19" x14ac:dyDescent="0.35">
      <c r="A33" s="6" t="s">
        <v>49</v>
      </c>
      <c r="B33" s="12">
        <v>2.39</v>
      </c>
      <c r="C33" s="12"/>
      <c r="D33" s="12"/>
      <c r="E33" s="12"/>
      <c r="F33" s="12"/>
      <c r="G33" s="12"/>
      <c r="H33" s="12"/>
      <c r="I33" s="12"/>
      <c r="J33" s="12">
        <v>0.6</v>
      </c>
      <c r="K33" s="12"/>
      <c r="L33" s="12"/>
      <c r="M33" s="12"/>
      <c r="N33" s="12">
        <f t="shared" si="0"/>
        <v>2.99</v>
      </c>
    </row>
    <row r="34" spans="1:19" x14ac:dyDescent="0.35">
      <c r="A34" s="6" t="s">
        <v>53</v>
      </c>
      <c r="B34" s="12">
        <v>0.01</v>
      </c>
      <c r="C34" s="12"/>
      <c r="D34" s="12"/>
      <c r="E34" s="12"/>
      <c r="F34" s="12"/>
      <c r="G34" s="12"/>
      <c r="H34" s="12"/>
      <c r="I34" s="12"/>
      <c r="J34" s="12"/>
      <c r="K34" s="12"/>
      <c r="L34" s="12"/>
      <c r="M34" s="12">
        <v>0.76</v>
      </c>
      <c r="N34" s="12">
        <f t="shared" si="0"/>
        <v>0.77</v>
      </c>
    </row>
    <row r="35" spans="1:19" x14ac:dyDescent="0.35">
      <c r="A35" s="6" t="s">
        <v>54</v>
      </c>
      <c r="B35" s="12"/>
      <c r="C35" s="12"/>
      <c r="D35" s="12"/>
      <c r="E35" s="12"/>
      <c r="F35" s="12"/>
      <c r="G35" s="12">
        <v>0.09</v>
      </c>
      <c r="H35" s="12"/>
      <c r="I35" s="12"/>
      <c r="J35" s="12"/>
      <c r="K35" s="12"/>
      <c r="L35" s="12"/>
      <c r="M35" s="12"/>
      <c r="N35" s="12">
        <f t="shared" si="0"/>
        <v>0.09</v>
      </c>
    </row>
    <row r="36" spans="1:19" x14ac:dyDescent="0.35">
      <c r="A36" s="272" t="s">
        <v>17</v>
      </c>
      <c r="B36" s="273">
        <v>1.31</v>
      </c>
      <c r="C36" s="273">
        <v>0.02</v>
      </c>
      <c r="D36" s="273"/>
      <c r="E36" s="273"/>
      <c r="F36" s="273">
        <v>0.21000000000000002</v>
      </c>
      <c r="G36" s="273">
        <v>0.01</v>
      </c>
      <c r="H36" s="273"/>
      <c r="I36" s="273"/>
      <c r="J36" s="273">
        <v>23</v>
      </c>
      <c r="K36" s="273"/>
      <c r="L36" s="273"/>
      <c r="M36" s="273"/>
      <c r="N36" s="273">
        <f t="shared" si="0"/>
        <v>24.55</v>
      </c>
    </row>
    <row r="37" spans="1:19" x14ac:dyDescent="0.35">
      <c r="A37" s="6" t="s">
        <v>56</v>
      </c>
      <c r="B37" s="12">
        <v>1.31</v>
      </c>
      <c r="C37" s="12">
        <v>0.02</v>
      </c>
      <c r="D37" s="12"/>
      <c r="E37" s="12"/>
      <c r="F37" s="12">
        <v>0.21000000000000002</v>
      </c>
      <c r="G37" s="12">
        <v>0.01</v>
      </c>
      <c r="H37" s="12"/>
      <c r="I37" s="12"/>
      <c r="J37" s="12">
        <v>23</v>
      </c>
      <c r="K37" s="12"/>
      <c r="L37" s="12"/>
      <c r="M37" s="12"/>
      <c r="N37" s="12">
        <f t="shared" si="0"/>
        <v>24.55</v>
      </c>
    </row>
    <row r="38" spans="1:19" x14ac:dyDescent="0.35">
      <c r="A38" s="272" t="s">
        <v>20</v>
      </c>
      <c r="B38" s="273">
        <v>0.45</v>
      </c>
      <c r="C38" s="273"/>
      <c r="D38" s="273"/>
      <c r="E38" s="273"/>
      <c r="F38" s="273"/>
      <c r="G38" s="273">
        <v>0.34</v>
      </c>
      <c r="H38" s="273"/>
      <c r="I38" s="273"/>
      <c r="J38" s="273"/>
      <c r="K38" s="273">
        <v>0.15</v>
      </c>
      <c r="L38" s="273"/>
      <c r="M38" s="273">
        <v>0.3</v>
      </c>
      <c r="N38" s="273">
        <f t="shared" si="0"/>
        <v>1.24</v>
      </c>
    </row>
    <row r="39" spans="1:19" x14ac:dyDescent="0.35">
      <c r="A39" s="6" t="s">
        <v>20</v>
      </c>
      <c r="B39" s="12">
        <v>0.45</v>
      </c>
      <c r="C39" s="12"/>
      <c r="D39" s="12"/>
      <c r="E39" s="12"/>
      <c r="F39" s="12"/>
      <c r="G39" s="12">
        <v>0.34</v>
      </c>
      <c r="H39" s="12"/>
      <c r="I39" s="12"/>
      <c r="J39" s="12"/>
      <c r="K39" s="12">
        <v>0.15</v>
      </c>
      <c r="L39" s="12"/>
      <c r="M39" s="12">
        <v>0.3</v>
      </c>
      <c r="N39" s="12">
        <f t="shared" si="0"/>
        <v>1.24</v>
      </c>
    </row>
    <row r="40" spans="1:19" x14ac:dyDescent="0.35">
      <c r="A40" s="272" t="s">
        <v>23</v>
      </c>
      <c r="B40" s="273"/>
      <c r="C40" s="273"/>
      <c r="D40" s="273"/>
      <c r="E40" s="273"/>
      <c r="F40" s="273"/>
      <c r="G40" s="273"/>
      <c r="H40" s="273"/>
      <c r="I40" s="273"/>
      <c r="J40" s="273"/>
      <c r="K40" s="273"/>
      <c r="L40" s="273"/>
      <c r="M40" s="273">
        <v>0.21</v>
      </c>
      <c r="N40" s="273">
        <f t="shared" si="0"/>
        <v>0.21</v>
      </c>
    </row>
    <row r="41" spans="1:19" x14ac:dyDescent="0.35">
      <c r="A41" s="6" t="s">
        <v>23</v>
      </c>
      <c r="B41" s="12"/>
      <c r="C41" s="12"/>
      <c r="D41" s="12"/>
      <c r="E41" s="12"/>
      <c r="F41" s="12"/>
      <c r="G41" s="12"/>
      <c r="H41" s="12"/>
      <c r="I41" s="12"/>
      <c r="J41" s="12"/>
      <c r="K41" s="12"/>
      <c r="L41" s="12"/>
      <c r="M41" s="12">
        <v>0.21</v>
      </c>
      <c r="N41" s="12">
        <f t="shared" si="0"/>
        <v>0.21</v>
      </c>
    </row>
    <row r="42" spans="1:19" x14ac:dyDescent="0.35">
      <c r="A42" s="274" t="s">
        <v>25</v>
      </c>
      <c r="B42" s="275">
        <f t="shared" ref="B42:M42" si="4">SUM(B40,B38,B36,B31,B28,B23,B20,B16,B14)</f>
        <v>5.51</v>
      </c>
      <c r="C42" s="275">
        <f t="shared" si="4"/>
        <v>0.30000000000000004</v>
      </c>
      <c r="D42" s="275">
        <f t="shared" si="4"/>
        <v>9.6499999999999986</v>
      </c>
      <c r="E42" s="275">
        <f t="shared" si="4"/>
        <v>1.1299999999999999</v>
      </c>
      <c r="F42" s="275">
        <f t="shared" si="4"/>
        <v>13.99</v>
      </c>
      <c r="G42" s="275">
        <f t="shared" si="4"/>
        <v>2955.7800000000038</v>
      </c>
      <c r="H42" s="275">
        <f t="shared" si="4"/>
        <v>1953.6999999999996</v>
      </c>
      <c r="I42" s="275">
        <f t="shared" si="4"/>
        <v>750.74</v>
      </c>
      <c r="J42" s="275">
        <f t="shared" si="4"/>
        <v>611.5999999999998</v>
      </c>
      <c r="K42" s="275">
        <f t="shared" si="4"/>
        <v>43.639999999999993</v>
      </c>
      <c r="L42" s="275">
        <f t="shared" si="4"/>
        <v>0</v>
      </c>
      <c r="M42" s="275">
        <f t="shared" si="4"/>
        <v>399.01</v>
      </c>
      <c r="N42" s="275">
        <f t="shared" si="0"/>
        <v>6745.0500000000029</v>
      </c>
    </row>
    <row r="45" spans="1:19" ht="18.5" x14ac:dyDescent="0.45">
      <c r="A45" s="223"/>
    </row>
    <row r="46" spans="1:19" ht="15.5" x14ac:dyDescent="0.35">
      <c r="A46" s="280" t="s">
        <v>98</v>
      </c>
    </row>
    <row r="47" spans="1:19" ht="15" customHeight="1" x14ac:dyDescent="0.35">
      <c r="A47" s="721" t="s">
        <v>88</v>
      </c>
      <c r="B47" s="718" t="s">
        <v>113</v>
      </c>
      <c r="C47" s="715"/>
      <c r="D47" s="715"/>
      <c r="E47" s="715"/>
      <c r="F47" s="715"/>
      <c r="G47" s="715"/>
      <c r="H47" s="715"/>
      <c r="I47" s="715"/>
      <c r="J47" s="715"/>
      <c r="K47" s="715"/>
      <c r="L47" s="715"/>
      <c r="M47" s="715"/>
      <c r="N47" s="715"/>
    </row>
    <row r="48" spans="1:19" ht="30" customHeight="1" x14ac:dyDescent="0.35">
      <c r="A48" s="717"/>
      <c r="B48" s="278" t="s">
        <v>37</v>
      </c>
      <c r="C48" s="267" t="s">
        <v>170</v>
      </c>
      <c r="D48" s="282" t="s">
        <v>169</v>
      </c>
      <c r="E48" s="267" t="s">
        <v>171</v>
      </c>
      <c r="F48" s="267" t="s">
        <v>166</v>
      </c>
      <c r="G48" s="267" t="s">
        <v>164</v>
      </c>
      <c r="H48" s="267" t="s">
        <v>165</v>
      </c>
      <c r="I48" s="267" t="s">
        <v>167</v>
      </c>
      <c r="J48" s="267" t="s">
        <v>168</v>
      </c>
      <c r="K48" s="267" t="s">
        <v>174</v>
      </c>
      <c r="L48" s="267" t="s">
        <v>122</v>
      </c>
      <c r="M48" s="267" t="s">
        <v>123</v>
      </c>
      <c r="N48" s="267" t="s">
        <v>124</v>
      </c>
      <c r="Q48" s="727" t="s">
        <v>204</v>
      </c>
      <c r="R48" s="728"/>
      <c r="S48" s="729"/>
    </row>
    <row r="49" spans="1:19" x14ac:dyDescent="0.35">
      <c r="A49" s="272" t="s">
        <v>5</v>
      </c>
      <c r="B49" s="273"/>
      <c r="C49" s="273"/>
      <c r="D49" s="273"/>
      <c r="E49" s="273"/>
      <c r="F49" s="273"/>
      <c r="G49" s="273"/>
      <c r="H49" s="273"/>
      <c r="I49" s="273"/>
      <c r="J49" s="273"/>
      <c r="K49" s="273"/>
      <c r="L49" s="273"/>
      <c r="M49" s="273"/>
      <c r="N49" s="273">
        <f t="shared" ref="N49:N77" si="5">SUM(B49:M49)</f>
        <v>0</v>
      </c>
      <c r="Q49" s="271" t="s">
        <v>164</v>
      </c>
      <c r="R49" s="212">
        <v>90.960000000000022</v>
      </c>
      <c r="S49" s="22">
        <f t="shared" ref="S49:S58" si="6">R49/$R$61</f>
        <v>0.36509592999919732</v>
      </c>
    </row>
    <row r="50" spans="1:19" x14ac:dyDescent="0.35">
      <c r="A50" s="6" t="s">
        <v>8</v>
      </c>
      <c r="B50" s="12"/>
      <c r="C50" s="12"/>
      <c r="D50" s="12"/>
      <c r="E50" s="12"/>
      <c r="F50" s="12"/>
      <c r="G50" s="12"/>
      <c r="H50" s="12"/>
      <c r="I50" s="12"/>
      <c r="J50" s="12"/>
      <c r="K50" s="12"/>
      <c r="L50" s="12"/>
      <c r="M50" s="12"/>
      <c r="N50" s="12">
        <f t="shared" si="5"/>
        <v>0</v>
      </c>
      <c r="Q50" s="271" t="s">
        <v>168</v>
      </c>
      <c r="R50" s="212">
        <v>52.030000000000008</v>
      </c>
      <c r="S50" s="22">
        <f t="shared" si="6"/>
        <v>0.2088384041101389</v>
      </c>
    </row>
    <row r="51" spans="1:19" x14ac:dyDescent="0.35">
      <c r="A51" s="272" t="s">
        <v>12</v>
      </c>
      <c r="B51" s="273">
        <v>0.13</v>
      </c>
      <c r="C51" s="273"/>
      <c r="D51" s="273"/>
      <c r="E51" s="273"/>
      <c r="F51" s="273"/>
      <c r="G51" s="273"/>
      <c r="H51" s="273"/>
      <c r="I51" s="273"/>
      <c r="J51" s="273"/>
      <c r="K51" s="273"/>
      <c r="L51" s="273"/>
      <c r="M51" s="273"/>
      <c r="N51" s="273">
        <f t="shared" si="5"/>
        <v>0.13</v>
      </c>
      <c r="Q51" s="271" t="s">
        <v>165</v>
      </c>
      <c r="R51" s="212">
        <v>35.42</v>
      </c>
      <c r="S51" s="22">
        <f t="shared" si="6"/>
        <v>0.142169061571807</v>
      </c>
    </row>
    <row r="52" spans="1:19" x14ac:dyDescent="0.35">
      <c r="A52" s="6" t="s">
        <v>31</v>
      </c>
      <c r="B52" s="12"/>
      <c r="C52" s="12"/>
      <c r="D52" s="12"/>
      <c r="E52" s="12"/>
      <c r="F52" s="12"/>
      <c r="G52" s="12"/>
      <c r="H52" s="12"/>
      <c r="I52" s="12"/>
      <c r="J52" s="12"/>
      <c r="K52" s="12"/>
      <c r="L52" s="12"/>
      <c r="M52" s="12"/>
      <c r="N52" s="12">
        <f t="shared" si="5"/>
        <v>0</v>
      </c>
      <c r="Q52" s="271" t="s">
        <v>167</v>
      </c>
      <c r="R52" s="212">
        <v>23.75</v>
      </c>
      <c r="S52" s="22">
        <f t="shared" si="6"/>
        <v>9.5327928072569637E-2</v>
      </c>
    </row>
    <row r="53" spans="1:19" x14ac:dyDescent="0.35">
      <c r="A53" s="6" t="s">
        <v>32</v>
      </c>
      <c r="B53" s="12">
        <v>0.13</v>
      </c>
      <c r="C53" s="12"/>
      <c r="D53" s="12"/>
      <c r="E53" s="12"/>
      <c r="F53" s="12"/>
      <c r="G53" s="12"/>
      <c r="H53" s="12"/>
      <c r="I53" s="12"/>
      <c r="J53" s="12"/>
      <c r="K53" s="12"/>
      <c r="L53" s="12"/>
      <c r="M53" s="12"/>
      <c r="N53" s="12">
        <f t="shared" si="5"/>
        <v>0.13</v>
      </c>
      <c r="Q53" s="271" t="s">
        <v>174</v>
      </c>
      <c r="R53" s="212">
        <v>9.379999999999999</v>
      </c>
      <c r="S53" s="22">
        <f t="shared" si="6"/>
        <v>3.7649514329292762E-2</v>
      </c>
    </row>
    <row r="54" spans="1:19" x14ac:dyDescent="0.35">
      <c r="A54" s="6" t="s">
        <v>33</v>
      </c>
      <c r="B54" s="12"/>
      <c r="C54" s="12"/>
      <c r="D54" s="12"/>
      <c r="E54" s="12"/>
      <c r="F54" s="12"/>
      <c r="G54" s="12"/>
      <c r="H54" s="12"/>
      <c r="I54" s="12"/>
      <c r="J54" s="12"/>
      <c r="K54" s="12"/>
      <c r="L54" s="12"/>
      <c r="M54" s="12"/>
      <c r="N54" s="12">
        <f t="shared" si="5"/>
        <v>0</v>
      </c>
      <c r="Q54" s="271" t="s">
        <v>171</v>
      </c>
      <c r="R54" s="212">
        <v>1.1299999999999999</v>
      </c>
      <c r="S54" s="384">
        <f t="shared" si="6"/>
        <v>4.5356024725054182E-3</v>
      </c>
    </row>
    <row r="55" spans="1:19" x14ac:dyDescent="0.35">
      <c r="A55" s="272" t="s">
        <v>13</v>
      </c>
      <c r="B55" s="273"/>
      <c r="C55" s="273"/>
      <c r="D55" s="273"/>
      <c r="E55" s="273"/>
      <c r="F55" s="273"/>
      <c r="G55" s="273"/>
      <c r="H55" s="273"/>
      <c r="I55" s="273"/>
      <c r="J55" s="273"/>
      <c r="K55" s="273"/>
      <c r="L55" s="273"/>
      <c r="M55" s="273"/>
      <c r="N55" s="273">
        <f t="shared" si="5"/>
        <v>0</v>
      </c>
      <c r="Q55" s="271" t="s">
        <v>166</v>
      </c>
      <c r="R55" s="212">
        <v>0.21000000000000002</v>
      </c>
      <c r="S55" s="384">
        <f t="shared" si="6"/>
        <v>8.4289957453640525E-4</v>
      </c>
    </row>
    <row r="56" spans="1:19" x14ac:dyDescent="0.35">
      <c r="A56" s="6" t="s">
        <v>61</v>
      </c>
      <c r="B56" s="12"/>
      <c r="C56" s="12"/>
      <c r="D56" s="12"/>
      <c r="E56" s="12"/>
      <c r="F56" s="12"/>
      <c r="G56" s="12"/>
      <c r="H56" s="12"/>
      <c r="I56" s="12"/>
      <c r="J56" s="12"/>
      <c r="K56" s="12"/>
      <c r="L56" s="12"/>
      <c r="M56" s="12"/>
      <c r="N56" s="12">
        <f t="shared" si="5"/>
        <v>0</v>
      </c>
      <c r="Q56" s="271" t="s">
        <v>37</v>
      </c>
      <c r="R56" s="212">
        <v>0.14000000000000001</v>
      </c>
      <c r="S56" s="384">
        <f t="shared" si="6"/>
        <v>5.6193304969093683E-4</v>
      </c>
    </row>
    <row r="57" spans="1:19" x14ac:dyDescent="0.35">
      <c r="A57" s="6" t="s">
        <v>36</v>
      </c>
      <c r="B57" s="12"/>
      <c r="C57" s="12"/>
      <c r="D57" s="12"/>
      <c r="E57" s="12"/>
      <c r="F57" s="12"/>
      <c r="G57" s="12"/>
      <c r="H57" s="12"/>
      <c r="I57" s="12"/>
      <c r="J57" s="12"/>
      <c r="K57" s="12"/>
      <c r="L57" s="12"/>
      <c r="M57" s="12"/>
      <c r="N57" s="12">
        <f t="shared" si="5"/>
        <v>0</v>
      </c>
      <c r="Q57" s="271" t="s">
        <v>170</v>
      </c>
      <c r="R57" s="212">
        <v>0.02</v>
      </c>
      <c r="S57" s="22">
        <f t="shared" si="6"/>
        <v>8.0276149955848115E-5</v>
      </c>
    </row>
    <row r="58" spans="1:19" x14ac:dyDescent="0.35">
      <c r="A58" s="272" t="s">
        <v>14</v>
      </c>
      <c r="B58" s="273"/>
      <c r="C58" s="273"/>
      <c r="D58" s="273"/>
      <c r="E58" s="273">
        <v>1.1299999999999999</v>
      </c>
      <c r="F58" s="273"/>
      <c r="G58" s="273">
        <v>90.950000000000017</v>
      </c>
      <c r="H58" s="273">
        <v>35.42</v>
      </c>
      <c r="I58" s="273">
        <v>23.75</v>
      </c>
      <c r="J58" s="273">
        <v>51.430000000000007</v>
      </c>
      <c r="K58" s="273">
        <v>9.379999999999999</v>
      </c>
      <c r="L58" s="273"/>
      <c r="M58" s="273">
        <v>34.99</v>
      </c>
      <c r="N58" s="273">
        <f t="shared" si="5"/>
        <v>247.05</v>
      </c>
      <c r="Q58" s="271" t="s">
        <v>169</v>
      </c>
      <c r="R58" s="212"/>
      <c r="S58" s="22">
        <f t="shared" si="6"/>
        <v>0</v>
      </c>
    </row>
    <row r="59" spans="1:19" x14ac:dyDescent="0.35">
      <c r="A59" s="6" t="s">
        <v>37</v>
      </c>
      <c r="B59" s="12"/>
      <c r="C59" s="12"/>
      <c r="D59" s="12"/>
      <c r="E59" s="12">
        <v>1.1299999999999999</v>
      </c>
      <c r="F59" s="12"/>
      <c r="G59" s="12">
        <v>17.98</v>
      </c>
      <c r="H59" s="12"/>
      <c r="I59" s="12"/>
      <c r="J59" s="12">
        <v>1.31</v>
      </c>
      <c r="K59" s="12"/>
      <c r="L59" s="12"/>
      <c r="M59" s="12"/>
      <c r="N59" s="12">
        <f t="shared" si="5"/>
        <v>20.419999999999998</v>
      </c>
      <c r="Q59" s="271" t="s">
        <v>122</v>
      </c>
      <c r="R59" s="212"/>
      <c r="S59" s="22">
        <f t="shared" ref="S59:S61" si="7">R59/$R$61</f>
        <v>0</v>
      </c>
    </row>
    <row r="60" spans="1:19" x14ac:dyDescent="0.35">
      <c r="A60" s="6" t="s">
        <v>38</v>
      </c>
      <c r="B60" s="12"/>
      <c r="C60" s="12"/>
      <c r="D60" s="12"/>
      <c r="E60" s="12"/>
      <c r="F60" s="12"/>
      <c r="G60" s="12"/>
      <c r="H60" s="12"/>
      <c r="I60" s="12"/>
      <c r="J60" s="12"/>
      <c r="K60" s="12"/>
      <c r="L60" s="12"/>
      <c r="M60" s="12"/>
      <c r="N60" s="12">
        <f t="shared" si="5"/>
        <v>0</v>
      </c>
      <c r="Q60" s="271" t="s">
        <v>123</v>
      </c>
      <c r="R60" s="212">
        <v>36.1</v>
      </c>
      <c r="S60" s="22">
        <f t="shared" si="7"/>
        <v>0.14489845067030585</v>
      </c>
    </row>
    <row r="61" spans="1:19" x14ac:dyDescent="0.35">
      <c r="A61" s="6" t="s">
        <v>39</v>
      </c>
      <c r="B61" s="12"/>
      <c r="C61" s="12"/>
      <c r="D61" s="12"/>
      <c r="E61" s="12"/>
      <c r="F61" s="12"/>
      <c r="G61" s="12">
        <v>0.01</v>
      </c>
      <c r="H61" s="12"/>
      <c r="I61" s="12"/>
      <c r="J61" s="12"/>
      <c r="K61" s="12"/>
      <c r="L61" s="12"/>
      <c r="M61" s="12">
        <v>0.02</v>
      </c>
      <c r="N61" s="12">
        <f t="shared" si="5"/>
        <v>0.03</v>
      </c>
      <c r="Q61" s="268" t="s">
        <v>130</v>
      </c>
      <c r="R61" s="269">
        <v>249.14000000000001</v>
      </c>
      <c r="S61" s="270">
        <f t="shared" si="7"/>
        <v>1</v>
      </c>
    </row>
    <row r="62" spans="1:19" x14ac:dyDescent="0.35">
      <c r="A62" s="6" t="s">
        <v>40</v>
      </c>
      <c r="B62" s="12"/>
      <c r="C62" s="12"/>
      <c r="D62" s="12"/>
      <c r="E62" s="12"/>
      <c r="F62" s="12"/>
      <c r="G62" s="12">
        <v>72.960000000000008</v>
      </c>
      <c r="H62" s="12">
        <v>35.42</v>
      </c>
      <c r="I62" s="12">
        <v>23.75</v>
      </c>
      <c r="J62" s="12">
        <v>50.120000000000005</v>
      </c>
      <c r="K62" s="12">
        <v>9.379999999999999</v>
      </c>
      <c r="L62" s="12"/>
      <c r="M62" s="12">
        <v>34.97</v>
      </c>
      <c r="N62" s="12">
        <f t="shared" si="5"/>
        <v>226.6</v>
      </c>
    </row>
    <row r="63" spans="1:19" x14ac:dyDescent="0.35">
      <c r="A63" s="272" t="s">
        <v>15</v>
      </c>
      <c r="B63" s="273"/>
      <c r="C63" s="273"/>
      <c r="D63" s="273"/>
      <c r="E63" s="273"/>
      <c r="F63" s="273"/>
      <c r="G63" s="273"/>
      <c r="H63" s="273"/>
      <c r="I63" s="273"/>
      <c r="J63" s="273"/>
      <c r="K63" s="273"/>
      <c r="L63" s="273"/>
      <c r="M63" s="273">
        <v>0.35</v>
      </c>
      <c r="N63" s="273">
        <f t="shared" si="5"/>
        <v>0.35</v>
      </c>
    </row>
    <row r="64" spans="1:19" x14ac:dyDescent="0.35">
      <c r="A64" s="6" t="s">
        <v>41</v>
      </c>
      <c r="B64" s="12"/>
      <c r="C64" s="12"/>
      <c r="D64" s="12"/>
      <c r="E64" s="12"/>
      <c r="F64" s="12"/>
      <c r="G64" s="12"/>
      <c r="H64" s="12"/>
      <c r="I64" s="12"/>
      <c r="J64" s="12"/>
      <c r="K64" s="12"/>
      <c r="L64" s="12"/>
      <c r="M64" s="12">
        <v>0.35</v>
      </c>
      <c r="N64" s="12">
        <f t="shared" si="5"/>
        <v>0.35</v>
      </c>
    </row>
    <row r="65" spans="1:14" x14ac:dyDescent="0.35">
      <c r="A65" s="6" t="s">
        <v>45</v>
      </c>
      <c r="B65" s="12"/>
      <c r="C65" s="12"/>
      <c r="D65" s="12"/>
      <c r="E65" s="12"/>
      <c r="F65" s="12"/>
      <c r="G65" s="12"/>
      <c r="H65" s="12"/>
      <c r="I65" s="12"/>
      <c r="J65" s="12"/>
      <c r="K65" s="12"/>
      <c r="L65" s="12"/>
      <c r="M65" s="12"/>
      <c r="N65" s="12">
        <f t="shared" si="5"/>
        <v>0</v>
      </c>
    </row>
    <row r="66" spans="1:14" x14ac:dyDescent="0.35">
      <c r="A66" s="272" t="s">
        <v>16</v>
      </c>
      <c r="B66" s="273">
        <v>0.01</v>
      </c>
      <c r="C66" s="273"/>
      <c r="D66" s="273"/>
      <c r="E66" s="273"/>
      <c r="F66" s="273"/>
      <c r="G66" s="273"/>
      <c r="H66" s="273"/>
      <c r="I66" s="273"/>
      <c r="J66" s="273">
        <v>0.6</v>
      </c>
      <c r="K66" s="273"/>
      <c r="L66" s="273"/>
      <c r="M66" s="273">
        <v>0.76</v>
      </c>
      <c r="N66" s="273">
        <f t="shared" si="5"/>
        <v>1.37</v>
      </c>
    </row>
    <row r="67" spans="1:14" x14ac:dyDescent="0.35">
      <c r="A67" s="6" t="s">
        <v>48</v>
      </c>
      <c r="B67" s="12"/>
      <c r="C67" s="12"/>
      <c r="D67" s="12"/>
      <c r="E67" s="12"/>
      <c r="F67" s="12"/>
      <c r="G67" s="12"/>
      <c r="H67" s="12"/>
      <c r="I67" s="12"/>
      <c r="J67" s="12"/>
      <c r="K67" s="12"/>
      <c r="L67" s="12"/>
      <c r="M67" s="12"/>
      <c r="N67" s="12">
        <f t="shared" si="5"/>
        <v>0</v>
      </c>
    </row>
    <row r="68" spans="1:14" x14ac:dyDescent="0.35">
      <c r="A68" s="6" t="s">
        <v>49</v>
      </c>
      <c r="B68" s="12"/>
      <c r="C68" s="12"/>
      <c r="D68" s="12"/>
      <c r="E68" s="12"/>
      <c r="F68" s="12"/>
      <c r="G68" s="12"/>
      <c r="H68" s="12"/>
      <c r="I68" s="12"/>
      <c r="J68" s="12">
        <v>0.6</v>
      </c>
      <c r="K68" s="12"/>
      <c r="L68" s="12"/>
      <c r="M68" s="12"/>
      <c r="N68" s="12">
        <f t="shared" si="5"/>
        <v>0.6</v>
      </c>
    </row>
    <row r="69" spans="1:14" x14ac:dyDescent="0.35">
      <c r="A69" s="6" t="s">
        <v>53</v>
      </c>
      <c r="B69" s="12">
        <v>0.01</v>
      </c>
      <c r="C69" s="12"/>
      <c r="D69" s="12"/>
      <c r="E69" s="12"/>
      <c r="F69" s="12"/>
      <c r="G69" s="12"/>
      <c r="H69" s="12"/>
      <c r="I69" s="12"/>
      <c r="J69" s="12"/>
      <c r="K69" s="12"/>
      <c r="L69" s="12"/>
      <c r="M69" s="12">
        <v>0.76</v>
      </c>
      <c r="N69" s="12">
        <f t="shared" si="5"/>
        <v>0.77</v>
      </c>
    </row>
    <row r="70" spans="1:14" x14ac:dyDescent="0.35">
      <c r="A70" s="6" t="s">
        <v>54</v>
      </c>
      <c r="B70" s="12"/>
      <c r="C70" s="12"/>
      <c r="D70" s="12"/>
      <c r="E70" s="12"/>
      <c r="F70" s="12"/>
      <c r="G70" s="12"/>
      <c r="H70" s="12"/>
      <c r="I70" s="12"/>
      <c r="J70" s="12"/>
      <c r="K70" s="12"/>
      <c r="L70" s="12"/>
      <c r="M70" s="12"/>
      <c r="N70" s="12">
        <f t="shared" si="5"/>
        <v>0</v>
      </c>
    </row>
    <row r="71" spans="1:14" x14ac:dyDescent="0.35">
      <c r="A71" s="272" t="s">
        <v>17</v>
      </c>
      <c r="B71" s="273"/>
      <c r="C71" s="273">
        <v>0.02</v>
      </c>
      <c r="D71" s="273"/>
      <c r="E71" s="273"/>
      <c r="F71" s="273">
        <v>0.21000000000000002</v>
      </c>
      <c r="G71" s="273">
        <v>0.01</v>
      </c>
      <c r="H71" s="273"/>
      <c r="I71" s="273"/>
      <c r="J71" s="273"/>
      <c r="K71" s="273"/>
      <c r="L71" s="273"/>
      <c r="M71" s="273"/>
      <c r="N71" s="273">
        <f t="shared" si="5"/>
        <v>0.24000000000000002</v>
      </c>
    </row>
    <row r="72" spans="1:14" x14ac:dyDescent="0.35">
      <c r="A72" s="6" t="s">
        <v>56</v>
      </c>
      <c r="B72" s="12"/>
      <c r="C72" s="12">
        <v>0.02</v>
      </c>
      <c r="D72" s="12"/>
      <c r="E72" s="12"/>
      <c r="F72" s="12">
        <v>0.21000000000000002</v>
      </c>
      <c r="G72" s="12">
        <v>0.01</v>
      </c>
      <c r="H72" s="12"/>
      <c r="I72" s="12"/>
      <c r="J72" s="12"/>
      <c r="K72" s="12"/>
      <c r="L72" s="12"/>
      <c r="M72" s="12"/>
      <c r="N72" s="12">
        <f t="shared" si="5"/>
        <v>0.24000000000000002</v>
      </c>
    </row>
    <row r="73" spans="1:14" x14ac:dyDescent="0.35">
      <c r="A73" s="272" t="s">
        <v>20</v>
      </c>
      <c r="B73" s="273"/>
      <c r="C73" s="273"/>
      <c r="D73" s="273"/>
      <c r="E73" s="273"/>
      <c r="F73" s="273"/>
      <c r="G73" s="273"/>
      <c r="H73" s="273"/>
      <c r="I73" s="273"/>
      <c r="J73" s="273"/>
      <c r="K73" s="273"/>
      <c r="L73" s="273"/>
      <c r="M73" s="273"/>
      <c r="N73" s="273">
        <f t="shared" si="5"/>
        <v>0</v>
      </c>
    </row>
    <row r="74" spans="1:14" x14ac:dyDescent="0.35">
      <c r="A74" s="6" t="s">
        <v>20</v>
      </c>
      <c r="B74" s="12"/>
      <c r="C74" s="12"/>
      <c r="D74" s="12"/>
      <c r="E74" s="12"/>
      <c r="F74" s="12"/>
      <c r="G74" s="12"/>
      <c r="H74" s="12"/>
      <c r="I74" s="12"/>
      <c r="J74" s="12"/>
      <c r="K74" s="12"/>
      <c r="L74" s="12"/>
      <c r="M74" s="12"/>
      <c r="N74" s="12">
        <f t="shared" si="5"/>
        <v>0</v>
      </c>
    </row>
    <row r="75" spans="1:14" x14ac:dyDescent="0.35">
      <c r="A75" s="272" t="s">
        <v>23</v>
      </c>
      <c r="B75" s="273"/>
      <c r="C75" s="273"/>
      <c r="D75" s="273"/>
      <c r="E75" s="273"/>
      <c r="F75" s="273"/>
      <c r="G75" s="273"/>
      <c r="H75" s="273"/>
      <c r="I75" s="273"/>
      <c r="J75" s="273"/>
      <c r="K75" s="273"/>
      <c r="L75" s="273"/>
      <c r="M75" s="273"/>
      <c r="N75" s="273">
        <f t="shared" si="5"/>
        <v>0</v>
      </c>
    </row>
    <row r="76" spans="1:14" x14ac:dyDescent="0.35">
      <c r="A76" s="6" t="s">
        <v>23</v>
      </c>
      <c r="B76" s="12"/>
      <c r="C76" s="12"/>
      <c r="D76" s="12"/>
      <c r="E76" s="12"/>
      <c r="F76" s="12"/>
      <c r="G76" s="12"/>
      <c r="H76" s="12"/>
      <c r="I76" s="12"/>
      <c r="J76" s="12"/>
      <c r="K76" s="12"/>
      <c r="L76" s="12"/>
      <c r="M76" s="12"/>
      <c r="N76" s="12">
        <f t="shared" si="5"/>
        <v>0</v>
      </c>
    </row>
    <row r="77" spans="1:14" x14ac:dyDescent="0.35">
      <c r="A77" s="274" t="s">
        <v>25</v>
      </c>
      <c r="B77" s="275">
        <f t="shared" ref="B77:M77" si="8">SUM(B75,B73,B71,B66,B63,B58,B55,B51,B49)</f>
        <v>0.14000000000000001</v>
      </c>
      <c r="C77" s="275">
        <f t="shared" si="8"/>
        <v>0.02</v>
      </c>
      <c r="D77" s="275">
        <f t="shared" si="8"/>
        <v>0</v>
      </c>
      <c r="E77" s="275">
        <f t="shared" si="8"/>
        <v>1.1299999999999999</v>
      </c>
      <c r="F77" s="275">
        <f t="shared" si="8"/>
        <v>0.21000000000000002</v>
      </c>
      <c r="G77" s="275">
        <f t="shared" si="8"/>
        <v>90.960000000000022</v>
      </c>
      <c r="H77" s="275">
        <f t="shared" si="8"/>
        <v>35.42</v>
      </c>
      <c r="I77" s="275">
        <f t="shared" si="8"/>
        <v>23.75</v>
      </c>
      <c r="J77" s="275">
        <f t="shared" si="8"/>
        <v>52.030000000000008</v>
      </c>
      <c r="K77" s="275">
        <f t="shared" si="8"/>
        <v>9.379999999999999</v>
      </c>
      <c r="L77" s="275">
        <f t="shared" si="8"/>
        <v>0</v>
      </c>
      <c r="M77" s="275">
        <f t="shared" si="8"/>
        <v>36.1</v>
      </c>
      <c r="N77" s="275">
        <f t="shared" si="5"/>
        <v>249.14000000000001</v>
      </c>
    </row>
    <row r="81" spans="1:19" ht="15.5" x14ac:dyDescent="0.35">
      <c r="A81" s="280" t="s">
        <v>109</v>
      </c>
    </row>
    <row r="82" spans="1:19" ht="15" customHeight="1" x14ac:dyDescent="0.35">
      <c r="A82" s="721" t="s">
        <v>88</v>
      </c>
      <c r="B82" s="718" t="s">
        <v>113</v>
      </c>
      <c r="C82" s="715"/>
      <c r="D82" s="715"/>
      <c r="E82" s="715"/>
      <c r="F82" s="715"/>
      <c r="G82" s="715"/>
      <c r="H82" s="715"/>
      <c r="I82" s="715"/>
      <c r="J82" s="715"/>
      <c r="K82" s="715"/>
      <c r="L82" s="715"/>
      <c r="M82" s="715"/>
      <c r="N82" s="715"/>
    </row>
    <row r="83" spans="1:19" ht="30" customHeight="1" x14ac:dyDescent="0.35">
      <c r="A83" s="717"/>
      <c r="B83" s="278" t="s">
        <v>37</v>
      </c>
      <c r="C83" s="267" t="s">
        <v>170</v>
      </c>
      <c r="D83" s="282" t="s">
        <v>169</v>
      </c>
      <c r="E83" s="267" t="s">
        <v>171</v>
      </c>
      <c r="F83" s="267" t="s">
        <v>166</v>
      </c>
      <c r="G83" s="267" t="s">
        <v>164</v>
      </c>
      <c r="H83" s="267" t="s">
        <v>165</v>
      </c>
      <c r="I83" s="267" t="s">
        <v>167</v>
      </c>
      <c r="J83" s="267" t="s">
        <v>168</v>
      </c>
      <c r="K83" s="267" t="s">
        <v>174</v>
      </c>
      <c r="L83" s="267"/>
      <c r="M83" s="267" t="s">
        <v>123</v>
      </c>
      <c r="N83" s="267" t="s">
        <v>124</v>
      </c>
      <c r="Q83" s="711" t="s">
        <v>205</v>
      </c>
      <c r="R83" s="712"/>
      <c r="S83" s="724"/>
    </row>
    <row r="84" spans="1:19" x14ac:dyDescent="0.35">
      <c r="A84" s="272" t="s">
        <v>5</v>
      </c>
      <c r="B84" s="273">
        <v>0.43</v>
      </c>
      <c r="C84" s="273"/>
      <c r="D84" s="273"/>
      <c r="E84" s="273"/>
      <c r="F84" s="273"/>
      <c r="G84" s="273"/>
      <c r="H84" s="273"/>
      <c r="I84" s="273"/>
      <c r="J84" s="273"/>
      <c r="K84" s="273"/>
      <c r="L84" s="273"/>
      <c r="M84" s="273"/>
      <c r="N84" s="273">
        <f t="shared" ref="N84:N112" si="9">SUM(B84:M84)</f>
        <v>0.43</v>
      </c>
      <c r="Q84" s="271" t="s">
        <v>164</v>
      </c>
      <c r="R84" s="212">
        <v>2864.8200000000038</v>
      </c>
      <c r="S84" s="22">
        <f t="shared" ref="S84:S93" si="10">R84/$R$96</f>
        <v>0.44101904121208618</v>
      </c>
    </row>
    <row r="85" spans="1:19" x14ac:dyDescent="0.35">
      <c r="A85" s="6" t="s">
        <v>8</v>
      </c>
      <c r="B85" s="12">
        <v>0.43</v>
      </c>
      <c r="C85" s="12"/>
      <c r="D85" s="12"/>
      <c r="E85" s="12"/>
      <c r="F85" s="12"/>
      <c r="G85" s="12"/>
      <c r="H85" s="12"/>
      <c r="I85" s="12"/>
      <c r="J85" s="12"/>
      <c r="K85" s="12"/>
      <c r="L85" s="12"/>
      <c r="M85" s="12"/>
      <c r="N85" s="12">
        <f t="shared" si="9"/>
        <v>0.43</v>
      </c>
      <c r="Q85" s="271" t="s">
        <v>165</v>
      </c>
      <c r="R85" s="212">
        <v>1918.2799999999995</v>
      </c>
      <c r="S85" s="22">
        <f t="shared" si="10"/>
        <v>0.2953058155054486</v>
      </c>
    </row>
    <row r="86" spans="1:19" x14ac:dyDescent="0.35">
      <c r="A86" s="272" t="s">
        <v>12</v>
      </c>
      <c r="B86" s="273">
        <v>0.26</v>
      </c>
      <c r="C86" s="273">
        <v>0.01</v>
      </c>
      <c r="D86" s="273">
        <v>0.09</v>
      </c>
      <c r="E86" s="273"/>
      <c r="F86" s="273"/>
      <c r="G86" s="273">
        <v>0.28000000000000003</v>
      </c>
      <c r="H86" s="273">
        <v>6.51</v>
      </c>
      <c r="I86" s="273"/>
      <c r="J86" s="273">
        <v>1.6500000000000001</v>
      </c>
      <c r="K86" s="273"/>
      <c r="L86" s="273"/>
      <c r="M86" s="273">
        <v>0.49</v>
      </c>
      <c r="N86" s="273">
        <f t="shared" si="9"/>
        <v>9.2899999999999991</v>
      </c>
      <c r="Q86" s="271" t="s">
        <v>167</v>
      </c>
      <c r="R86" s="212">
        <v>726.99</v>
      </c>
      <c r="S86" s="22">
        <f t="shared" si="10"/>
        <v>0.11191503576866055</v>
      </c>
    </row>
    <row r="87" spans="1:19" x14ac:dyDescent="0.35">
      <c r="A87" s="6" t="s">
        <v>31</v>
      </c>
      <c r="B87" s="12"/>
      <c r="C87" s="12">
        <v>0.01</v>
      </c>
      <c r="D87" s="12"/>
      <c r="E87" s="12"/>
      <c r="F87" s="12"/>
      <c r="G87" s="12"/>
      <c r="H87" s="12"/>
      <c r="I87" s="12"/>
      <c r="J87" s="12">
        <v>1.32</v>
      </c>
      <c r="K87" s="12"/>
      <c r="L87" s="12"/>
      <c r="M87" s="12">
        <v>0.48</v>
      </c>
      <c r="N87" s="12">
        <f t="shared" si="9"/>
        <v>1.81</v>
      </c>
      <c r="Q87" s="271" t="s">
        <v>168</v>
      </c>
      <c r="R87" s="212">
        <v>559.56999999999982</v>
      </c>
      <c r="S87" s="22">
        <f t="shared" si="10"/>
        <v>8.6141895438822211E-2</v>
      </c>
    </row>
    <row r="88" spans="1:19" x14ac:dyDescent="0.35">
      <c r="A88" s="6" t="s">
        <v>32</v>
      </c>
      <c r="B88" s="12"/>
      <c r="C88" s="12"/>
      <c r="D88" s="12"/>
      <c r="E88" s="12"/>
      <c r="F88" s="12"/>
      <c r="G88" s="12"/>
      <c r="H88" s="12">
        <v>6.51</v>
      </c>
      <c r="I88" s="12"/>
      <c r="J88" s="12"/>
      <c r="K88" s="12"/>
      <c r="L88" s="12"/>
      <c r="M88" s="12">
        <v>0.01</v>
      </c>
      <c r="N88" s="12">
        <f t="shared" si="9"/>
        <v>6.52</v>
      </c>
      <c r="Q88" s="271" t="s">
        <v>174</v>
      </c>
      <c r="R88" s="212">
        <v>34.26</v>
      </c>
      <c r="S88" s="384">
        <f t="shared" si="10"/>
        <v>5.2740878491235226E-3</v>
      </c>
    </row>
    <row r="89" spans="1:19" x14ac:dyDescent="0.35">
      <c r="A89" s="6" t="s">
        <v>33</v>
      </c>
      <c r="B89" s="12">
        <v>0.26</v>
      </c>
      <c r="C89" s="12"/>
      <c r="D89" s="12">
        <v>0.09</v>
      </c>
      <c r="E89" s="12"/>
      <c r="F89" s="12"/>
      <c r="G89" s="12">
        <v>0.28000000000000003</v>
      </c>
      <c r="H89" s="12"/>
      <c r="I89" s="12"/>
      <c r="J89" s="12">
        <v>0.33</v>
      </c>
      <c r="K89" s="12"/>
      <c r="L89" s="12"/>
      <c r="M89" s="12"/>
      <c r="N89" s="12">
        <f t="shared" si="9"/>
        <v>0.96</v>
      </c>
      <c r="Q89" s="271" t="s">
        <v>166</v>
      </c>
      <c r="R89" s="212">
        <v>13.780000000000001</v>
      </c>
      <c r="S89" s="384">
        <f t="shared" si="10"/>
        <v>2.1213348091337464E-3</v>
      </c>
    </row>
    <row r="90" spans="1:19" x14ac:dyDescent="0.35">
      <c r="A90" s="272" t="s">
        <v>13</v>
      </c>
      <c r="B90" s="273"/>
      <c r="C90" s="273"/>
      <c r="D90" s="273"/>
      <c r="E90" s="273"/>
      <c r="F90" s="273">
        <v>7.37</v>
      </c>
      <c r="G90" s="273">
        <v>3.5</v>
      </c>
      <c r="H90" s="273">
        <v>0.04</v>
      </c>
      <c r="I90" s="273"/>
      <c r="J90" s="273"/>
      <c r="K90" s="273"/>
      <c r="L90" s="273"/>
      <c r="M90" s="273"/>
      <c r="N90" s="273">
        <f t="shared" si="9"/>
        <v>10.91</v>
      </c>
      <c r="Q90" s="271" t="s">
        <v>169</v>
      </c>
      <c r="R90" s="212">
        <v>9.6499999999999986</v>
      </c>
      <c r="S90" s="384">
        <f t="shared" si="10"/>
        <v>1.4855501384717453E-3</v>
      </c>
    </row>
    <row r="91" spans="1:19" x14ac:dyDescent="0.35">
      <c r="A91" s="6" t="s">
        <v>61</v>
      </c>
      <c r="B91" s="12"/>
      <c r="C91" s="12"/>
      <c r="D91" s="12"/>
      <c r="E91" s="12"/>
      <c r="F91" s="12">
        <v>7.37</v>
      </c>
      <c r="G91" s="12">
        <v>3.5</v>
      </c>
      <c r="H91" s="12"/>
      <c r="I91" s="12"/>
      <c r="J91" s="12"/>
      <c r="K91" s="12"/>
      <c r="L91" s="12"/>
      <c r="M91" s="12"/>
      <c r="N91" s="12">
        <f t="shared" si="9"/>
        <v>10.870000000000001</v>
      </c>
      <c r="Q91" s="271" t="s">
        <v>37</v>
      </c>
      <c r="R91" s="212">
        <v>5.37</v>
      </c>
      <c r="S91" s="384">
        <f t="shared" si="10"/>
        <v>8.2667401488013196E-4</v>
      </c>
    </row>
    <row r="92" spans="1:19" x14ac:dyDescent="0.35">
      <c r="A92" s="6" t="s">
        <v>36</v>
      </c>
      <c r="B92" s="12"/>
      <c r="C92" s="12"/>
      <c r="D92" s="12"/>
      <c r="E92" s="12"/>
      <c r="F92" s="12"/>
      <c r="G92" s="12"/>
      <c r="H92" s="12">
        <v>0.04</v>
      </c>
      <c r="I92" s="12"/>
      <c r="J92" s="12"/>
      <c r="K92" s="12"/>
      <c r="L92" s="12"/>
      <c r="M92" s="12"/>
      <c r="N92" s="12">
        <f t="shared" si="9"/>
        <v>0.04</v>
      </c>
      <c r="Q92" s="271" t="s">
        <v>170</v>
      </c>
      <c r="R92" s="212">
        <v>0.28000000000000003</v>
      </c>
      <c r="S92" s="385">
        <f t="shared" si="10"/>
        <v>4.3104045468610233E-5</v>
      </c>
    </row>
    <row r="93" spans="1:19" x14ac:dyDescent="0.35">
      <c r="A93" s="272" t="s">
        <v>14</v>
      </c>
      <c r="B93" s="273"/>
      <c r="C93" s="273">
        <v>0.27</v>
      </c>
      <c r="D93" s="273">
        <v>9.5599999999999987</v>
      </c>
      <c r="E93" s="273"/>
      <c r="F93" s="273"/>
      <c r="G93" s="273">
        <v>2858.6300000000037</v>
      </c>
      <c r="H93" s="273">
        <v>1911.7299999999996</v>
      </c>
      <c r="I93" s="273">
        <v>726.99</v>
      </c>
      <c r="J93" s="273">
        <v>534.91999999999985</v>
      </c>
      <c r="K93" s="273">
        <v>34.11</v>
      </c>
      <c r="L93" s="273"/>
      <c r="M93" s="273">
        <v>361.90999999999997</v>
      </c>
      <c r="N93" s="273">
        <f t="shared" si="9"/>
        <v>6438.1200000000026</v>
      </c>
      <c r="Q93" s="271" t="s">
        <v>171</v>
      </c>
      <c r="R93" s="212"/>
      <c r="S93" s="22">
        <f t="shared" si="10"/>
        <v>0</v>
      </c>
    </row>
    <row r="94" spans="1:19" x14ac:dyDescent="0.35">
      <c r="A94" s="6" t="s">
        <v>37</v>
      </c>
      <c r="B94" s="12"/>
      <c r="C94" s="12"/>
      <c r="D94" s="12"/>
      <c r="E94" s="12"/>
      <c r="F94" s="12"/>
      <c r="G94" s="12">
        <v>12.310000000000006</v>
      </c>
      <c r="H94" s="12">
        <v>1.53</v>
      </c>
      <c r="I94" s="12"/>
      <c r="J94" s="12"/>
      <c r="K94" s="12"/>
      <c r="L94" s="12"/>
      <c r="M94" s="12"/>
      <c r="N94" s="12">
        <f t="shared" si="9"/>
        <v>13.840000000000005</v>
      </c>
      <c r="Q94" s="271" t="s">
        <v>122</v>
      </c>
      <c r="R94" s="212">
        <v>0</v>
      </c>
      <c r="S94" s="22">
        <f t="shared" ref="S94:S96" si="11">R94/$R$96</f>
        <v>0</v>
      </c>
    </row>
    <row r="95" spans="1:19" x14ac:dyDescent="0.35">
      <c r="A95" s="6" t="s">
        <v>38</v>
      </c>
      <c r="B95" s="12"/>
      <c r="C95" s="12"/>
      <c r="D95" s="12"/>
      <c r="E95" s="12"/>
      <c r="F95" s="12"/>
      <c r="G95" s="12">
        <v>304.39999999999992</v>
      </c>
      <c r="H95" s="12">
        <v>76.559999999999988</v>
      </c>
      <c r="I95" s="12">
        <v>4.2699999999999996</v>
      </c>
      <c r="J95" s="12">
        <v>6.53</v>
      </c>
      <c r="K95" s="12"/>
      <c r="L95" s="12"/>
      <c r="M95" s="12"/>
      <c r="N95" s="12">
        <f t="shared" si="9"/>
        <v>391.75999999999988</v>
      </c>
      <c r="Q95" s="271" t="s">
        <v>123</v>
      </c>
      <c r="R95" s="212">
        <v>362.90999999999997</v>
      </c>
      <c r="S95" s="22">
        <f t="shared" si="11"/>
        <v>5.5867461217904778E-2</v>
      </c>
    </row>
    <row r="96" spans="1:19" x14ac:dyDescent="0.35">
      <c r="A96" s="6" t="s">
        <v>39</v>
      </c>
      <c r="B96" s="12"/>
      <c r="C96" s="12"/>
      <c r="D96" s="12"/>
      <c r="E96" s="12"/>
      <c r="F96" s="12"/>
      <c r="G96" s="12">
        <v>2.4900000000000007</v>
      </c>
      <c r="H96" s="12"/>
      <c r="I96" s="12"/>
      <c r="J96" s="12">
        <v>0.35</v>
      </c>
      <c r="K96" s="12"/>
      <c r="L96" s="12"/>
      <c r="M96" s="12">
        <v>3.9999999999999994E-2</v>
      </c>
      <c r="N96" s="12">
        <f t="shared" si="9"/>
        <v>2.8800000000000008</v>
      </c>
      <c r="Q96" s="268" t="s">
        <v>130</v>
      </c>
      <c r="R96" s="269">
        <v>6495.9100000000026</v>
      </c>
      <c r="S96" s="270">
        <f t="shared" si="11"/>
        <v>1</v>
      </c>
    </row>
    <row r="97" spans="1:14" x14ac:dyDescent="0.35">
      <c r="A97" s="6" t="s">
        <v>40</v>
      </c>
      <c r="B97" s="12"/>
      <c r="C97" s="12">
        <v>0.27</v>
      </c>
      <c r="D97" s="12">
        <v>9.5599999999999987</v>
      </c>
      <c r="E97" s="12"/>
      <c r="F97" s="12"/>
      <c r="G97" s="12">
        <v>2539.4300000000035</v>
      </c>
      <c r="H97" s="12">
        <v>1833.6399999999996</v>
      </c>
      <c r="I97" s="12">
        <v>722.72</v>
      </c>
      <c r="J97" s="12">
        <v>528.03999999999974</v>
      </c>
      <c r="K97" s="12">
        <v>34.11</v>
      </c>
      <c r="L97" s="12"/>
      <c r="M97" s="12">
        <v>361.87</v>
      </c>
      <c r="N97" s="12">
        <f t="shared" si="9"/>
        <v>6029.6400000000031</v>
      </c>
    </row>
    <row r="98" spans="1:14" x14ac:dyDescent="0.35">
      <c r="A98" s="272" t="s">
        <v>15</v>
      </c>
      <c r="B98" s="273">
        <v>0.53</v>
      </c>
      <c r="C98" s="273"/>
      <c r="D98" s="273"/>
      <c r="E98" s="273"/>
      <c r="F98" s="273">
        <v>6.41</v>
      </c>
      <c r="G98" s="273">
        <v>1.98</v>
      </c>
      <c r="H98" s="273"/>
      <c r="I98" s="273"/>
      <c r="J98" s="273"/>
      <c r="K98" s="273"/>
      <c r="L98" s="273"/>
      <c r="M98" s="273"/>
      <c r="N98" s="273">
        <f t="shared" si="9"/>
        <v>8.92</v>
      </c>
    </row>
    <row r="99" spans="1:14" x14ac:dyDescent="0.35">
      <c r="A99" s="6" t="s">
        <v>41</v>
      </c>
      <c r="B99" s="12"/>
      <c r="C99" s="12"/>
      <c r="D99" s="12"/>
      <c r="E99" s="12"/>
      <c r="F99" s="12">
        <v>6.41</v>
      </c>
      <c r="G99" s="12">
        <v>1.98</v>
      </c>
      <c r="H99" s="12"/>
      <c r="I99" s="12"/>
      <c r="J99" s="12"/>
      <c r="K99" s="12"/>
      <c r="L99" s="12"/>
      <c r="M99" s="12"/>
      <c r="N99" s="12">
        <f t="shared" si="9"/>
        <v>8.39</v>
      </c>
    </row>
    <row r="100" spans="1:14" ht="15" customHeight="1" x14ac:dyDescent="0.35">
      <c r="A100" s="6" t="s">
        <v>45</v>
      </c>
      <c r="B100" s="12">
        <v>0.53</v>
      </c>
      <c r="C100" s="12"/>
      <c r="D100" s="12"/>
      <c r="E100" s="12"/>
      <c r="F100" s="12"/>
      <c r="G100" s="12"/>
      <c r="H100" s="12"/>
      <c r="I100" s="12"/>
      <c r="J100" s="12"/>
      <c r="K100" s="12"/>
      <c r="L100" s="12"/>
      <c r="M100" s="12"/>
      <c r="N100" s="12">
        <f t="shared" si="9"/>
        <v>0.53</v>
      </c>
    </row>
    <row r="101" spans="1:14" ht="15" customHeight="1" x14ac:dyDescent="0.35">
      <c r="A101" s="272" t="s">
        <v>16</v>
      </c>
      <c r="B101" s="273">
        <v>2.39</v>
      </c>
      <c r="C101" s="273"/>
      <c r="D101" s="273"/>
      <c r="E101" s="273"/>
      <c r="F101" s="273"/>
      <c r="G101" s="273">
        <v>0.09</v>
      </c>
      <c r="H101" s="273"/>
      <c r="I101" s="273"/>
      <c r="J101" s="273"/>
      <c r="K101" s="273"/>
      <c r="L101" s="273"/>
      <c r="M101" s="273"/>
      <c r="N101" s="273">
        <f t="shared" si="9"/>
        <v>2.48</v>
      </c>
    </row>
    <row r="102" spans="1:14" x14ac:dyDescent="0.35">
      <c r="A102" s="6" t="s">
        <v>48</v>
      </c>
      <c r="B102" s="12"/>
      <c r="C102" s="12"/>
      <c r="D102" s="12"/>
      <c r="E102" s="12"/>
      <c r="F102" s="12"/>
      <c r="G102" s="12"/>
      <c r="H102" s="12"/>
      <c r="I102" s="12"/>
      <c r="J102" s="12"/>
      <c r="K102" s="12"/>
      <c r="L102" s="12"/>
      <c r="M102" s="12"/>
      <c r="N102" s="12">
        <f t="shared" si="9"/>
        <v>0</v>
      </c>
    </row>
    <row r="103" spans="1:14" x14ac:dyDescent="0.35">
      <c r="A103" s="6" t="s">
        <v>49</v>
      </c>
      <c r="B103" s="12">
        <v>2.39</v>
      </c>
      <c r="C103" s="12"/>
      <c r="D103" s="12"/>
      <c r="E103" s="12"/>
      <c r="F103" s="12"/>
      <c r="G103" s="12"/>
      <c r="H103" s="12"/>
      <c r="I103" s="12"/>
      <c r="J103" s="12"/>
      <c r="K103" s="12"/>
      <c r="L103" s="12"/>
      <c r="M103" s="12"/>
      <c r="N103" s="12">
        <f t="shared" si="9"/>
        <v>2.39</v>
      </c>
    </row>
    <row r="104" spans="1:14" x14ac:dyDescent="0.35">
      <c r="A104" s="6" t="s">
        <v>53</v>
      </c>
      <c r="B104" s="12"/>
      <c r="C104" s="12"/>
      <c r="D104" s="12"/>
      <c r="E104" s="12"/>
      <c r="F104" s="12"/>
      <c r="G104" s="12"/>
      <c r="H104" s="12"/>
      <c r="I104" s="12"/>
      <c r="J104" s="12"/>
      <c r="K104" s="12"/>
      <c r="L104" s="12"/>
      <c r="M104" s="12"/>
      <c r="N104" s="12">
        <f t="shared" si="9"/>
        <v>0</v>
      </c>
    </row>
    <row r="105" spans="1:14" x14ac:dyDescent="0.35">
      <c r="A105" s="6" t="s">
        <v>54</v>
      </c>
      <c r="B105" s="12"/>
      <c r="C105" s="12"/>
      <c r="D105" s="12"/>
      <c r="E105" s="12"/>
      <c r="F105" s="12"/>
      <c r="G105" s="12">
        <v>0.09</v>
      </c>
      <c r="H105" s="12"/>
      <c r="I105" s="12"/>
      <c r="J105" s="12"/>
      <c r="K105" s="12"/>
      <c r="L105" s="12"/>
      <c r="M105" s="12"/>
      <c r="N105" s="12">
        <f t="shared" si="9"/>
        <v>0.09</v>
      </c>
    </row>
    <row r="106" spans="1:14" x14ac:dyDescent="0.35">
      <c r="A106" s="272" t="s">
        <v>17</v>
      </c>
      <c r="B106" s="273">
        <v>1.31</v>
      </c>
      <c r="C106" s="273"/>
      <c r="D106" s="273"/>
      <c r="E106" s="273"/>
      <c r="F106" s="273"/>
      <c r="G106" s="273"/>
      <c r="H106" s="273"/>
      <c r="I106" s="273"/>
      <c r="J106" s="273">
        <v>23</v>
      </c>
      <c r="K106" s="273"/>
      <c r="L106" s="273"/>
      <c r="M106" s="273"/>
      <c r="N106" s="273">
        <f t="shared" si="9"/>
        <v>24.31</v>
      </c>
    </row>
    <row r="107" spans="1:14" x14ac:dyDescent="0.35">
      <c r="A107" s="6" t="s">
        <v>56</v>
      </c>
      <c r="B107" s="12">
        <v>1.31</v>
      </c>
      <c r="C107" s="12"/>
      <c r="D107" s="12"/>
      <c r="E107" s="12"/>
      <c r="F107" s="12"/>
      <c r="G107" s="12"/>
      <c r="H107" s="12"/>
      <c r="I107" s="12"/>
      <c r="J107" s="12">
        <v>23</v>
      </c>
      <c r="K107" s="12"/>
      <c r="L107" s="12"/>
      <c r="M107" s="12"/>
      <c r="N107" s="12">
        <f t="shared" si="9"/>
        <v>24.31</v>
      </c>
    </row>
    <row r="108" spans="1:14" x14ac:dyDescent="0.35">
      <c r="A108" s="272" t="s">
        <v>20</v>
      </c>
      <c r="B108" s="273">
        <v>0.45</v>
      </c>
      <c r="C108" s="273"/>
      <c r="D108" s="273"/>
      <c r="E108" s="273"/>
      <c r="F108" s="273"/>
      <c r="G108" s="273">
        <v>0.34</v>
      </c>
      <c r="H108" s="273"/>
      <c r="I108" s="273"/>
      <c r="J108" s="273"/>
      <c r="K108" s="273">
        <v>0.15</v>
      </c>
      <c r="L108" s="273"/>
      <c r="M108" s="273">
        <v>0.3</v>
      </c>
      <c r="N108" s="273">
        <f t="shared" si="9"/>
        <v>1.24</v>
      </c>
    </row>
    <row r="109" spans="1:14" x14ac:dyDescent="0.35">
      <c r="A109" s="6" t="s">
        <v>20</v>
      </c>
      <c r="B109" s="12">
        <v>0.45</v>
      </c>
      <c r="C109" s="12"/>
      <c r="D109" s="12"/>
      <c r="E109" s="12"/>
      <c r="F109" s="12"/>
      <c r="G109" s="12">
        <v>0.34</v>
      </c>
      <c r="H109" s="12"/>
      <c r="I109" s="12"/>
      <c r="J109" s="12"/>
      <c r="K109" s="12">
        <v>0.15</v>
      </c>
      <c r="L109" s="12"/>
      <c r="M109" s="12">
        <v>0.3</v>
      </c>
      <c r="N109" s="12">
        <f t="shared" si="9"/>
        <v>1.24</v>
      </c>
    </row>
    <row r="110" spans="1:14" x14ac:dyDescent="0.35">
      <c r="A110" s="272" t="s">
        <v>23</v>
      </c>
      <c r="B110" s="273"/>
      <c r="C110" s="273"/>
      <c r="D110" s="273"/>
      <c r="E110" s="273"/>
      <c r="F110" s="273"/>
      <c r="G110" s="273"/>
      <c r="H110" s="273"/>
      <c r="I110" s="273"/>
      <c r="J110" s="273"/>
      <c r="K110" s="273"/>
      <c r="L110" s="273"/>
      <c r="M110" s="273">
        <v>0.21</v>
      </c>
      <c r="N110" s="273">
        <f t="shared" si="9"/>
        <v>0.21</v>
      </c>
    </row>
    <row r="111" spans="1:14" x14ac:dyDescent="0.35">
      <c r="A111" s="6" t="s">
        <v>23</v>
      </c>
      <c r="B111" s="12"/>
      <c r="C111" s="12"/>
      <c r="D111" s="12"/>
      <c r="E111" s="12"/>
      <c r="F111" s="12"/>
      <c r="G111" s="12"/>
      <c r="H111" s="12"/>
      <c r="I111" s="12"/>
      <c r="J111" s="12"/>
      <c r="K111" s="12"/>
      <c r="L111" s="12"/>
      <c r="M111" s="12">
        <v>0.21</v>
      </c>
      <c r="N111" s="12">
        <f t="shared" si="9"/>
        <v>0.21</v>
      </c>
    </row>
    <row r="112" spans="1:14" x14ac:dyDescent="0.35">
      <c r="A112" s="274" t="s">
        <v>25</v>
      </c>
      <c r="B112" s="275">
        <f t="shared" ref="B112:L112" si="12">SUM(B110,B108,B106,B101,B98,B93,B90,B86,B84)</f>
        <v>5.37</v>
      </c>
      <c r="C112" s="275">
        <f t="shared" si="12"/>
        <v>0.28000000000000003</v>
      </c>
      <c r="D112" s="275">
        <f t="shared" si="12"/>
        <v>9.6499999999999986</v>
      </c>
      <c r="E112" s="275">
        <f t="shared" si="12"/>
        <v>0</v>
      </c>
      <c r="F112" s="275">
        <f t="shared" si="12"/>
        <v>13.780000000000001</v>
      </c>
      <c r="G112" s="275">
        <f t="shared" si="12"/>
        <v>2864.8200000000038</v>
      </c>
      <c r="H112" s="275">
        <f t="shared" si="12"/>
        <v>1918.2799999999995</v>
      </c>
      <c r="I112" s="275">
        <f t="shared" si="12"/>
        <v>726.99</v>
      </c>
      <c r="J112" s="275">
        <f t="shared" si="12"/>
        <v>559.56999999999982</v>
      </c>
      <c r="K112" s="275">
        <f t="shared" si="12"/>
        <v>34.26</v>
      </c>
      <c r="L112" s="275">
        <f t="shared" si="12"/>
        <v>0</v>
      </c>
      <c r="M112" s="275">
        <f>M42-M77</f>
        <v>362.90999999999997</v>
      </c>
      <c r="N112" s="275">
        <f t="shared" si="9"/>
        <v>6495.9100000000026</v>
      </c>
    </row>
  </sheetData>
  <mergeCells count="9">
    <mergeCell ref="Q48:S48"/>
    <mergeCell ref="B82:N82"/>
    <mergeCell ref="Q83:S83"/>
    <mergeCell ref="A12:A13"/>
    <mergeCell ref="A47:A48"/>
    <mergeCell ref="B12:N12"/>
    <mergeCell ref="A82:A83"/>
    <mergeCell ref="B47:N47"/>
    <mergeCell ref="Q13:S13"/>
  </mergeCells>
  <hyperlinks>
    <hyperlink ref="P1" location="ÍNDICE!A1" display="ÍNDICE!A1" xr:uid="{00000000-0004-0000-1700-000000000000}"/>
    <hyperlink ref="B1" r:id="rId1" xr:uid="{00000000-0004-0000-1700-000001000000}"/>
    <hyperlink ref="C5" location="'AVE R-VAR'!A11" display="TOTAL" xr:uid="{00000000-0004-0000-1700-000002000000}"/>
    <hyperlink ref="C6" location="'AVE R-VAR'!A46" display="ECOLÓGICO" xr:uid="{00000000-0004-0000-1700-000003000000}"/>
    <hyperlink ref="C7" location="'AVE R-VAR'!A81" display="CONVENCIONAL" xr:uid="{00000000-0004-0000-1700-00000400000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97"/>
  <sheetViews>
    <sheetView workbookViewId="0"/>
  </sheetViews>
  <sheetFormatPr baseColWidth="10" defaultRowHeight="14.5" x14ac:dyDescent="0.35"/>
  <cols>
    <col min="1" max="1" width="36.1796875" bestFit="1" customWidth="1"/>
    <col min="2" max="2" width="11.453125" customWidth="1"/>
    <col min="16" max="16" width="15" bestFit="1" customWidth="1"/>
    <col min="17" max="17" width="24.453125" customWidth="1"/>
    <col min="24" max="24" width="18.54296875" bestFit="1" customWidth="1"/>
  </cols>
  <sheetData>
    <row r="1" spans="1:19" x14ac:dyDescent="0.35">
      <c r="A1" s="240" t="s">
        <v>10</v>
      </c>
      <c r="B1" s="2" t="s">
        <v>102</v>
      </c>
      <c r="N1" t="s">
        <v>143</v>
      </c>
      <c r="O1" s="2" t="s">
        <v>144</v>
      </c>
    </row>
    <row r="4" spans="1:19" ht="17.5" x14ac:dyDescent="0.35">
      <c r="A4" s="234" t="s">
        <v>185</v>
      </c>
      <c r="B4" s="234"/>
      <c r="C4" s="339" t="s">
        <v>243</v>
      </c>
      <c r="D4" s="110"/>
      <c r="E4" s="110"/>
      <c r="F4" s="110"/>
      <c r="G4" s="110"/>
      <c r="H4" s="110"/>
    </row>
    <row r="5" spans="1:19" x14ac:dyDescent="0.35">
      <c r="A5" s="235" t="s">
        <v>196</v>
      </c>
      <c r="B5" s="235"/>
      <c r="C5" s="340" t="s">
        <v>124</v>
      </c>
      <c r="D5" s="110"/>
      <c r="E5" s="110"/>
      <c r="F5" s="110"/>
      <c r="G5" s="110"/>
      <c r="H5" s="110"/>
    </row>
    <row r="6" spans="1:19" x14ac:dyDescent="0.35">
      <c r="A6" s="236" t="s">
        <v>197</v>
      </c>
      <c r="B6" s="235"/>
      <c r="C6" s="340" t="s">
        <v>213</v>
      </c>
      <c r="D6" s="110"/>
      <c r="E6" s="110"/>
      <c r="F6" s="110"/>
      <c r="G6" s="110"/>
      <c r="H6" s="110"/>
    </row>
    <row r="7" spans="1:19" x14ac:dyDescent="0.35">
      <c r="A7" s="236" t="s">
        <v>198</v>
      </c>
      <c r="B7" s="235"/>
      <c r="C7" s="340" t="s">
        <v>242</v>
      </c>
      <c r="D7" s="110"/>
      <c r="E7" s="110"/>
      <c r="F7" s="110"/>
      <c r="G7" s="110"/>
      <c r="H7" s="110"/>
    </row>
    <row r="8" spans="1:19" ht="18.5" x14ac:dyDescent="0.45">
      <c r="A8" s="223"/>
    </row>
    <row r="9" spans="1:19" ht="18.5" x14ac:dyDescent="0.45">
      <c r="A9" s="223"/>
    </row>
    <row r="10" spans="1:19" ht="18.5" x14ac:dyDescent="0.45">
      <c r="A10" s="223"/>
    </row>
    <row r="11" spans="1:19" ht="15.5" x14ac:dyDescent="0.35">
      <c r="A11" s="238" t="s">
        <v>136</v>
      </c>
    </row>
    <row r="12" spans="1:19" ht="15" customHeight="1" x14ac:dyDescent="0.35">
      <c r="A12" s="703" t="s">
        <v>88</v>
      </c>
      <c r="B12" s="725" t="s">
        <v>113</v>
      </c>
      <c r="C12" s="726"/>
      <c r="D12" s="726"/>
      <c r="E12" s="726"/>
      <c r="F12" s="726"/>
      <c r="G12" s="726"/>
      <c r="H12" s="726"/>
      <c r="I12" s="726"/>
      <c r="J12" s="726"/>
      <c r="K12" s="726"/>
      <c r="L12" s="726"/>
      <c r="M12" s="726"/>
      <c r="N12" s="726"/>
    </row>
    <row r="13" spans="1:19" ht="26.25" customHeight="1" x14ac:dyDescent="0.35">
      <c r="A13" s="704"/>
      <c r="B13" s="244" t="s">
        <v>179</v>
      </c>
      <c r="C13" s="244" t="s">
        <v>181</v>
      </c>
      <c r="D13" s="244" t="s">
        <v>183</v>
      </c>
      <c r="E13" s="281" t="s">
        <v>180</v>
      </c>
      <c r="F13" s="244" t="s">
        <v>184</v>
      </c>
      <c r="G13" s="244" t="s">
        <v>182</v>
      </c>
      <c r="H13" s="281" t="s">
        <v>175</v>
      </c>
      <c r="I13" s="244" t="s">
        <v>178</v>
      </c>
      <c r="J13" s="244" t="s">
        <v>176</v>
      </c>
      <c r="K13" s="244" t="s">
        <v>177</v>
      </c>
      <c r="L13" s="244" t="s">
        <v>122</v>
      </c>
      <c r="M13" s="244" t="s">
        <v>123</v>
      </c>
      <c r="N13" s="244" t="s">
        <v>124</v>
      </c>
      <c r="Q13" s="706" t="s">
        <v>206</v>
      </c>
      <c r="R13" s="707"/>
      <c r="S13" s="708"/>
    </row>
    <row r="14" spans="1:19" x14ac:dyDescent="0.35">
      <c r="A14" s="245" t="s">
        <v>5</v>
      </c>
      <c r="B14" s="246">
        <v>3.6900000000000004</v>
      </c>
      <c r="C14" s="246">
        <v>111.94000000000001</v>
      </c>
      <c r="D14" s="246">
        <v>0.67</v>
      </c>
      <c r="E14" s="246">
        <v>50.86999999999999</v>
      </c>
      <c r="F14" s="246">
        <v>2.36</v>
      </c>
      <c r="G14" s="246">
        <v>0.51</v>
      </c>
      <c r="H14" s="246">
        <v>3.8400000000000003</v>
      </c>
      <c r="I14" s="246"/>
      <c r="J14" s="246">
        <f t="shared" ref="J14:J36" si="0">J44+J74</f>
        <v>663.7</v>
      </c>
      <c r="K14" s="246">
        <v>0.46</v>
      </c>
      <c r="L14" s="246">
        <v>168.63</v>
      </c>
      <c r="M14" s="246">
        <v>42.120000000000005</v>
      </c>
      <c r="N14" s="246">
        <f>SUM(B14:M14)</f>
        <v>1048.79</v>
      </c>
      <c r="Q14" s="246" t="s">
        <v>175</v>
      </c>
      <c r="R14" s="212">
        <v>4107.3900000000394</v>
      </c>
      <c r="S14" s="22">
        <f t="shared" ref="S14:S23" si="1">R14/$R$26</f>
        <v>0.2643155732535738</v>
      </c>
    </row>
    <row r="15" spans="1:19" x14ac:dyDescent="0.35">
      <c r="A15" s="6" t="s">
        <v>78</v>
      </c>
      <c r="B15" s="12">
        <v>0</v>
      </c>
      <c r="C15" s="12">
        <v>1.9700000000000002</v>
      </c>
      <c r="D15" s="12"/>
      <c r="E15" s="12">
        <v>1.29</v>
      </c>
      <c r="F15" s="12">
        <v>0.39999999999999997</v>
      </c>
      <c r="G15" s="12"/>
      <c r="H15" s="12">
        <v>0.06</v>
      </c>
      <c r="I15" s="12"/>
      <c r="J15" s="12">
        <f t="shared" si="0"/>
        <v>0.27999999999999997</v>
      </c>
      <c r="K15" s="12">
        <v>0.46</v>
      </c>
      <c r="L15" s="12">
        <v>2.1599999999999997</v>
      </c>
      <c r="M15" s="12"/>
      <c r="N15" s="12">
        <f>SUM(B15:M15)</f>
        <v>6.6199999999999992</v>
      </c>
      <c r="Q15" s="246" t="s">
        <v>176</v>
      </c>
      <c r="R15" s="212">
        <v>2649.6399999999967</v>
      </c>
      <c r="S15" s="22">
        <f t="shared" si="1"/>
        <v>0.17050757671309313</v>
      </c>
    </row>
    <row r="16" spans="1:19" x14ac:dyDescent="0.35">
      <c r="A16" s="6" t="s">
        <v>7</v>
      </c>
      <c r="B16" s="12">
        <v>0</v>
      </c>
      <c r="C16" s="12">
        <v>17.740000000000002</v>
      </c>
      <c r="D16" s="12"/>
      <c r="E16" s="12">
        <v>0.32</v>
      </c>
      <c r="F16" s="12"/>
      <c r="G16" s="12"/>
      <c r="H16" s="12">
        <v>0</v>
      </c>
      <c r="I16" s="12"/>
      <c r="J16" s="12">
        <f t="shared" si="0"/>
        <v>2.52</v>
      </c>
      <c r="K16" s="12"/>
      <c r="L16" s="12">
        <v>8.5699999999999985</v>
      </c>
      <c r="M16" s="12">
        <v>0.38</v>
      </c>
      <c r="N16" s="12">
        <f t="shared" ref="N16:N36" si="2">SUM(B16:M16)</f>
        <v>29.529999999999998</v>
      </c>
      <c r="Q16" s="246" t="s">
        <v>178</v>
      </c>
      <c r="R16" s="212">
        <v>451.44000000000011</v>
      </c>
      <c r="S16" s="22">
        <f t="shared" si="1"/>
        <v>2.9050716486526049E-2</v>
      </c>
    </row>
    <row r="17" spans="1:19" x14ac:dyDescent="0.35">
      <c r="A17" s="6" t="s">
        <v>8</v>
      </c>
      <c r="B17" s="12">
        <v>0</v>
      </c>
      <c r="C17" s="12">
        <v>0.62</v>
      </c>
      <c r="D17" s="12"/>
      <c r="E17" s="12"/>
      <c r="F17" s="12"/>
      <c r="G17" s="12"/>
      <c r="H17" s="12">
        <v>0</v>
      </c>
      <c r="I17" s="12"/>
      <c r="J17" s="12">
        <f t="shared" si="0"/>
        <v>0</v>
      </c>
      <c r="K17" s="12"/>
      <c r="L17" s="12"/>
      <c r="M17" s="12"/>
      <c r="N17" s="12">
        <f t="shared" si="2"/>
        <v>0.62</v>
      </c>
      <c r="Q17" s="246" t="s">
        <v>177</v>
      </c>
      <c r="R17" s="212">
        <v>436.25999999999982</v>
      </c>
      <c r="S17" s="22">
        <f t="shared" si="1"/>
        <v>2.8073864908762729E-2</v>
      </c>
    </row>
    <row r="18" spans="1:19" x14ac:dyDescent="0.35">
      <c r="A18" s="6" t="s">
        <v>26</v>
      </c>
      <c r="B18" s="12">
        <v>2.0100000000000002</v>
      </c>
      <c r="C18" s="12">
        <v>3.51</v>
      </c>
      <c r="D18" s="12"/>
      <c r="E18" s="12">
        <v>12.73</v>
      </c>
      <c r="F18" s="12"/>
      <c r="G18" s="12">
        <v>0.51</v>
      </c>
      <c r="H18" s="12">
        <v>0</v>
      </c>
      <c r="I18" s="12"/>
      <c r="J18" s="12">
        <f t="shared" si="0"/>
        <v>0.05</v>
      </c>
      <c r="K18" s="12"/>
      <c r="L18" s="12"/>
      <c r="M18" s="12">
        <v>1.56</v>
      </c>
      <c r="N18" s="12">
        <f t="shared" si="2"/>
        <v>20.37</v>
      </c>
      <c r="Q18" s="246" t="s">
        <v>179</v>
      </c>
      <c r="R18" s="212">
        <v>399.99999999999994</v>
      </c>
      <c r="S18" s="22">
        <f t="shared" si="1"/>
        <v>2.5740489532629841E-2</v>
      </c>
    </row>
    <row r="19" spans="1:19" x14ac:dyDescent="0.35">
      <c r="A19" s="6" t="s">
        <v>27</v>
      </c>
      <c r="B19" s="12">
        <v>0</v>
      </c>
      <c r="C19" s="12">
        <v>60.11</v>
      </c>
      <c r="D19" s="12"/>
      <c r="E19" s="12">
        <v>0.04</v>
      </c>
      <c r="F19" s="12"/>
      <c r="G19" s="12"/>
      <c r="H19" s="12">
        <v>0</v>
      </c>
      <c r="I19" s="12"/>
      <c r="J19" s="12">
        <f t="shared" si="0"/>
        <v>651.74</v>
      </c>
      <c r="K19" s="12"/>
      <c r="L19" s="12">
        <v>81.06</v>
      </c>
      <c r="M19" s="12">
        <v>1.64</v>
      </c>
      <c r="N19" s="12">
        <f t="shared" si="2"/>
        <v>794.59</v>
      </c>
      <c r="Q19" s="246" t="s">
        <v>182</v>
      </c>
      <c r="R19" s="212">
        <v>270.28000000000003</v>
      </c>
      <c r="S19" s="384">
        <f t="shared" si="1"/>
        <v>1.7392848777197989E-2</v>
      </c>
    </row>
    <row r="20" spans="1:19" x14ac:dyDescent="0.35">
      <c r="A20" s="6" t="s">
        <v>28</v>
      </c>
      <c r="B20" s="12">
        <v>0</v>
      </c>
      <c r="C20" s="12">
        <v>0.15</v>
      </c>
      <c r="D20" s="12"/>
      <c r="E20" s="12"/>
      <c r="F20" s="12"/>
      <c r="G20" s="12"/>
      <c r="H20" s="12">
        <v>0</v>
      </c>
      <c r="I20" s="12"/>
      <c r="J20" s="12">
        <f t="shared" si="0"/>
        <v>0</v>
      </c>
      <c r="K20" s="12"/>
      <c r="L20" s="12">
        <v>0.16</v>
      </c>
      <c r="M20" s="12"/>
      <c r="N20" s="12">
        <f t="shared" si="2"/>
        <v>0.31</v>
      </c>
      <c r="Q20" s="246" t="s">
        <v>184</v>
      </c>
      <c r="R20" s="212">
        <v>164.09999999999997</v>
      </c>
      <c r="S20" s="384">
        <f t="shared" si="1"/>
        <v>1.0560035830761393E-2</v>
      </c>
    </row>
    <row r="21" spans="1:19" x14ac:dyDescent="0.35">
      <c r="A21" s="6" t="s">
        <v>29</v>
      </c>
      <c r="B21" s="12">
        <v>1.68</v>
      </c>
      <c r="C21" s="12">
        <v>23.250000000000004</v>
      </c>
      <c r="D21" s="12">
        <v>0.67</v>
      </c>
      <c r="E21" s="12">
        <v>21.159999999999997</v>
      </c>
      <c r="F21" s="12"/>
      <c r="G21" s="12"/>
      <c r="H21" s="12">
        <v>0</v>
      </c>
      <c r="I21" s="12"/>
      <c r="J21" s="12">
        <f t="shared" si="0"/>
        <v>9.11</v>
      </c>
      <c r="K21" s="12"/>
      <c r="L21" s="12">
        <v>51.25</v>
      </c>
      <c r="M21" s="12">
        <v>38.540000000000006</v>
      </c>
      <c r="N21" s="12">
        <f t="shared" si="2"/>
        <v>145.66000000000003</v>
      </c>
      <c r="Q21" s="246" t="s">
        <v>180</v>
      </c>
      <c r="R21" s="212">
        <v>154.44</v>
      </c>
      <c r="S21" s="384">
        <f t="shared" si="1"/>
        <v>9.9384030085483827E-3</v>
      </c>
    </row>
    <row r="22" spans="1:19" x14ac:dyDescent="0.35">
      <c r="A22" s="6" t="s">
        <v>30</v>
      </c>
      <c r="B22" s="12">
        <v>0</v>
      </c>
      <c r="C22" s="12">
        <v>4.59</v>
      </c>
      <c r="D22" s="12"/>
      <c r="E22" s="12">
        <v>15.33</v>
      </c>
      <c r="F22" s="12">
        <v>1.96</v>
      </c>
      <c r="G22" s="12"/>
      <c r="H22" s="12">
        <v>3.7800000000000002</v>
      </c>
      <c r="I22" s="12"/>
      <c r="J22" s="12">
        <f t="shared" si="0"/>
        <v>0</v>
      </c>
      <c r="K22" s="12"/>
      <c r="L22" s="12">
        <v>25.43</v>
      </c>
      <c r="M22" s="12"/>
      <c r="N22" s="12">
        <f t="shared" si="2"/>
        <v>51.09</v>
      </c>
      <c r="Q22" s="246" t="s">
        <v>181</v>
      </c>
      <c r="R22" s="212">
        <v>135.53</v>
      </c>
      <c r="S22" s="384">
        <f t="shared" si="1"/>
        <v>8.7215213658933081E-3</v>
      </c>
    </row>
    <row r="23" spans="1:19" x14ac:dyDescent="0.35">
      <c r="A23" s="245" t="s">
        <v>13</v>
      </c>
      <c r="B23" s="246">
        <v>276.39999999999992</v>
      </c>
      <c r="C23" s="246">
        <v>19.239999999999995</v>
      </c>
      <c r="D23" s="246">
        <v>89.66</v>
      </c>
      <c r="E23" s="246">
        <v>68.400000000000006</v>
      </c>
      <c r="F23" s="246">
        <v>161.57999999999996</v>
      </c>
      <c r="G23" s="246">
        <v>94.759999999999991</v>
      </c>
      <c r="H23" s="246">
        <v>4072.3100000000391</v>
      </c>
      <c r="I23" s="246">
        <v>360.24000000000012</v>
      </c>
      <c r="J23" s="246">
        <f t="shared" si="0"/>
        <v>1716.6299999999967</v>
      </c>
      <c r="K23" s="246">
        <v>9.8800000000000008</v>
      </c>
      <c r="L23" s="246">
        <v>316.68000000000018</v>
      </c>
      <c r="M23" s="246">
        <v>415.82000000000016</v>
      </c>
      <c r="N23" s="246">
        <f>SUM(B23:M23)</f>
        <v>7601.6000000000349</v>
      </c>
      <c r="Q23" s="246" t="s">
        <v>183</v>
      </c>
      <c r="R23" s="212">
        <v>92.61</v>
      </c>
      <c r="S23" s="384">
        <f t="shared" si="1"/>
        <v>5.9595668390421252E-3</v>
      </c>
    </row>
    <row r="24" spans="1:19" x14ac:dyDescent="0.35">
      <c r="A24" s="6" t="s">
        <v>34</v>
      </c>
      <c r="B24" s="12">
        <v>7.4599999999999991</v>
      </c>
      <c r="C24" s="12">
        <v>0.66000000000000014</v>
      </c>
      <c r="D24" s="12"/>
      <c r="E24" s="12">
        <v>15.71</v>
      </c>
      <c r="F24" s="12"/>
      <c r="G24" s="12">
        <v>0.95</v>
      </c>
      <c r="H24" s="12">
        <v>63.830000000000034</v>
      </c>
      <c r="I24" s="12">
        <v>101.72000000000008</v>
      </c>
      <c r="J24" s="12">
        <f t="shared" si="0"/>
        <v>24.139999999999993</v>
      </c>
      <c r="K24" s="12">
        <v>6.28</v>
      </c>
      <c r="L24" s="12">
        <v>12.62</v>
      </c>
      <c r="M24" s="12">
        <v>15.739999999999998</v>
      </c>
      <c r="N24" s="12">
        <f t="shared" si="2"/>
        <v>249.1100000000001</v>
      </c>
      <c r="Q24" s="246" t="s">
        <v>122</v>
      </c>
      <c r="R24" s="212">
        <v>4162.1600000000162</v>
      </c>
      <c r="S24" s="22">
        <f t="shared" ref="S24:S26" si="3">R24/$R$26</f>
        <v>0.26784008978282764</v>
      </c>
    </row>
    <row r="25" spans="1:19" x14ac:dyDescent="0.35">
      <c r="A25" s="6" t="s">
        <v>61</v>
      </c>
      <c r="B25" s="12">
        <v>222.1999999999999</v>
      </c>
      <c r="C25" s="12">
        <v>6.59</v>
      </c>
      <c r="D25" s="12">
        <v>12.27</v>
      </c>
      <c r="E25" s="12">
        <v>46.310000000000009</v>
      </c>
      <c r="F25" s="12">
        <v>130.61999999999995</v>
      </c>
      <c r="G25" s="12">
        <v>28.13000000000001</v>
      </c>
      <c r="H25" s="12">
        <v>264.70999999999987</v>
      </c>
      <c r="I25" s="12">
        <v>52.27000000000001</v>
      </c>
      <c r="J25" s="12">
        <f t="shared" si="0"/>
        <v>1633.1899999999966</v>
      </c>
      <c r="K25" s="12">
        <v>2.5800000000000005</v>
      </c>
      <c r="L25" s="12">
        <v>75.259999999999991</v>
      </c>
      <c r="M25" s="12">
        <v>351.72000000000014</v>
      </c>
      <c r="N25" s="227">
        <f t="shared" si="2"/>
        <v>2825.8499999999967</v>
      </c>
      <c r="Q25" s="246" t="s">
        <v>123</v>
      </c>
      <c r="R25" s="212">
        <v>2515.869999999999</v>
      </c>
      <c r="S25" s="22">
        <f t="shared" si="3"/>
        <v>0.16189931350114356</v>
      </c>
    </row>
    <row r="26" spans="1:19" x14ac:dyDescent="0.35">
      <c r="A26" s="6" t="s">
        <v>36</v>
      </c>
      <c r="B26" s="12">
        <v>46.740000000000009</v>
      </c>
      <c r="C26" s="12">
        <v>11.989999999999997</v>
      </c>
      <c r="D26" s="12">
        <v>77.39</v>
      </c>
      <c r="E26" s="12">
        <v>6.38</v>
      </c>
      <c r="F26" s="12">
        <v>30.960000000000004</v>
      </c>
      <c r="G26" s="12">
        <v>65.679999999999978</v>
      </c>
      <c r="H26" s="12">
        <v>3743.7700000000391</v>
      </c>
      <c r="I26" s="12">
        <v>206.25</v>
      </c>
      <c r="J26" s="12">
        <f t="shared" si="0"/>
        <v>59.299999999999983</v>
      </c>
      <c r="K26" s="12">
        <v>1.0200000000000002</v>
      </c>
      <c r="L26" s="12">
        <v>228.80000000000015</v>
      </c>
      <c r="M26" s="12">
        <v>48.359999999999992</v>
      </c>
      <c r="N26" s="12">
        <f t="shared" si="2"/>
        <v>4526.6400000000394</v>
      </c>
      <c r="Q26" s="243" t="s">
        <v>130</v>
      </c>
      <c r="R26" s="259">
        <v>15539.720000000052</v>
      </c>
      <c r="S26" s="260">
        <f t="shared" si="3"/>
        <v>1</v>
      </c>
    </row>
    <row r="27" spans="1:19" x14ac:dyDescent="0.35">
      <c r="A27" s="245" t="s">
        <v>14</v>
      </c>
      <c r="B27" s="246">
        <v>24.889999999999997</v>
      </c>
      <c r="C27" s="246">
        <v>1.34</v>
      </c>
      <c r="D27" s="246"/>
      <c r="E27" s="246">
        <v>1.99</v>
      </c>
      <c r="F27" s="246">
        <v>0.16</v>
      </c>
      <c r="G27" s="246">
        <v>2.58</v>
      </c>
      <c r="H27" s="246">
        <v>0</v>
      </c>
      <c r="I27" s="246"/>
      <c r="J27" s="246">
        <f t="shared" si="0"/>
        <v>34.870000000000005</v>
      </c>
      <c r="K27" s="246">
        <v>0.24</v>
      </c>
      <c r="L27" s="246">
        <v>3525.8500000000158</v>
      </c>
      <c r="M27" s="246">
        <v>30.17</v>
      </c>
      <c r="N27" s="246">
        <f>SUM(B27:M27)</f>
        <v>3622.0900000000161</v>
      </c>
    </row>
    <row r="28" spans="1:19" x14ac:dyDescent="0.35">
      <c r="A28" s="6" t="s">
        <v>37</v>
      </c>
      <c r="B28" s="12">
        <v>12.469999999999997</v>
      </c>
      <c r="C28" s="12"/>
      <c r="D28" s="12"/>
      <c r="E28" s="12"/>
      <c r="F28" s="12"/>
      <c r="G28" s="12"/>
      <c r="H28" s="12">
        <v>0</v>
      </c>
      <c r="I28" s="12"/>
      <c r="J28" s="12">
        <f t="shared" si="0"/>
        <v>1.4</v>
      </c>
      <c r="K28" s="12"/>
      <c r="L28" s="12">
        <v>110.52000000000001</v>
      </c>
      <c r="M28" s="12">
        <v>0.3</v>
      </c>
      <c r="N28" s="12">
        <f t="shared" si="2"/>
        <v>124.69000000000001</v>
      </c>
    </row>
    <row r="29" spans="1:19" x14ac:dyDescent="0.35">
      <c r="A29" s="6" t="s">
        <v>38</v>
      </c>
      <c r="B29" s="12">
        <v>0</v>
      </c>
      <c r="C29" s="12"/>
      <c r="D29" s="12"/>
      <c r="E29" s="12"/>
      <c r="F29" s="12"/>
      <c r="G29" s="12"/>
      <c r="H29" s="12">
        <v>0</v>
      </c>
      <c r="I29" s="12"/>
      <c r="J29" s="12">
        <f t="shared" si="0"/>
        <v>0</v>
      </c>
      <c r="K29" s="12"/>
      <c r="L29" s="12">
        <v>1.73</v>
      </c>
      <c r="M29" s="12"/>
      <c r="N29" s="12">
        <f t="shared" si="2"/>
        <v>1.73</v>
      </c>
    </row>
    <row r="30" spans="1:19" x14ac:dyDescent="0.35">
      <c r="A30" s="6" t="s">
        <v>40</v>
      </c>
      <c r="B30" s="12">
        <v>12.42</v>
      </c>
      <c r="C30" s="12">
        <v>1.34</v>
      </c>
      <c r="D30" s="12"/>
      <c r="E30" s="12">
        <v>1.99</v>
      </c>
      <c r="F30" s="12">
        <v>0.16</v>
      </c>
      <c r="G30" s="12">
        <v>2.58</v>
      </c>
      <c r="H30" s="12">
        <v>0</v>
      </c>
      <c r="I30" s="12"/>
      <c r="J30" s="12">
        <f t="shared" si="0"/>
        <v>33.470000000000006</v>
      </c>
      <c r="K30" s="12">
        <v>0.24</v>
      </c>
      <c r="L30" s="12">
        <v>3413.6000000000158</v>
      </c>
      <c r="M30" s="12">
        <v>29.87</v>
      </c>
      <c r="N30" s="12">
        <f t="shared" si="2"/>
        <v>3495.6700000000155</v>
      </c>
    </row>
    <row r="31" spans="1:19" x14ac:dyDescent="0.35">
      <c r="A31" s="245" t="s">
        <v>17</v>
      </c>
      <c r="B31" s="246">
        <v>0</v>
      </c>
      <c r="C31" s="246"/>
      <c r="D31" s="246"/>
      <c r="E31" s="246"/>
      <c r="F31" s="246"/>
      <c r="G31" s="246"/>
      <c r="H31" s="246">
        <v>0</v>
      </c>
      <c r="I31" s="246"/>
      <c r="J31" s="246">
        <f t="shared" si="0"/>
        <v>0</v>
      </c>
      <c r="K31" s="246">
        <v>3.13</v>
      </c>
      <c r="L31" s="246"/>
      <c r="M31" s="246">
        <v>0.33</v>
      </c>
      <c r="N31" s="246">
        <f>SUM(B31:M31)</f>
        <v>3.46</v>
      </c>
    </row>
    <row r="32" spans="1:19" x14ac:dyDescent="0.35">
      <c r="A32" s="6" t="s">
        <v>55</v>
      </c>
      <c r="B32" s="12">
        <v>0</v>
      </c>
      <c r="C32" s="12"/>
      <c r="D32" s="12"/>
      <c r="E32" s="12"/>
      <c r="F32" s="12"/>
      <c r="G32" s="12"/>
      <c r="H32" s="12">
        <v>0</v>
      </c>
      <c r="I32" s="12"/>
      <c r="J32" s="12">
        <f t="shared" si="0"/>
        <v>0</v>
      </c>
      <c r="K32" s="12">
        <v>3.13</v>
      </c>
      <c r="L32" s="12"/>
      <c r="M32" s="12">
        <v>0.33</v>
      </c>
      <c r="N32" s="12">
        <f t="shared" si="2"/>
        <v>3.46</v>
      </c>
    </row>
    <row r="33" spans="1:19" x14ac:dyDescent="0.35">
      <c r="A33" s="245" t="s">
        <v>18</v>
      </c>
      <c r="B33" s="246">
        <v>93.840000000000032</v>
      </c>
      <c r="C33" s="246">
        <v>1.63</v>
      </c>
      <c r="D33" s="246">
        <v>2.2799999999999998</v>
      </c>
      <c r="E33" s="246">
        <v>17.79</v>
      </c>
      <c r="F33" s="246"/>
      <c r="G33" s="246">
        <v>172.24000000000004</v>
      </c>
      <c r="H33" s="246">
        <v>12.23</v>
      </c>
      <c r="I33" s="246">
        <v>91.199999999999974</v>
      </c>
      <c r="J33" s="246">
        <f t="shared" si="0"/>
        <v>41.84</v>
      </c>
      <c r="K33" s="246">
        <v>1.4100000000000001</v>
      </c>
      <c r="L33" s="246">
        <v>105.19000000000004</v>
      </c>
      <c r="M33" s="246">
        <v>2011.6599999999992</v>
      </c>
      <c r="N33" s="246">
        <f>SUM(B33:M33)</f>
        <v>2551.3099999999995</v>
      </c>
    </row>
    <row r="34" spans="1:19" x14ac:dyDescent="0.35">
      <c r="A34" s="6" t="s">
        <v>18</v>
      </c>
      <c r="B34" s="12">
        <v>93.840000000000032</v>
      </c>
      <c r="C34" s="12">
        <v>1.63</v>
      </c>
      <c r="D34" s="12">
        <v>2.2799999999999998</v>
      </c>
      <c r="E34" s="12">
        <v>17.79</v>
      </c>
      <c r="F34" s="12"/>
      <c r="G34" s="12">
        <v>172.24000000000004</v>
      </c>
      <c r="H34" s="12">
        <v>12.23</v>
      </c>
      <c r="I34" s="12">
        <v>91.199999999999974</v>
      </c>
      <c r="J34" s="12">
        <f t="shared" si="0"/>
        <v>41.84</v>
      </c>
      <c r="K34" s="12">
        <v>1.4100000000000001</v>
      </c>
      <c r="L34" s="12">
        <v>105.19000000000004</v>
      </c>
      <c r="M34" s="12">
        <v>2011.6599999999992</v>
      </c>
      <c r="N34" s="12">
        <f t="shared" si="2"/>
        <v>2551.3099999999995</v>
      </c>
    </row>
    <row r="35" spans="1:19" x14ac:dyDescent="0.35">
      <c r="A35" s="245" t="s">
        <v>22</v>
      </c>
      <c r="B35" s="246">
        <v>1.1800000000000002</v>
      </c>
      <c r="C35" s="246">
        <v>1.38</v>
      </c>
      <c r="D35" s="246"/>
      <c r="E35" s="246">
        <v>15.389999999999999</v>
      </c>
      <c r="F35" s="246"/>
      <c r="G35" s="246">
        <v>0.19</v>
      </c>
      <c r="H35" s="246">
        <v>19.010000000000002</v>
      </c>
      <c r="I35" s="246"/>
      <c r="J35" s="246">
        <f t="shared" si="0"/>
        <v>192.59999999999997</v>
      </c>
      <c r="K35" s="246">
        <v>421.13999999999982</v>
      </c>
      <c r="L35" s="246">
        <v>45.81</v>
      </c>
      <c r="M35" s="246">
        <v>15.77</v>
      </c>
      <c r="N35" s="246">
        <f>SUM(B35:M35)</f>
        <v>712.4699999999998</v>
      </c>
    </row>
    <row r="36" spans="1:19" x14ac:dyDescent="0.35">
      <c r="A36" s="6" t="s">
        <v>22</v>
      </c>
      <c r="B36" s="12">
        <v>1.1800000000000002</v>
      </c>
      <c r="C36" s="12">
        <v>1.38</v>
      </c>
      <c r="D36" s="12"/>
      <c r="E36" s="12">
        <v>15.389999999999999</v>
      </c>
      <c r="F36" s="12"/>
      <c r="G36" s="12">
        <v>0.19</v>
      </c>
      <c r="H36" s="12">
        <v>19.010000000000002</v>
      </c>
      <c r="I36" s="12"/>
      <c r="J36" s="12">
        <f t="shared" si="0"/>
        <v>192.59999999999997</v>
      </c>
      <c r="K36" s="12">
        <v>421.13999999999982</v>
      </c>
      <c r="L36" s="12">
        <v>45.81</v>
      </c>
      <c r="M36" s="12">
        <v>15.77</v>
      </c>
      <c r="N36" s="12">
        <f t="shared" si="2"/>
        <v>712.4699999999998</v>
      </c>
    </row>
    <row r="37" spans="1:19" ht="15.5" x14ac:dyDescent="0.35">
      <c r="A37" s="258" t="s">
        <v>25</v>
      </c>
      <c r="B37" s="251">
        <f>SUM(B35,B33,B31,B27,B23,B14)</f>
        <v>399.99999999999994</v>
      </c>
      <c r="C37" s="251">
        <f t="shared" ref="C37:L37" si="4">SUM(C35,C33,C31,C27,C23,C14)</f>
        <v>135.53</v>
      </c>
      <c r="D37" s="253">
        <f t="shared" si="4"/>
        <v>92.61</v>
      </c>
      <c r="E37" s="255">
        <f t="shared" si="4"/>
        <v>154.44</v>
      </c>
      <c r="F37" s="251">
        <f t="shared" si="4"/>
        <v>164.09999999999997</v>
      </c>
      <c r="G37" s="256">
        <f t="shared" si="4"/>
        <v>270.28000000000003</v>
      </c>
      <c r="H37" s="249">
        <f t="shared" si="4"/>
        <v>4107.3900000000394</v>
      </c>
      <c r="I37" s="248">
        <f t="shared" si="4"/>
        <v>451.44000000000011</v>
      </c>
      <c r="J37" s="250">
        <f t="shared" si="4"/>
        <v>2649.6399999999967</v>
      </c>
      <c r="K37" s="251">
        <f t="shared" si="4"/>
        <v>436.25999999999982</v>
      </c>
      <c r="L37" s="248">
        <f t="shared" si="4"/>
        <v>4162.1600000000162</v>
      </c>
      <c r="M37" s="253">
        <f>SUM(M35,M33,M31,M27,M23,M14)</f>
        <v>2515.869999999999</v>
      </c>
      <c r="N37" s="254">
        <f>SUM(B37:M37)</f>
        <v>15539.720000000052</v>
      </c>
    </row>
    <row r="40" spans="1:19" ht="18.5" x14ac:dyDescent="0.45">
      <c r="A40" s="223"/>
    </row>
    <row r="41" spans="1:19" ht="15.5" x14ac:dyDescent="0.35">
      <c r="A41" s="238" t="s">
        <v>98</v>
      </c>
    </row>
    <row r="42" spans="1:19" ht="15" customHeight="1" x14ac:dyDescent="0.35">
      <c r="A42" s="703" t="s">
        <v>88</v>
      </c>
      <c r="B42" s="725" t="s">
        <v>113</v>
      </c>
      <c r="C42" s="726"/>
      <c r="D42" s="726"/>
      <c r="E42" s="726"/>
      <c r="F42" s="726"/>
      <c r="G42" s="726"/>
      <c r="H42" s="726"/>
      <c r="I42" s="726"/>
      <c r="J42" s="726"/>
      <c r="K42" s="726"/>
      <c r="L42" s="726"/>
      <c r="M42" s="726"/>
      <c r="N42" s="726"/>
    </row>
    <row r="43" spans="1:19" ht="30" customHeight="1" x14ac:dyDescent="0.35">
      <c r="A43" s="704"/>
      <c r="B43" s="244" t="s">
        <v>179</v>
      </c>
      <c r="C43" s="244" t="s">
        <v>181</v>
      </c>
      <c r="D43" s="244" t="s">
        <v>183</v>
      </c>
      <c r="E43" s="281" t="s">
        <v>180</v>
      </c>
      <c r="F43" s="244" t="s">
        <v>184</v>
      </c>
      <c r="G43" s="244" t="s">
        <v>182</v>
      </c>
      <c r="H43" s="281" t="s">
        <v>175</v>
      </c>
      <c r="I43" s="244" t="s">
        <v>178</v>
      </c>
      <c r="J43" s="244" t="s">
        <v>176</v>
      </c>
      <c r="K43" s="244" t="s">
        <v>177</v>
      </c>
      <c r="L43" s="244" t="s">
        <v>122</v>
      </c>
      <c r="M43" s="244" t="s">
        <v>123</v>
      </c>
      <c r="N43" s="244" t="s">
        <v>124</v>
      </c>
      <c r="Q43" s="706" t="s">
        <v>207</v>
      </c>
      <c r="R43" s="707"/>
      <c r="S43" s="708"/>
    </row>
    <row r="44" spans="1:19" x14ac:dyDescent="0.35">
      <c r="A44" s="245" t="s">
        <v>5</v>
      </c>
      <c r="B44" s="246"/>
      <c r="C44" s="246">
        <v>17.510000000000002</v>
      </c>
      <c r="D44" s="246">
        <v>0.67</v>
      </c>
      <c r="E44" s="246">
        <v>15.89</v>
      </c>
      <c r="F44" s="246"/>
      <c r="G44" s="246"/>
      <c r="H44" s="246">
        <v>0</v>
      </c>
      <c r="I44" s="246"/>
      <c r="J44" s="246">
        <v>241.62</v>
      </c>
      <c r="K44" s="246"/>
      <c r="L44" s="246">
        <v>18.010000000000005</v>
      </c>
      <c r="M44" s="246">
        <v>26.35</v>
      </c>
      <c r="N44" s="246">
        <f>SUM(B44:M44)</f>
        <v>320.05</v>
      </c>
      <c r="Q44" s="246" t="s">
        <v>176</v>
      </c>
      <c r="R44" s="212">
        <v>377.1</v>
      </c>
      <c r="S44" s="22">
        <f t="shared" ref="S44:S53" si="5">R44/$R$56</f>
        <v>0.26715691483709164</v>
      </c>
    </row>
    <row r="45" spans="1:19" x14ac:dyDescent="0.35">
      <c r="A45" s="6" t="s">
        <v>78</v>
      </c>
      <c r="B45" s="12"/>
      <c r="C45" s="12"/>
      <c r="D45" s="12"/>
      <c r="E45" s="12">
        <v>0.63</v>
      </c>
      <c r="F45" s="12"/>
      <c r="G45" s="12"/>
      <c r="H45" s="12">
        <v>0</v>
      </c>
      <c r="I45" s="12"/>
      <c r="J45" s="12"/>
      <c r="K45" s="12"/>
      <c r="L45" s="12">
        <v>0.03</v>
      </c>
      <c r="M45" s="12"/>
      <c r="N45" s="12">
        <f>SUM(B45:M45)</f>
        <v>0.66</v>
      </c>
      <c r="Q45" s="246" t="s">
        <v>177</v>
      </c>
      <c r="R45" s="212">
        <v>155.01999999999998</v>
      </c>
      <c r="S45" s="22">
        <f t="shared" si="5"/>
        <v>0.10982409158855991</v>
      </c>
    </row>
    <row r="46" spans="1:19" x14ac:dyDescent="0.35">
      <c r="A46" s="6" t="s">
        <v>7</v>
      </c>
      <c r="B46" s="12"/>
      <c r="C46" s="12">
        <v>17.37</v>
      </c>
      <c r="D46" s="12"/>
      <c r="E46" s="12"/>
      <c r="F46" s="12"/>
      <c r="G46" s="12"/>
      <c r="H46" s="12">
        <v>0</v>
      </c>
      <c r="I46" s="12"/>
      <c r="J46" s="12"/>
      <c r="K46" s="12"/>
      <c r="L46" s="12">
        <v>1.7100000000000002</v>
      </c>
      <c r="M46" s="12"/>
      <c r="N46" s="12">
        <f t="shared" ref="N46:N66" si="6">SUM(B46:M46)</f>
        <v>19.080000000000002</v>
      </c>
      <c r="Q46" s="246" t="s">
        <v>175</v>
      </c>
      <c r="R46" s="212">
        <v>114.72</v>
      </c>
      <c r="S46" s="22">
        <f t="shared" si="5"/>
        <v>8.127351172132366E-2</v>
      </c>
    </row>
    <row r="47" spans="1:19" x14ac:dyDescent="0.35">
      <c r="A47" s="6" t="s">
        <v>8</v>
      </c>
      <c r="B47" s="12"/>
      <c r="C47" s="12"/>
      <c r="D47" s="12"/>
      <c r="E47" s="12"/>
      <c r="F47" s="12"/>
      <c r="G47" s="12"/>
      <c r="H47" s="12"/>
      <c r="I47" s="12"/>
      <c r="J47" s="12"/>
      <c r="K47" s="12"/>
      <c r="L47" s="12"/>
      <c r="M47" s="12"/>
      <c r="N47" s="12">
        <f t="shared" si="6"/>
        <v>0</v>
      </c>
      <c r="Q47" s="246" t="s">
        <v>182</v>
      </c>
      <c r="R47" s="212">
        <v>31.470000000000002</v>
      </c>
      <c r="S47" s="22">
        <f t="shared" si="5"/>
        <v>2.2294956536524194E-2</v>
      </c>
    </row>
    <row r="48" spans="1:19" x14ac:dyDescent="0.35">
      <c r="A48" s="6" t="s">
        <v>26</v>
      </c>
      <c r="B48" s="12"/>
      <c r="C48" s="12"/>
      <c r="D48" s="12"/>
      <c r="E48" s="12"/>
      <c r="F48" s="12"/>
      <c r="G48" s="12"/>
      <c r="H48" s="12"/>
      <c r="I48" s="12"/>
      <c r="J48" s="12"/>
      <c r="K48" s="12"/>
      <c r="L48" s="12"/>
      <c r="M48" s="12"/>
      <c r="N48" s="12">
        <f t="shared" si="6"/>
        <v>0</v>
      </c>
      <c r="Q48" s="246" t="s">
        <v>181</v>
      </c>
      <c r="R48" s="212">
        <v>17.510000000000002</v>
      </c>
      <c r="S48" s="384">
        <f t="shared" si="5"/>
        <v>1.2404978994424489E-2</v>
      </c>
    </row>
    <row r="49" spans="1:19" x14ac:dyDescent="0.35">
      <c r="A49" s="6" t="s">
        <v>27</v>
      </c>
      <c r="B49" s="12"/>
      <c r="C49" s="12"/>
      <c r="D49" s="12"/>
      <c r="E49" s="12"/>
      <c r="F49" s="12"/>
      <c r="G49" s="12"/>
      <c r="H49" s="12">
        <v>0</v>
      </c>
      <c r="I49" s="12"/>
      <c r="J49" s="12">
        <v>240.32</v>
      </c>
      <c r="K49" s="12"/>
      <c r="L49" s="12"/>
      <c r="M49" s="12"/>
      <c r="N49" s="12">
        <f t="shared" si="6"/>
        <v>240.32</v>
      </c>
      <c r="Q49" s="246" t="s">
        <v>180</v>
      </c>
      <c r="R49" s="212">
        <v>17.080000000000002</v>
      </c>
      <c r="S49" s="384">
        <f t="shared" si="5"/>
        <v>1.2100345015692193E-2</v>
      </c>
    </row>
    <row r="50" spans="1:19" x14ac:dyDescent="0.35">
      <c r="A50" s="6" t="s">
        <v>28</v>
      </c>
      <c r="B50" s="12"/>
      <c r="C50" s="12"/>
      <c r="D50" s="12"/>
      <c r="E50" s="12"/>
      <c r="F50" s="12"/>
      <c r="G50" s="12"/>
      <c r="H50" s="12"/>
      <c r="I50" s="12"/>
      <c r="J50" s="12"/>
      <c r="K50" s="12"/>
      <c r="L50" s="12"/>
      <c r="M50" s="12"/>
      <c r="N50" s="12">
        <f t="shared" si="6"/>
        <v>0</v>
      </c>
      <c r="Q50" s="246" t="s">
        <v>179</v>
      </c>
      <c r="R50" s="212">
        <v>13.749999999999998</v>
      </c>
      <c r="S50" s="384">
        <f t="shared" si="5"/>
        <v>9.7412028083002106E-3</v>
      </c>
    </row>
    <row r="51" spans="1:19" x14ac:dyDescent="0.35">
      <c r="A51" s="6" t="s">
        <v>29</v>
      </c>
      <c r="B51" s="12"/>
      <c r="C51" s="12">
        <v>0.01</v>
      </c>
      <c r="D51" s="12">
        <v>0.67</v>
      </c>
      <c r="E51" s="12">
        <v>0.26</v>
      </c>
      <c r="F51" s="12"/>
      <c r="G51" s="12"/>
      <c r="H51" s="12"/>
      <c r="I51" s="12"/>
      <c r="J51" s="12">
        <v>1.2999999999999998</v>
      </c>
      <c r="K51" s="12"/>
      <c r="L51" s="12"/>
      <c r="M51" s="12">
        <v>26.35</v>
      </c>
      <c r="N51" s="12">
        <f t="shared" si="6"/>
        <v>28.59</v>
      </c>
      <c r="Q51" s="246" t="s">
        <v>178</v>
      </c>
      <c r="R51" s="212">
        <v>9.2399999999999984</v>
      </c>
      <c r="S51" s="384">
        <f t="shared" si="5"/>
        <v>6.546088287177741E-3</v>
      </c>
    </row>
    <row r="52" spans="1:19" x14ac:dyDescent="0.35">
      <c r="A52" s="6" t="s">
        <v>30</v>
      </c>
      <c r="B52" s="12"/>
      <c r="C52" s="12">
        <v>0.13</v>
      </c>
      <c r="D52" s="12"/>
      <c r="E52" s="12">
        <v>15</v>
      </c>
      <c r="F52" s="12"/>
      <c r="G52" s="12"/>
      <c r="H52" s="12"/>
      <c r="I52" s="12"/>
      <c r="J52" s="12"/>
      <c r="K52" s="12"/>
      <c r="L52" s="12">
        <v>16.270000000000003</v>
      </c>
      <c r="M52" s="12"/>
      <c r="N52" s="12">
        <f t="shared" si="6"/>
        <v>31.400000000000006</v>
      </c>
      <c r="Q52" s="246" t="s">
        <v>183</v>
      </c>
      <c r="R52" s="212">
        <v>2.95</v>
      </c>
      <c r="S52" s="384">
        <f t="shared" si="5"/>
        <v>2.0899307843262275E-3</v>
      </c>
    </row>
    <row r="53" spans="1:19" x14ac:dyDescent="0.35">
      <c r="A53" s="245" t="s">
        <v>13</v>
      </c>
      <c r="B53" s="246">
        <v>0.24000000000000002</v>
      </c>
      <c r="C53" s="246"/>
      <c r="D53" s="246"/>
      <c r="E53" s="246"/>
      <c r="F53" s="246">
        <v>0.14000000000000001</v>
      </c>
      <c r="G53" s="246">
        <v>4.32</v>
      </c>
      <c r="H53" s="246">
        <v>108.33</v>
      </c>
      <c r="I53" s="246">
        <v>9.2299999999999986</v>
      </c>
      <c r="J53" s="246">
        <v>43.27</v>
      </c>
      <c r="K53" s="246"/>
      <c r="L53" s="246">
        <v>0.83</v>
      </c>
      <c r="M53" s="246">
        <v>10.399999999999999</v>
      </c>
      <c r="N53" s="246">
        <f>SUM(B53:M53)</f>
        <v>176.76000000000002</v>
      </c>
      <c r="Q53" s="246" t="s">
        <v>184</v>
      </c>
      <c r="R53" s="212">
        <v>0.14000000000000001</v>
      </c>
      <c r="S53" s="384">
        <f t="shared" si="5"/>
        <v>9.9183155866329435E-5</v>
      </c>
    </row>
    <row r="54" spans="1:19" x14ac:dyDescent="0.35">
      <c r="A54" s="6" t="s">
        <v>34</v>
      </c>
      <c r="B54" s="12">
        <v>0.2</v>
      </c>
      <c r="C54" s="12"/>
      <c r="D54" s="12"/>
      <c r="E54" s="12"/>
      <c r="F54" s="12"/>
      <c r="G54" s="12"/>
      <c r="H54" s="12"/>
      <c r="I54" s="12">
        <v>2.61</v>
      </c>
      <c r="J54" s="12">
        <v>7.4399999999999995</v>
      </c>
      <c r="K54" s="12"/>
      <c r="L54" s="12"/>
      <c r="M54" s="12">
        <v>8.7199999999999989</v>
      </c>
      <c r="N54" s="12">
        <f t="shared" si="6"/>
        <v>18.97</v>
      </c>
      <c r="Q54" s="246" t="s">
        <v>122</v>
      </c>
      <c r="R54" s="212">
        <v>283.93</v>
      </c>
      <c r="S54" s="22">
        <f t="shared" ref="S54:S56" si="7">R54/$R$56</f>
        <v>0.20115052460804939</v>
      </c>
    </row>
    <row r="55" spans="1:19" x14ac:dyDescent="0.35">
      <c r="A55" s="6" t="s">
        <v>61</v>
      </c>
      <c r="B55" s="12">
        <v>0.04</v>
      </c>
      <c r="C55" s="12"/>
      <c r="D55" s="12"/>
      <c r="E55" s="12"/>
      <c r="F55" s="12">
        <v>0.14000000000000001</v>
      </c>
      <c r="G55" s="12"/>
      <c r="H55" s="12">
        <v>0.63</v>
      </c>
      <c r="I55" s="12"/>
      <c r="J55" s="12">
        <v>35.460000000000008</v>
      </c>
      <c r="K55" s="12"/>
      <c r="L55" s="12">
        <v>0.83</v>
      </c>
      <c r="M55" s="12">
        <v>1.1499999999999999</v>
      </c>
      <c r="N55" s="227">
        <f t="shared" si="6"/>
        <v>38.250000000000007</v>
      </c>
      <c r="Q55" s="246" t="s">
        <v>123</v>
      </c>
      <c r="R55" s="212">
        <v>388.62000000000006</v>
      </c>
      <c r="S55" s="22">
        <f t="shared" si="7"/>
        <v>0.27531827166266393</v>
      </c>
    </row>
    <row r="56" spans="1:19" x14ac:dyDescent="0.35">
      <c r="A56" s="6" t="s">
        <v>36</v>
      </c>
      <c r="B56" s="12"/>
      <c r="C56" s="12"/>
      <c r="D56" s="12"/>
      <c r="E56" s="12"/>
      <c r="F56" s="12"/>
      <c r="G56" s="12">
        <v>4.32</v>
      </c>
      <c r="H56" s="12">
        <v>107.7</v>
      </c>
      <c r="I56" s="12">
        <v>6.6199999999999992</v>
      </c>
      <c r="J56" s="12">
        <v>0.37</v>
      </c>
      <c r="K56" s="12"/>
      <c r="L56" s="12"/>
      <c r="M56" s="12">
        <v>0.53</v>
      </c>
      <c r="N56" s="12">
        <f t="shared" si="6"/>
        <v>119.54000000000002</v>
      </c>
      <c r="Q56" s="243" t="s">
        <v>130</v>
      </c>
      <c r="R56" s="259">
        <v>1411.5300000000002</v>
      </c>
      <c r="S56" s="260">
        <f t="shared" si="7"/>
        <v>1</v>
      </c>
    </row>
    <row r="57" spans="1:19" x14ac:dyDescent="0.35">
      <c r="A57" s="245" t="s">
        <v>14</v>
      </c>
      <c r="B57" s="246">
        <v>10.95</v>
      </c>
      <c r="C57" s="246"/>
      <c r="D57" s="246"/>
      <c r="E57" s="246"/>
      <c r="F57" s="246"/>
      <c r="G57" s="246"/>
      <c r="H57" s="246"/>
      <c r="I57" s="246"/>
      <c r="J57" s="246">
        <v>2.08</v>
      </c>
      <c r="K57" s="246">
        <v>0.24</v>
      </c>
      <c r="L57" s="246">
        <v>233.69000000000003</v>
      </c>
      <c r="M57" s="246">
        <v>1</v>
      </c>
      <c r="N57" s="246">
        <f>SUM(B57:M57)</f>
        <v>247.96000000000004</v>
      </c>
    </row>
    <row r="58" spans="1:19" x14ac:dyDescent="0.35">
      <c r="A58" s="6" t="s">
        <v>37</v>
      </c>
      <c r="B58" s="12">
        <v>10.229999999999999</v>
      </c>
      <c r="C58" s="12"/>
      <c r="D58" s="12"/>
      <c r="E58" s="12"/>
      <c r="F58" s="12"/>
      <c r="G58" s="12"/>
      <c r="H58" s="12"/>
      <c r="I58" s="12"/>
      <c r="J58" s="12"/>
      <c r="K58" s="12"/>
      <c r="L58" s="12">
        <v>4.7</v>
      </c>
      <c r="M58" s="12"/>
      <c r="N58" s="12">
        <f t="shared" si="6"/>
        <v>14.93</v>
      </c>
    </row>
    <row r="59" spans="1:19" x14ac:dyDescent="0.35">
      <c r="A59" s="6" t="s">
        <v>38</v>
      </c>
      <c r="B59" s="12"/>
      <c r="C59" s="12"/>
      <c r="D59" s="12"/>
      <c r="E59" s="12"/>
      <c r="F59" s="12"/>
      <c r="G59" s="12"/>
      <c r="H59" s="12"/>
      <c r="I59" s="12"/>
      <c r="J59" s="12"/>
      <c r="K59" s="12"/>
      <c r="L59" s="12"/>
      <c r="M59" s="12"/>
      <c r="N59" s="12">
        <f t="shared" si="6"/>
        <v>0</v>
      </c>
    </row>
    <row r="60" spans="1:19" x14ac:dyDescent="0.35">
      <c r="A60" s="6" t="s">
        <v>40</v>
      </c>
      <c r="B60" s="12">
        <v>0.72</v>
      </c>
      <c r="C60" s="12"/>
      <c r="D60" s="12"/>
      <c r="E60" s="12"/>
      <c r="F60" s="12"/>
      <c r="G60" s="12"/>
      <c r="H60" s="12"/>
      <c r="I60" s="12"/>
      <c r="J60" s="12">
        <v>2.08</v>
      </c>
      <c r="K60" s="12">
        <v>0.24</v>
      </c>
      <c r="L60" s="12">
        <v>228.99000000000004</v>
      </c>
      <c r="M60" s="12">
        <v>1</v>
      </c>
      <c r="N60" s="12">
        <f t="shared" si="6"/>
        <v>233.03000000000003</v>
      </c>
    </row>
    <row r="61" spans="1:19" x14ac:dyDescent="0.35">
      <c r="A61" s="245" t="s">
        <v>17</v>
      </c>
      <c r="B61" s="246"/>
      <c r="C61" s="246"/>
      <c r="D61" s="246"/>
      <c r="E61" s="246"/>
      <c r="F61" s="246"/>
      <c r="G61" s="246"/>
      <c r="H61" s="246"/>
      <c r="I61" s="246"/>
      <c r="J61" s="246"/>
      <c r="K61" s="246"/>
      <c r="L61" s="246"/>
      <c r="M61" s="246">
        <v>0.33</v>
      </c>
      <c r="N61" s="246">
        <f>SUM(B61:M61)</f>
        <v>0.33</v>
      </c>
    </row>
    <row r="62" spans="1:19" x14ac:dyDescent="0.35">
      <c r="A62" s="6" t="s">
        <v>55</v>
      </c>
      <c r="B62" s="12"/>
      <c r="C62" s="12"/>
      <c r="D62" s="12"/>
      <c r="E62" s="12"/>
      <c r="F62" s="12"/>
      <c r="G62" s="12"/>
      <c r="H62" s="12"/>
      <c r="I62" s="12"/>
      <c r="J62" s="12"/>
      <c r="K62" s="12"/>
      <c r="L62" s="12"/>
      <c r="M62" s="12">
        <v>0.33</v>
      </c>
      <c r="N62" s="12">
        <f t="shared" si="6"/>
        <v>0.33</v>
      </c>
    </row>
    <row r="63" spans="1:19" x14ac:dyDescent="0.35">
      <c r="A63" s="245" t="s">
        <v>18</v>
      </c>
      <c r="B63" s="246">
        <v>1.9899999999999998</v>
      </c>
      <c r="C63" s="246"/>
      <c r="D63" s="246">
        <v>2.2800000000000002</v>
      </c>
      <c r="E63" s="246">
        <v>0.27</v>
      </c>
      <c r="F63" s="246"/>
      <c r="G63" s="246">
        <v>27.150000000000002</v>
      </c>
      <c r="H63" s="246">
        <v>4.6399999999999997</v>
      </c>
      <c r="I63" s="246">
        <v>0.01</v>
      </c>
      <c r="J63" s="246">
        <v>27.3</v>
      </c>
      <c r="K63" s="246"/>
      <c r="L63" s="246">
        <v>6.01</v>
      </c>
      <c r="M63" s="246">
        <v>340.7000000000001</v>
      </c>
      <c r="N63" s="246">
        <f>SUM(B63:M63)</f>
        <v>410.35000000000014</v>
      </c>
    </row>
    <row r="64" spans="1:19" x14ac:dyDescent="0.35">
      <c r="A64" s="6" t="s">
        <v>18</v>
      </c>
      <c r="B64" s="12">
        <v>1.9899999999999998</v>
      </c>
      <c r="C64" s="12"/>
      <c r="D64" s="12">
        <v>2.2800000000000002</v>
      </c>
      <c r="E64" s="12">
        <v>0.27</v>
      </c>
      <c r="F64" s="12"/>
      <c r="G64" s="12">
        <v>27.150000000000002</v>
      </c>
      <c r="H64" s="12">
        <v>4.6399999999999997</v>
      </c>
      <c r="I64" s="12">
        <v>0.01</v>
      </c>
      <c r="J64" s="12">
        <v>27.3</v>
      </c>
      <c r="K64" s="12"/>
      <c r="L64" s="12">
        <v>6.01</v>
      </c>
      <c r="M64" s="12">
        <v>340.7000000000001</v>
      </c>
      <c r="N64" s="12">
        <f t="shared" si="6"/>
        <v>410.35000000000014</v>
      </c>
    </row>
    <row r="65" spans="1:19" x14ac:dyDescent="0.35">
      <c r="A65" s="245" t="s">
        <v>22</v>
      </c>
      <c r="B65" s="246">
        <v>0.56999999999999995</v>
      </c>
      <c r="C65" s="246"/>
      <c r="D65" s="246"/>
      <c r="E65" s="246">
        <v>0.92</v>
      </c>
      <c r="F65" s="246"/>
      <c r="G65" s="246"/>
      <c r="H65" s="246">
        <v>1.75</v>
      </c>
      <c r="I65" s="246"/>
      <c r="J65" s="246">
        <v>62.83</v>
      </c>
      <c r="K65" s="246">
        <v>154.77999999999997</v>
      </c>
      <c r="L65" s="246">
        <v>25.39</v>
      </c>
      <c r="M65" s="246">
        <v>9.84</v>
      </c>
      <c r="N65" s="246">
        <f>SUM(B65:M65)</f>
        <v>256.07999999999993</v>
      </c>
    </row>
    <row r="66" spans="1:19" x14ac:dyDescent="0.35">
      <c r="A66" s="6" t="s">
        <v>22</v>
      </c>
      <c r="B66" s="12">
        <v>0.56999999999999995</v>
      </c>
      <c r="C66" s="12"/>
      <c r="D66" s="12"/>
      <c r="E66" s="12">
        <v>0.92</v>
      </c>
      <c r="F66" s="12"/>
      <c r="G66" s="12"/>
      <c r="H66" s="12">
        <v>1.75</v>
      </c>
      <c r="I66" s="12"/>
      <c r="J66" s="12">
        <v>62.83</v>
      </c>
      <c r="K66" s="12">
        <v>154.77999999999997</v>
      </c>
      <c r="L66" s="12">
        <v>25.39</v>
      </c>
      <c r="M66" s="12">
        <v>9.84</v>
      </c>
      <c r="N66" s="12">
        <f t="shared" si="6"/>
        <v>256.07999999999993</v>
      </c>
    </row>
    <row r="67" spans="1:19" ht="15.5" x14ac:dyDescent="0.35">
      <c r="A67" s="258" t="s">
        <v>25</v>
      </c>
      <c r="B67" s="251">
        <f>SUM(B65,B63,B61,B57,B53,B44)</f>
        <v>13.749999999999998</v>
      </c>
      <c r="C67" s="251">
        <f t="shared" ref="C67:M67" si="8">SUM(C65,C63,C61,C57,C53,C44)</f>
        <v>17.510000000000002</v>
      </c>
      <c r="D67" s="253">
        <f t="shared" si="8"/>
        <v>2.95</v>
      </c>
      <c r="E67" s="255">
        <f t="shared" si="8"/>
        <v>17.080000000000002</v>
      </c>
      <c r="F67" s="251">
        <f t="shared" si="8"/>
        <v>0.14000000000000001</v>
      </c>
      <c r="G67" s="256">
        <f t="shared" si="8"/>
        <v>31.470000000000002</v>
      </c>
      <c r="H67" s="249">
        <f t="shared" si="8"/>
        <v>114.72</v>
      </c>
      <c r="I67" s="248">
        <f t="shared" si="8"/>
        <v>9.2399999999999984</v>
      </c>
      <c r="J67" s="250">
        <f t="shared" si="8"/>
        <v>377.1</v>
      </c>
      <c r="K67" s="251">
        <f t="shared" si="8"/>
        <v>155.01999999999998</v>
      </c>
      <c r="L67" s="248">
        <f t="shared" si="8"/>
        <v>283.93</v>
      </c>
      <c r="M67" s="253">
        <f t="shared" si="8"/>
        <v>388.62000000000006</v>
      </c>
      <c r="N67" s="254">
        <f>SUM(B67:M67)</f>
        <v>1411.5300000000002</v>
      </c>
    </row>
    <row r="70" spans="1:19" ht="18.5" x14ac:dyDescent="0.45">
      <c r="A70" s="223"/>
    </row>
    <row r="71" spans="1:19" ht="15.5" x14ac:dyDescent="0.35">
      <c r="A71" s="238" t="s">
        <v>109</v>
      </c>
    </row>
    <row r="72" spans="1:19" ht="15" customHeight="1" x14ac:dyDescent="0.35">
      <c r="A72" s="703" t="s">
        <v>88</v>
      </c>
      <c r="B72" s="725" t="s">
        <v>113</v>
      </c>
      <c r="C72" s="726"/>
      <c r="D72" s="726"/>
      <c r="E72" s="726"/>
      <c r="F72" s="726"/>
      <c r="G72" s="726"/>
      <c r="H72" s="726"/>
      <c r="I72" s="726"/>
      <c r="J72" s="726"/>
      <c r="K72" s="726"/>
      <c r="L72" s="726"/>
      <c r="M72" s="726"/>
      <c r="N72" s="726"/>
    </row>
    <row r="73" spans="1:19" ht="30" customHeight="1" x14ac:dyDescent="0.35">
      <c r="A73" s="704"/>
      <c r="B73" s="244" t="s">
        <v>179</v>
      </c>
      <c r="C73" s="244" t="s">
        <v>181</v>
      </c>
      <c r="D73" s="244" t="s">
        <v>183</v>
      </c>
      <c r="E73" s="281" t="s">
        <v>180</v>
      </c>
      <c r="F73" s="244" t="s">
        <v>184</v>
      </c>
      <c r="G73" s="244" t="s">
        <v>182</v>
      </c>
      <c r="H73" s="281" t="s">
        <v>175</v>
      </c>
      <c r="I73" s="244" t="s">
        <v>178</v>
      </c>
      <c r="J73" s="244" t="s">
        <v>176</v>
      </c>
      <c r="K73" s="244" t="s">
        <v>177</v>
      </c>
      <c r="L73" s="244" t="s">
        <v>122</v>
      </c>
      <c r="M73" s="244" t="s">
        <v>123</v>
      </c>
      <c r="N73" s="244" t="s">
        <v>124</v>
      </c>
      <c r="Q73" s="706" t="s">
        <v>208</v>
      </c>
      <c r="R73" s="707"/>
      <c r="S73" s="708"/>
    </row>
    <row r="74" spans="1:19" x14ac:dyDescent="0.35">
      <c r="A74" s="245" t="s">
        <v>5</v>
      </c>
      <c r="B74" s="246">
        <v>3.6900000000000004</v>
      </c>
      <c r="C74" s="246">
        <v>94.43</v>
      </c>
      <c r="D74" s="246"/>
      <c r="E74" s="246">
        <v>34.97999999999999</v>
      </c>
      <c r="F74" s="246">
        <v>2.36</v>
      </c>
      <c r="G74" s="246">
        <v>0.51</v>
      </c>
      <c r="H74" s="246">
        <v>3.8400000000000003</v>
      </c>
      <c r="I74" s="246"/>
      <c r="J74" s="246">
        <v>422.08000000000004</v>
      </c>
      <c r="K74" s="246">
        <v>0.46</v>
      </c>
      <c r="L74" s="246">
        <v>150.62</v>
      </c>
      <c r="M74" s="246">
        <v>15.770000000000003</v>
      </c>
      <c r="N74" s="246">
        <f>SUM(B74:M74)</f>
        <v>728.74000000000012</v>
      </c>
      <c r="Q74" s="246" t="s">
        <v>175</v>
      </c>
      <c r="R74" s="212">
        <v>3992.6700000000392</v>
      </c>
      <c r="S74" s="22">
        <f t="shared" ref="S74:S83" si="9">R74/$R$86</f>
        <v>0.2826030793753499</v>
      </c>
    </row>
    <row r="75" spans="1:19" x14ac:dyDescent="0.35">
      <c r="A75" s="6" t="s">
        <v>78</v>
      </c>
      <c r="B75" s="12"/>
      <c r="C75" s="12">
        <v>1.9700000000000002</v>
      </c>
      <c r="D75" s="12"/>
      <c r="E75" s="12">
        <v>0.66</v>
      </c>
      <c r="F75" s="12">
        <v>0.39999999999999997</v>
      </c>
      <c r="G75" s="12"/>
      <c r="H75" s="12">
        <v>0.06</v>
      </c>
      <c r="I75" s="12"/>
      <c r="J75" s="12">
        <v>0.27999999999999997</v>
      </c>
      <c r="K75" s="12">
        <v>0.46</v>
      </c>
      <c r="L75" s="12">
        <v>2.13</v>
      </c>
      <c r="M75" s="12"/>
      <c r="N75" s="12">
        <f>SUM(B75:M75)</f>
        <v>5.96</v>
      </c>
      <c r="Q75" s="246" t="s">
        <v>176</v>
      </c>
      <c r="R75" s="212">
        <v>2272.5399999999968</v>
      </c>
      <c r="S75" s="22">
        <f t="shared" si="9"/>
        <v>0.1608514608028338</v>
      </c>
    </row>
    <row r="76" spans="1:19" x14ac:dyDescent="0.35">
      <c r="A76" s="6" t="s">
        <v>7</v>
      </c>
      <c r="B76" s="12"/>
      <c r="C76" s="12">
        <v>0.37000000000000099</v>
      </c>
      <c r="D76" s="12"/>
      <c r="E76" s="12">
        <v>0.32</v>
      </c>
      <c r="F76" s="12"/>
      <c r="G76" s="12"/>
      <c r="H76" s="12"/>
      <c r="I76" s="12"/>
      <c r="J76" s="12">
        <v>2.52</v>
      </c>
      <c r="K76" s="12"/>
      <c r="L76" s="12">
        <v>6.8599999999999985</v>
      </c>
      <c r="M76" s="12">
        <v>0.38</v>
      </c>
      <c r="N76" s="12">
        <f t="shared" ref="N76:N96" si="10">SUM(B76:M76)</f>
        <v>10.450000000000001</v>
      </c>
      <c r="Q76" s="246" t="s">
        <v>178</v>
      </c>
      <c r="R76" s="212">
        <v>442.20000000000005</v>
      </c>
      <c r="S76" s="22">
        <f t="shared" si="9"/>
        <v>3.1299126073474272E-2</v>
      </c>
    </row>
    <row r="77" spans="1:19" x14ac:dyDescent="0.35">
      <c r="A77" s="6" t="s">
        <v>8</v>
      </c>
      <c r="B77" s="12"/>
      <c r="C77" s="12">
        <v>0.62</v>
      </c>
      <c r="D77" s="12"/>
      <c r="E77" s="12"/>
      <c r="F77" s="12"/>
      <c r="G77" s="12"/>
      <c r="H77" s="12"/>
      <c r="I77" s="12"/>
      <c r="J77" s="12"/>
      <c r="K77" s="12"/>
      <c r="L77" s="12"/>
      <c r="M77" s="12"/>
      <c r="N77" s="12">
        <f t="shared" si="10"/>
        <v>0.62</v>
      </c>
      <c r="Q77" s="246" t="s">
        <v>179</v>
      </c>
      <c r="R77" s="212">
        <v>386.24999999999994</v>
      </c>
      <c r="S77" s="22">
        <f t="shared" si="9"/>
        <v>2.7338958493621515E-2</v>
      </c>
    </row>
    <row r="78" spans="1:19" x14ac:dyDescent="0.35">
      <c r="A78" s="6" t="s">
        <v>26</v>
      </c>
      <c r="B78" s="12">
        <v>2.0100000000000002</v>
      </c>
      <c r="C78" s="12">
        <v>3.51</v>
      </c>
      <c r="D78" s="12"/>
      <c r="E78" s="12">
        <v>12.73</v>
      </c>
      <c r="F78" s="12"/>
      <c r="G78" s="12">
        <v>0.51</v>
      </c>
      <c r="H78" s="12"/>
      <c r="I78" s="12"/>
      <c r="J78" s="12">
        <v>0.05</v>
      </c>
      <c r="K78" s="12"/>
      <c r="L78" s="12"/>
      <c r="M78" s="12">
        <v>1.56</v>
      </c>
      <c r="N78" s="12">
        <f t="shared" si="10"/>
        <v>20.37</v>
      </c>
      <c r="Q78" s="246" t="s">
        <v>177</v>
      </c>
      <c r="R78" s="212">
        <v>281.23999999999984</v>
      </c>
      <c r="S78" s="22">
        <f t="shared" si="9"/>
        <v>1.9906300807109673E-2</v>
      </c>
    </row>
    <row r="79" spans="1:19" x14ac:dyDescent="0.35">
      <c r="A79" s="6" t="s">
        <v>27</v>
      </c>
      <c r="B79" s="12"/>
      <c r="C79" s="12">
        <v>60.11</v>
      </c>
      <c r="D79" s="12"/>
      <c r="E79" s="12"/>
      <c r="F79" s="12"/>
      <c r="G79" s="12"/>
      <c r="H79" s="12"/>
      <c r="I79" s="12"/>
      <c r="J79" s="12">
        <v>411.42</v>
      </c>
      <c r="K79" s="12"/>
      <c r="L79" s="12">
        <v>81.06</v>
      </c>
      <c r="M79" s="12">
        <v>1.64</v>
      </c>
      <c r="N79" s="12">
        <f t="shared" si="10"/>
        <v>554.23</v>
      </c>
      <c r="Q79" s="246" t="s">
        <v>182</v>
      </c>
      <c r="R79" s="212">
        <v>238.81000000000003</v>
      </c>
      <c r="S79" s="22">
        <f t="shared" si="9"/>
        <v>1.6903085250127521E-2</v>
      </c>
    </row>
    <row r="80" spans="1:19" x14ac:dyDescent="0.35">
      <c r="A80" s="6" t="s">
        <v>28</v>
      </c>
      <c r="B80" s="12"/>
      <c r="C80" s="12">
        <v>0.15</v>
      </c>
      <c r="D80" s="12"/>
      <c r="E80" s="12">
        <v>0</v>
      </c>
      <c r="F80" s="12"/>
      <c r="G80" s="12"/>
      <c r="H80" s="12"/>
      <c r="I80" s="12"/>
      <c r="J80" s="12"/>
      <c r="K80" s="12"/>
      <c r="L80" s="12">
        <v>0.16</v>
      </c>
      <c r="M80" s="12"/>
      <c r="N80" s="12">
        <f t="shared" si="10"/>
        <v>0.31</v>
      </c>
      <c r="Q80" s="246" t="s">
        <v>184</v>
      </c>
      <c r="R80" s="212">
        <v>163.95999999999998</v>
      </c>
      <c r="S80" s="384">
        <f t="shared" si="9"/>
        <v>1.1605166691557757E-2</v>
      </c>
    </row>
    <row r="81" spans="1:19" x14ac:dyDescent="0.35">
      <c r="A81" s="6" t="s">
        <v>29</v>
      </c>
      <c r="B81" s="12">
        <v>1.68</v>
      </c>
      <c r="C81" s="12">
        <v>23.240000000000002</v>
      </c>
      <c r="D81" s="12"/>
      <c r="E81" s="12">
        <v>20.899999999999995</v>
      </c>
      <c r="F81" s="12"/>
      <c r="G81" s="12"/>
      <c r="H81" s="12"/>
      <c r="I81" s="12"/>
      <c r="J81" s="12">
        <v>7.81</v>
      </c>
      <c r="K81" s="12"/>
      <c r="L81" s="12">
        <v>51.25</v>
      </c>
      <c r="M81" s="12">
        <v>12.190000000000005</v>
      </c>
      <c r="N81" s="12">
        <f t="shared" si="10"/>
        <v>117.07</v>
      </c>
      <c r="Q81" s="246" t="s">
        <v>180</v>
      </c>
      <c r="R81" s="212">
        <v>137.35999999999999</v>
      </c>
      <c r="S81" s="384">
        <f t="shared" si="9"/>
        <v>9.7224060548449232E-3</v>
      </c>
    </row>
    <row r="82" spans="1:19" x14ac:dyDescent="0.35">
      <c r="A82" s="6" t="s">
        <v>30</v>
      </c>
      <c r="B82" s="12"/>
      <c r="C82" s="12">
        <v>4.46</v>
      </c>
      <c r="D82" s="12"/>
      <c r="E82" s="12">
        <v>0.33000000000000007</v>
      </c>
      <c r="F82" s="12">
        <v>1.96</v>
      </c>
      <c r="G82" s="12"/>
      <c r="H82" s="12">
        <v>3.7800000000000002</v>
      </c>
      <c r="I82" s="12"/>
      <c r="J82" s="12"/>
      <c r="K82" s="12"/>
      <c r="L82" s="12">
        <v>9.1599999999999966</v>
      </c>
      <c r="M82" s="12"/>
      <c r="N82" s="12">
        <f t="shared" si="10"/>
        <v>19.689999999999998</v>
      </c>
      <c r="Q82" s="246" t="s">
        <v>181</v>
      </c>
      <c r="R82" s="212">
        <v>118.02000000000001</v>
      </c>
      <c r="S82" s="384">
        <f t="shared" si="9"/>
        <v>8.3535116670995779E-3</v>
      </c>
    </row>
    <row r="83" spans="1:19" x14ac:dyDescent="0.35">
      <c r="A83" s="245" t="s">
        <v>13</v>
      </c>
      <c r="B83" s="246">
        <v>276.15999999999991</v>
      </c>
      <c r="C83" s="246">
        <v>19.239999999999995</v>
      </c>
      <c r="D83" s="246">
        <v>89.66</v>
      </c>
      <c r="E83" s="246">
        <v>68.400000000000006</v>
      </c>
      <c r="F83" s="246">
        <v>161.43999999999997</v>
      </c>
      <c r="G83" s="246">
        <v>90.44</v>
      </c>
      <c r="H83" s="246">
        <v>3963.9800000000391</v>
      </c>
      <c r="I83" s="246">
        <v>351.0100000000001</v>
      </c>
      <c r="J83" s="246">
        <v>1673.3599999999967</v>
      </c>
      <c r="K83" s="246">
        <v>9.8800000000000008</v>
      </c>
      <c r="L83" s="246">
        <v>315.85000000000019</v>
      </c>
      <c r="M83" s="246">
        <v>405.42000000000019</v>
      </c>
      <c r="N83" s="246">
        <f>SUM(B83:M83)</f>
        <v>7424.8400000000365</v>
      </c>
      <c r="Q83" s="246" t="s">
        <v>183</v>
      </c>
      <c r="R83" s="212">
        <v>89.66</v>
      </c>
      <c r="S83" s="384">
        <f t="shared" si="9"/>
        <v>6.3461773942734114E-3</v>
      </c>
    </row>
    <row r="84" spans="1:19" x14ac:dyDescent="0.35">
      <c r="A84" s="6" t="s">
        <v>34</v>
      </c>
      <c r="B84" s="12">
        <v>7.2599999999999989</v>
      </c>
      <c r="C84" s="12">
        <v>0.66000000000000014</v>
      </c>
      <c r="D84" s="12"/>
      <c r="E84" s="12">
        <v>15.71</v>
      </c>
      <c r="F84" s="12"/>
      <c r="G84" s="12">
        <v>0.95</v>
      </c>
      <c r="H84" s="12">
        <v>63.830000000000034</v>
      </c>
      <c r="I84" s="12">
        <v>99.110000000000085</v>
      </c>
      <c r="J84" s="12">
        <v>16.699999999999992</v>
      </c>
      <c r="K84" s="12">
        <v>6.28</v>
      </c>
      <c r="L84" s="12">
        <v>12.62</v>
      </c>
      <c r="M84" s="12">
        <v>7.02</v>
      </c>
      <c r="N84" s="12">
        <f t="shared" si="10"/>
        <v>230.1400000000001</v>
      </c>
      <c r="Q84" s="246" t="s">
        <v>122</v>
      </c>
      <c r="R84" s="212">
        <v>3878.2300000000159</v>
      </c>
      <c r="S84" s="22">
        <f t="shared" ref="S84:S85" si="11">R84/$R$86</f>
        <v>0.27450296180897921</v>
      </c>
    </row>
    <row r="85" spans="1:19" x14ac:dyDescent="0.35">
      <c r="A85" s="6" t="s">
        <v>61</v>
      </c>
      <c r="B85" s="12">
        <v>222.15999999999991</v>
      </c>
      <c r="C85" s="12">
        <v>6.59</v>
      </c>
      <c r="D85" s="12">
        <v>12.27</v>
      </c>
      <c r="E85" s="12">
        <v>46.310000000000009</v>
      </c>
      <c r="F85" s="12">
        <v>130.47999999999996</v>
      </c>
      <c r="G85" s="12">
        <v>28.13000000000001</v>
      </c>
      <c r="H85" s="12">
        <v>264.07999999999987</v>
      </c>
      <c r="I85" s="12">
        <v>52.27000000000001</v>
      </c>
      <c r="J85" s="12">
        <v>1597.7299999999966</v>
      </c>
      <c r="K85" s="12">
        <v>2.5800000000000005</v>
      </c>
      <c r="L85" s="12">
        <v>74.429999999999993</v>
      </c>
      <c r="M85" s="12">
        <v>350.57000000000016</v>
      </c>
      <c r="N85" s="227">
        <f t="shared" si="10"/>
        <v>2787.5999999999963</v>
      </c>
      <c r="Q85" s="246" t="s">
        <v>123</v>
      </c>
      <c r="R85" s="212">
        <v>2127.2499999999995</v>
      </c>
      <c r="S85" s="22">
        <f t="shared" si="11"/>
        <v>0.15056776558072846</v>
      </c>
    </row>
    <row r="86" spans="1:19" x14ac:dyDescent="0.35">
      <c r="A86" s="6" t="s">
        <v>36</v>
      </c>
      <c r="B86" s="12">
        <v>46.740000000000009</v>
      </c>
      <c r="C86" s="12">
        <v>11.989999999999997</v>
      </c>
      <c r="D86" s="12">
        <v>77.39</v>
      </c>
      <c r="E86" s="12">
        <v>6.38</v>
      </c>
      <c r="F86" s="12">
        <v>30.960000000000004</v>
      </c>
      <c r="G86" s="12">
        <v>61.359999999999978</v>
      </c>
      <c r="H86" s="12">
        <v>3636.0700000000393</v>
      </c>
      <c r="I86" s="12">
        <v>199.63</v>
      </c>
      <c r="J86" s="12">
        <v>58.929999999999986</v>
      </c>
      <c r="K86" s="12">
        <v>1.0200000000000002</v>
      </c>
      <c r="L86" s="12">
        <v>228.80000000000015</v>
      </c>
      <c r="M86" s="12">
        <v>47.829999999999991</v>
      </c>
      <c r="N86" s="12">
        <f t="shared" si="10"/>
        <v>4407.1000000000404</v>
      </c>
      <c r="Q86" s="243" t="s">
        <v>130</v>
      </c>
      <c r="R86" s="259">
        <v>14128.190000000051</v>
      </c>
      <c r="S86" s="260">
        <f>R86/$R$86</f>
        <v>1</v>
      </c>
    </row>
    <row r="87" spans="1:19" x14ac:dyDescent="0.35">
      <c r="A87" s="245" t="s">
        <v>14</v>
      </c>
      <c r="B87" s="246">
        <v>13.939999999999998</v>
      </c>
      <c r="C87" s="246">
        <v>1.34</v>
      </c>
      <c r="D87" s="246"/>
      <c r="E87" s="246">
        <v>1.99</v>
      </c>
      <c r="F87" s="246">
        <v>0.16</v>
      </c>
      <c r="G87" s="246">
        <v>2.58</v>
      </c>
      <c r="H87" s="246"/>
      <c r="I87" s="246"/>
      <c r="J87" s="246">
        <v>32.790000000000006</v>
      </c>
      <c r="K87" s="246"/>
      <c r="L87" s="246">
        <v>3292.1600000000158</v>
      </c>
      <c r="M87" s="246">
        <v>29.17</v>
      </c>
      <c r="N87" s="246">
        <f>SUM(B87:M87)</f>
        <v>3374.130000000016</v>
      </c>
    </row>
    <row r="88" spans="1:19" x14ac:dyDescent="0.35">
      <c r="A88" s="6" t="s">
        <v>37</v>
      </c>
      <c r="B88" s="12">
        <v>2.2399999999999984</v>
      </c>
      <c r="C88" s="12"/>
      <c r="D88" s="12"/>
      <c r="E88" s="12"/>
      <c r="F88" s="12"/>
      <c r="G88" s="12"/>
      <c r="H88" s="12"/>
      <c r="I88" s="12"/>
      <c r="J88" s="12">
        <v>1.4</v>
      </c>
      <c r="K88" s="12"/>
      <c r="L88" s="12">
        <v>105.82000000000001</v>
      </c>
      <c r="M88" s="12">
        <v>0.3</v>
      </c>
      <c r="N88" s="12">
        <f t="shared" si="10"/>
        <v>109.76</v>
      </c>
    </row>
    <row r="89" spans="1:19" x14ac:dyDescent="0.35">
      <c r="A89" s="6" t="s">
        <v>38</v>
      </c>
      <c r="B89" s="12"/>
      <c r="C89" s="12"/>
      <c r="D89" s="12"/>
      <c r="E89" s="12"/>
      <c r="F89" s="12"/>
      <c r="G89" s="12"/>
      <c r="H89" s="12"/>
      <c r="I89" s="12"/>
      <c r="J89" s="12"/>
      <c r="K89" s="12"/>
      <c r="L89" s="12">
        <v>1.73</v>
      </c>
      <c r="M89" s="12"/>
      <c r="N89" s="12">
        <f t="shared" si="10"/>
        <v>1.73</v>
      </c>
    </row>
    <row r="90" spans="1:19" x14ac:dyDescent="0.35">
      <c r="A90" s="6" t="s">
        <v>40</v>
      </c>
      <c r="B90" s="12">
        <v>11.7</v>
      </c>
      <c r="C90" s="12">
        <v>1.34</v>
      </c>
      <c r="D90" s="12"/>
      <c r="E90" s="12">
        <v>1.99</v>
      </c>
      <c r="F90" s="12">
        <v>0.16</v>
      </c>
      <c r="G90" s="12">
        <v>2.58</v>
      </c>
      <c r="H90" s="12"/>
      <c r="I90" s="12"/>
      <c r="J90" s="12">
        <v>31.390000000000008</v>
      </c>
      <c r="K90" s="12"/>
      <c r="L90" s="12">
        <v>3184.6100000000156</v>
      </c>
      <c r="M90" s="12">
        <v>28.87</v>
      </c>
      <c r="N90" s="12">
        <f t="shared" si="10"/>
        <v>3262.6400000000153</v>
      </c>
    </row>
    <row r="91" spans="1:19" x14ac:dyDescent="0.35">
      <c r="A91" s="245" t="s">
        <v>17</v>
      </c>
      <c r="B91" s="246"/>
      <c r="C91" s="246"/>
      <c r="D91" s="246"/>
      <c r="E91" s="246"/>
      <c r="F91" s="246"/>
      <c r="G91" s="246"/>
      <c r="H91" s="246"/>
      <c r="I91" s="246"/>
      <c r="J91" s="246"/>
      <c r="K91" s="246">
        <v>3.13</v>
      </c>
      <c r="L91" s="246"/>
      <c r="M91" s="246"/>
      <c r="N91" s="246">
        <f>SUM(B91:M91)</f>
        <v>3.13</v>
      </c>
    </row>
    <row r="92" spans="1:19" x14ac:dyDescent="0.35">
      <c r="A92" s="6" t="s">
        <v>55</v>
      </c>
      <c r="B92" s="12"/>
      <c r="C92" s="12"/>
      <c r="D92" s="12"/>
      <c r="E92" s="12"/>
      <c r="F92" s="12"/>
      <c r="G92" s="12"/>
      <c r="H92" s="12"/>
      <c r="I92" s="12"/>
      <c r="J92" s="12"/>
      <c r="K92" s="12">
        <v>3.13</v>
      </c>
      <c r="L92" s="12"/>
      <c r="M92" s="12"/>
      <c r="N92" s="12">
        <f t="shared" si="10"/>
        <v>3.13</v>
      </c>
    </row>
    <row r="93" spans="1:19" x14ac:dyDescent="0.35">
      <c r="A93" s="245" t="s">
        <v>18</v>
      </c>
      <c r="B93" s="246">
        <v>91.850000000000037</v>
      </c>
      <c r="C93" s="246">
        <v>1.63</v>
      </c>
      <c r="D93" s="246"/>
      <c r="E93" s="246">
        <v>17.52</v>
      </c>
      <c r="F93" s="246"/>
      <c r="G93" s="246">
        <v>145.09000000000003</v>
      </c>
      <c r="H93" s="246">
        <v>7.5900000000000007</v>
      </c>
      <c r="I93" s="246">
        <v>91.189999999999969</v>
      </c>
      <c r="J93" s="246">
        <v>14.54</v>
      </c>
      <c r="K93" s="246">
        <v>1.4100000000000001</v>
      </c>
      <c r="L93" s="246">
        <v>99.180000000000035</v>
      </c>
      <c r="M93" s="246">
        <v>1670.9599999999991</v>
      </c>
      <c r="N93" s="246">
        <f>SUM(B93:M93)</f>
        <v>2140.9599999999991</v>
      </c>
    </row>
    <row r="94" spans="1:19" x14ac:dyDescent="0.35">
      <c r="A94" s="6" t="s">
        <v>18</v>
      </c>
      <c r="B94" s="12">
        <v>91.850000000000037</v>
      </c>
      <c r="C94" s="12">
        <v>1.63</v>
      </c>
      <c r="D94" s="12"/>
      <c r="E94" s="12">
        <v>17.52</v>
      </c>
      <c r="F94" s="12"/>
      <c r="G94" s="12">
        <v>145.09000000000003</v>
      </c>
      <c r="H94" s="12">
        <v>7.5900000000000007</v>
      </c>
      <c r="I94" s="12">
        <v>91.189999999999969</v>
      </c>
      <c r="J94" s="12">
        <v>14.54</v>
      </c>
      <c r="K94" s="12">
        <v>1.4100000000000001</v>
      </c>
      <c r="L94" s="12">
        <v>99.180000000000035</v>
      </c>
      <c r="M94" s="12">
        <v>1670.9599999999991</v>
      </c>
      <c r="N94" s="12">
        <f t="shared" si="10"/>
        <v>2140.9599999999991</v>
      </c>
    </row>
    <row r="95" spans="1:19" x14ac:dyDescent="0.35">
      <c r="A95" s="245" t="s">
        <v>22</v>
      </c>
      <c r="B95" s="246">
        <v>0.61000000000000021</v>
      </c>
      <c r="C95" s="246">
        <v>1.38</v>
      </c>
      <c r="D95" s="246"/>
      <c r="E95" s="246">
        <v>14.469999999999999</v>
      </c>
      <c r="F95" s="246"/>
      <c r="G95" s="246">
        <v>0.19</v>
      </c>
      <c r="H95" s="246">
        <v>17.260000000000002</v>
      </c>
      <c r="I95" s="246"/>
      <c r="J95" s="246">
        <v>129.76999999999995</v>
      </c>
      <c r="K95" s="246">
        <v>266.35999999999984</v>
      </c>
      <c r="L95" s="246">
        <v>20.420000000000002</v>
      </c>
      <c r="M95" s="246">
        <v>5.93</v>
      </c>
      <c r="N95" s="246">
        <f>SUM(B95:M95)</f>
        <v>456.38999999999982</v>
      </c>
    </row>
    <row r="96" spans="1:19" x14ac:dyDescent="0.35">
      <c r="A96" s="6" t="s">
        <v>22</v>
      </c>
      <c r="B96" s="12">
        <v>0.61000000000000021</v>
      </c>
      <c r="C96" s="12">
        <v>1.38</v>
      </c>
      <c r="D96" s="12"/>
      <c r="E96" s="12">
        <v>14.469999999999999</v>
      </c>
      <c r="F96" s="12"/>
      <c r="G96" s="12">
        <v>0.19</v>
      </c>
      <c r="H96" s="12">
        <v>17.260000000000002</v>
      </c>
      <c r="I96" s="12"/>
      <c r="J96" s="12">
        <v>129.76999999999995</v>
      </c>
      <c r="K96" s="12">
        <v>266.35999999999984</v>
      </c>
      <c r="L96" s="12">
        <v>20.420000000000002</v>
      </c>
      <c r="M96" s="12">
        <v>5.93</v>
      </c>
      <c r="N96" s="12">
        <f t="shared" si="10"/>
        <v>456.38999999999982</v>
      </c>
    </row>
    <row r="97" spans="1:14" ht="15.5" x14ac:dyDescent="0.35">
      <c r="A97" s="258" t="s">
        <v>25</v>
      </c>
      <c r="B97" s="251">
        <f>SUM(B95,B93,B91,B87,B83,B74)</f>
        <v>386.24999999999994</v>
      </c>
      <c r="C97" s="251">
        <f t="shared" ref="C97:L97" si="12">SUM(C95,C93,C91,C87,C83,C74)</f>
        <v>118.02000000000001</v>
      </c>
      <c r="D97" s="253">
        <f t="shared" si="12"/>
        <v>89.66</v>
      </c>
      <c r="E97" s="255">
        <f t="shared" si="12"/>
        <v>137.35999999999999</v>
      </c>
      <c r="F97" s="251">
        <f t="shared" si="12"/>
        <v>163.95999999999998</v>
      </c>
      <c r="G97" s="256">
        <f t="shared" si="12"/>
        <v>238.81000000000003</v>
      </c>
      <c r="H97" s="249">
        <f t="shared" si="12"/>
        <v>3992.6700000000392</v>
      </c>
      <c r="I97" s="248">
        <f t="shared" si="12"/>
        <v>442.20000000000005</v>
      </c>
      <c r="J97" s="250">
        <v>2272.5399999999968</v>
      </c>
      <c r="K97" s="251">
        <f t="shared" si="12"/>
        <v>281.23999999999984</v>
      </c>
      <c r="L97" s="248">
        <f t="shared" si="12"/>
        <v>3878.2300000000159</v>
      </c>
      <c r="M97" s="253">
        <f>SUM(M95,M93,M91,M87,M83,M74)</f>
        <v>2127.2499999999995</v>
      </c>
      <c r="N97" s="254">
        <f>SUM(B97:M97)</f>
        <v>14128.190000000051</v>
      </c>
    </row>
  </sheetData>
  <sortState xmlns:xlrd2="http://schemas.microsoft.com/office/spreadsheetml/2017/richdata2" ref="Q74:S83">
    <sortCondition descending="1" ref="R74"/>
  </sortState>
  <mergeCells count="9">
    <mergeCell ref="Q13:S13"/>
    <mergeCell ref="Q43:S43"/>
    <mergeCell ref="Q73:S73"/>
    <mergeCell ref="A12:A13"/>
    <mergeCell ref="B12:N12"/>
    <mergeCell ref="A42:A43"/>
    <mergeCell ref="B42:N42"/>
    <mergeCell ref="A72:A73"/>
    <mergeCell ref="B72:N72"/>
  </mergeCells>
  <hyperlinks>
    <hyperlink ref="O1" location="ÍNDICE!A1" display="ÍNDICE!A1" xr:uid="{00000000-0004-0000-1800-000000000000}"/>
    <hyperlink ref="B1" r:id="rId1" xr:uid="{00000000-0004-0000-1800-000001000000}"/>
    <hyperlink ref="C5" location="'ALG S-VAR'!A11" display="TOTAL" xr:uid="{00000000-0004-0000-1800-000002000000}"/>
    <hyperlink ref="C6" location="'ALG S-VAR'!A41" display="ECOLÓGICO" xr:uid="{00000000-0004-0000-1800-000003000000}"/>
    <hyperlink ref="C7" location="'ALG S-VAR'!A71" display="CONVENCIONAL" xr:uid="{00000000-0004-0000-1800-000004000000}"/>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91"/>
  <sheetViews>
    <sheetView workbookViewId="0"/>
  </sheetViews>
  <sheetFormatPr baseColWidth="10" defaultRowHeight="14.5" x14ac:dyDescent="0.35"/>
  <cols>
    <col min="1" max="1" width="26.453125" customWidth="1"/>
    <col min="2" max="9" width="11.453125" customWidth="1"/>
    <col min="11" max="14" width="11.453125" customWidth="1"/>
    <col min="17" max="17" width="31.453125" customWidth="1"/>
    <col min="18" max="18" width="11.453125" customWidth="1"/>
  </cols>
  <sheetData>
    <row r="1" spans="1:19" x14ac:dyDescent="0.35">
      <c r="A1" s="240" t="s">
        <v>10</v>
      </c>
      <c r="B1" s="2" t="s">
        <v>102</v>
      </c>
      <c r="O1" t="s">
        <v>143</v>
      </c>
      <c r="P1" s="2" t="s">
        <v>144</v>
      </c>
    </row>
    <row r="4" spans="1:19" ht="17.5" x14ac:dyDescent="0.35">
      <c r="A4" s="277" t="s">
        <v>189</v>
      </c>
      <c r="B4" s="277"/>
      <c r="C4" s="339" t="s">
        <v>243</v>
      </c>
      <c r="D4" s="110"/>
      <c r="E4" s="110"/>
    </row>
    <row r="5" spans="1:19" x14ac:dyDescent="0.35">
      <c r="A5" s="242" t="s">
        <v>196</v>
      </c>
      <c r="B5" s="241"/>
      <c r="C5" s="340" t="s">
        <v>124</v>
      </c>
      <c r="D5" s="110"/>
      <c r="E5" s="110"/>
    </row>
    <row r="6" spans="1:19" x14ac:dyDescent="0.35">
      <c r="A6" s="242" t="s">
        <v>197</v>
      </c>
      <c r="B6" s="241"/>
      <c r="C6" s="340" t="s">
        <v>213</v>
      </c>
      <c r="D6" s="110"/>
      <c r="E6" s="110"/>
    </row>
    <row r="7" spans="1:19" x14ac:dyDescent="0.35">
      <c r="A7" s="242" t="s">
        <v>198</v>
      </c>
      <c r="B7" s="241"/>
      <c r="C7" s="340" t="s">
        <v>242</v>
      </c>
      <c r="D7" s="110"/>
      <c r="E7" s="110"/>
    </row>
    <row r="8" spans="1:19" x14ac:dyDescent="0.35">
      <c r="A8" s="241"/>
      <c r="B8" s="241"/>
      <c r="C8" s="241"/>
      <c r="D8" s="110"/>
      <c r="E8" s="110"/>
    </row>
    <row r="11" spans="1:19" ht="15.5" x14ac:dyDescent="0.35">
      <c r="A11" s="280" t="s">
        <v>136</v>
      </c>
    </row>
    <row r="12" spans="1:19" ht="15" customHeight="1" x14ac:dyDescent="0.35">
      <c r="A12" s="721" t="s">
        <v>88</v>
      </c>
      <c r="B12" s="718" t="s">
        <v>113</v>
      </c>
      <c r="C12" s="715"/>
      <c r="D12" s="715"/>
      <c r="E12" s="715"/>
      <c r="F12" s="715"/>
      <c r="G12" s="715"/>
      <c r="H12" s="715"/>
      <c r="I12" s="715"/>
      <c r="J12" s="715"/>
      <c r="K12" s="715"/>
      <c r="L12" s="715"/>
      <c r="M12" s="715"/>
      <c r="N12" s="715"/>
    </row>
    <row r="13" spans="1:19" ht="30" customHeight="1" x14ac:dyDescent="0.35">
      <c r="A13" s="717"/>
      <c r="B13" s="278" t="s">
        <v>179</v>
      </c>
      <c r="C13" s="267" t="s">
        <v>186</v>
      </c>
      <c r="D13" s="267" t="s">
        <v>183</v>
      </c>
      <c r="E13" s="267" t="s">
        <v>182</v>
      </c>
      <c r="F13" s="267" t="s">
        <v>187</v>
      </c>
      <c r="G13" s="267" t="s">
        <v>175</v>
      </c>
      <c r="H13" s="267" t="s">
        <v>178</v>
      </c>
      <c r="I13" s="267" t="s">
        <v>176</v>
      </c>
      <c r="J13" s="267" t="s">
        <v>188</v>
      </c>
      <c r="K13" s="267" t="s">
        <v>177</v>
      </c>
      <c r="L13" s="267" t="s">
        <v>122</v>
      </c>
      <c r="M13" s="267" t="s">
        <v>123</v>
      </c>
      <c r="N13" s="267" t="s">
        <v>124</v>
      </c>
      <c r="Q13" s="711" t="s">
        <v>209</v>
      </c>
      <c r="R13" s="712"/>
      <c r="S13" s="724"/>
    </row>
    <row r="14" spans="1:19" x14ac:dyDescent="0.35">
      <c r="A14" s="272" t="s">
        <v>5</v>
      </c>
      <c r="B14" s="273"/>
      <c r="C14" s="273"/>
      <c r="D14" s="273">
        <v>0.19</v>
      </c>
      <c r="E14" s="273"/>
      <c r="F14" s="273"/>
      <c r="G14" s="273"/>
      <c r="H14" s="273"/>
      <c r="I14" s="273">
        <v>96.99</v>
      </c>
      <c r="J14" s="273"/>
      <c r="K14" s="273"/>
      <c r="L14" s="273">
        <v>4.7699999999999996</v>
      </c>
      <c r="M14" s="273">
        <v>1.46</v>
      </c>
      <c r="N14" s="273">
        <f>SUM(B14:M14)</f>
        <v>103.40999999999998</v>
      </c>
      <c r="Q14" s="271" t="s">
        <v>176</v>
      </c>
      <c r="R14" s="212">
        <v>136.24</v>
      </c>
      <c r="S14" s="22">
        <f t="shared" ref="S14:S23" si="0">R14/$R$26</f>
        <v>0.1759297520661158</v>
      </c>
    </row>
    <row r="15" spans="1:19" x14ac:dyDescent="0.35">
      <c r="A15" s="6" t="s">
        <v>6</v>
      </c>
      <c r="B15" s="12"/>
      <c r="C15" s="12"/>
      <c r="D15" s="12"/>
      <c r="E15" s="12"/>
      <c r="F15" s="12"/>
      <c r="G15" s="12"/>
      <c r="H15" s="12"/>
      <c r="I15" s="12"/>
      <c r="J15" s="12"/>
      <c r="K15" s="12"/>
      <c r="L15" s="12">
        <v>1.96</v>
      </c>
      <c r="M15" s="12"/>
      <c r="N15" s="12">
        <f t="shared" ref="N15:N34" si="1">SUM(B15:M15)</f>
        <v>1.96</v>
      </c>
      <c r="Q15" s="271" t="s">
        <v>175</v>
      </c>
      <c r="R15" s="212">
        <v>66.660000000000025</v>
      </c>
      <c r="S15" s="22">
        <f t="shared" si="0"/>
        <v>8.6079545454545534E-2</v>
      </c>
    </row>
    <row r="16" spans="1:19" x14ac:dyDescent="0.35">
      <c r="A16" s="6" t="s">
        <v>7</v>
      </c>
      <c r="B16" s="12"/>
      <c r="C16" s="12"/>
      <c r="D16" s="12"/>
      <c r="E16" s="12"/>
      <c r="F16" s="12"/>
      <c r="G16" s="12"/>
      <c r="H16" s="12"/>
      <c r="I16" s="12">
        <v>0.19</v>
      </c>
      <c r="J16" s="12"/>
      <c r="K16" s="12"/>
      <c r="L16" s="12">
        <v>2.81</v>
      </c>
      <c r="M16" s="12"/>
      <c r="N16" s="12">
        <f t="shared" si="1"/>
        <v>3</v>
      </c>
      <c r="Q16" s="271" t="s">
        <v>177</v>
      </c>
      <c r="R16" s="212">
        <v>45.690000000000012</v>
      </c>
      <c r="S16" s="22">
        <f t="shared" si="0"/>
        <v>5.9000516528925663E-2</v>
      </c>
    </row>
    <row r="17" spans="1:19" x14ac:dyDescent="0.35">
      <c r="A17" s="6" t="s">
        <v>8</v>
      </c>
      <c r="B17" s="12"/>
      <c r="C17" s="12"/>
      <c r="D17" s="12"/>
      <c r="E17" s="12"/>
      <c r="F17" s="12"/>
      <c r="G17" s="12"/>
      <c r="H17" s="12"/>
      <c r="I17" s="12"/>
      <c r="J17" s="12"/>
      <c r="K17" s="12"/>
      <c r="L17" s="12"/>
      <c r="M17" s="12"/>
      <c r="N17" s="12">
        <f t="shared" si="1"/>
        <v>0</v>
      </c>
      <c r="Q17" s="271" t="s">
        <v>187</v>
      </c>
      <c r="R17" s="212">
        <v>20.740000000000002</v>
      </c>
      <c r="S17" s="22">
        <f t="shared" si="0"/>
        <v>2.6782024793388443E-2</v>
      </c>
    </row>
    <row r="18" spans="1:19" x14ac:dyDescent="0.35">
      <c r="A18" s="6" t="s">
        <v>26</v>
      </c>
      <c r="B18" s="12"/>
      <c r="C18" s="12"/>
      <c r="D18" s="12">
        <v>0.19</v>
      </c>
      <c r="E18" s="12"/>
      <c r="F18" s="12"/>
      <c r="G18" s="12"/>
      <c r="H18" s="12"/>
      <c r="I18" s="12"/>
      <c r="J18" s="12"/>
      <c r="K18" s="12"/>
      <c r="L18" s="12"/>
      <c r="M18" s="12">
        <v>0.85</v>
      </c>
      <c r="N18" s="12">
        <f t="shared" si="1"/>
        <v>1.04</v>
      </c>
      <c r="Q18" s="271" t="s">
        <v>178</v>
      </c>
      <c r="R18" s="212">
        <v>10.439999999999998</v>
      </c>
      <c r="S18" s="384">
        <f t="shared" si="0"/>
        <v>1.348140495867769E-2</v>
      </c>
    </row>
    <row r="19" spans="1:19" x14ac:dyDescent="0.35">
      <c r="A19" s="6" t="s">
        <v>27</v>
      </c>
      <c r="B19" s="12"/>
      <c r="C19" s="12"/>
      <c r="D19" s="12"/>
      <c r="E19" s="12"/>
      <c r="F19" s="12"/>
      <c r="G19" s="12"/>
      <c r="H19" s="12"/>
      <c r="I19" s="12">
        <v>93.38</v>
      </c>
      <c r="J19" s="12"/>
      <c r="K19" s="12"/>
      <c r="L19" s="12"/>
      <c r="M19" s="12"/>
      <c r="N19" s="12">
        <f t="shared" si="1"/>
        <v>93.38</v>
      </c>
      <c r="Q19" s="271" t="s">
        <v>186</v>
      </c>
      <c r="R19" s="212">
        <v>7.8299999999999992</v>
      </c>
      <c r="S19" s="384">
        <f t="shared" si="0"/>
        <v>1.0111053719008268E-2</v>
      </c>
    </row>
    <row r="20" spans="1:19" x14ac:dyDescent="0.35">
      <c r="A20" s="6" t="s">
        <v>29</v>
      </c>
      <c r="B20" s="12"/>
      <c r="C20" s="12"/>
      <c r="D20" s="12"/>
      <c r="E20" s="12"/>
      <c r="F20" s="12"/>
      <c r="G20" s="12"/>
      <c r="H20" s="12"/>
      <c r="I20" s="12">
        <v>3.42</v>
      </c>
      <c r="J20" s="12"/>
      <c r="K20" s="12"/>
      <c r="L20" s="12"/>
      <c r="M20" s="12">
        <v>0.61</v>
      </c>
      <c r="N20" s="12">
        <f t="shared" si="1"/>
        <v>4.03</v>
      </c>
      <c r="Q20" s="271" t="s">
        <v>179</v>
      </c>
      <c r="R20" s="212">
        <v>7.5100000000000007</v>
      </c>
      <c r="S20" s="384">
        <f t="shared" si="0"/>
        <v>9.6978305785124022E-3</v>
      </c>
    </row>
    <row r="21" spans="1:19" x14ac:dyDescent="0.35">
      <c r="A21" s="272" t="s">
        <v>13</v>
      </c>
      <c r="B21" s="273">
        <v>5.7000000000000011</v>
      </c>
      <c r="C21" s="273">
        <v>1.03</v>
      </c>
      <c r="D21" s="273">
        <v>2.1899999999999995</v>
      </c>
      <c r="E21" s="273">
        <v>2.62</v>
      </c>
      <c r="F21" s="273">
        <v>8.8000000000000007</v>
      </c>
      <c r="G21" s="273">
        <v>66.660000000000025</v>
      </c>
      <c r="H21" s="273">
        <v>10.439999999999998</v>
      </c>
      <c r="I21" s="273">
        <v>11.33</v>
      </c>
      <c r="J21" s="273">
        <v>1.1100000000000001</v>
      </c>
      <c r="K21" s="273">
        <v>7.57</v>
      </c>
      <c r="L21" s="273">
        <v>10.220000000000001</v>
      </c>
      <c r="M21" s="273">
        <v>9.1999999999999993</v>
      </c>
      <c r="N21" s="273">
        <f t="shared" si="1"/>
        <v>136.87</v>
      </c>
      <c r="Q21" s="271" t="s">
        <v>182</v>
      </c>
      <c r="R21" s="212">
        <v>3.35</v>
      </c>
      <c r="S21" s="384">
        <f t="shared" si="0"/>
        <v>4.3259297520661178E-3</v>
      </c>
    </row>
    <row r="22" spans="1:19" x14ac:dyDescent="0.35">
      <c r="A22" s="6" t="s">
        <v>34</v>
      </c>
      <c r="B22" s="12">
        <v>2.9300000000000006</v>
      </c>
      <c r="C22" s="12">
        <v>1.03</v>
      </c>
      <c r="D22" s="12">
        <v>0.05</v>
      </c>
      <c r="E22" s="12"/>
      <c r="F22" s="12">
        <v>0.22</v>
      </c>
      <c r="G22" s="12">
        <v>1.3600000000000003</v>
      </c>
      <c r="H22" s="12">
        <v>7.7299999999999978</v>
      </c>
      <c r="I22" s="12">
        <v>2.48</v>
      </c>
      <c r="J22" s="12">
        <v>0.89</v>
      </c>
      <c r="K22" s="12">
        <v>7.57</v>
      </c>
      <c r="L22" s="12">
        <v>2.57</v>
      </c>
      <c r="M22" s="12">
        <v>3.9100000000000006</v>
      </c>
      <c r="N22" s="12">
        <f t="shared" si="1"/>
        <v>30.74</v>
      </c>
      <c r="Q22" s="271" t="s">
        <v>183</v>
      </c>
      <c r="R22" s="212">
        <v>2.3799999999999994</v>
      </c>
      <c r="S22" s="384">
        <f t="shared" si="0"/>
        <v>3.0733471074380174E-3</v>
      </c>
    </row>
    <row r="23" spans="1:19" x14ac:dyDescent="0.35">
      <c r="A23" s="6" t="s">
        <v>61</v>
      </c>
      <c r="B23" s="12">
        <v>0.68</v>
      </c>
      <c r="C23" s="12"/>
      <c r="D23" s="12"/>
      <c r="E23" s="12">
        <v>1.1300000000000001</v>
      </c>
      <c r="F23" s="12"/>
      <c r="G23" s="12">
        <v>3.02</v>
      </c>
      <c r="H23" s="12"/>
      <c r="I23" s="12">
        <v>7.42</v>
      </c>
      <c r="J23" s="12">
        <v>0.22</v>
      </c>
      <c r="K23" s="12"/>
      <c r="L23" s="12">
        <v>0.95000000000000018</v>
      </c>
      <c r="M23" s="12">
        <v>2.91</v>
      </c>
      <c r="N23" s="12">
        <f t="shared" si="1"/>
        <v>16.330000000000002</v>
      </c>
      <c r="Q23" s="271" t="s">
        <v>188</v>
      </c>
      <c r="R23" s="212">
        <v>1.1100000000000001</v>
      </c>
      <c r="S23" s="384">
        <f t="shared" si="0"/>
        <v>1.4333677685950421E-3</v>
      </c>
    </row>
    <row r="24" spans="1:19" x14ac:dyDescent="0.35">
      <c r="A24" s="6" t="s">
        <v>36</v>
      </c>
      <c r="B24" s="12">
        <v>2.09</v>
      </c>
      <c r="C24" s="12"/>
      <c r="D24" s="12">
        <v>2.1399999999999997</v>
      </c>
      <c r="E24" s="12">
        <v>1.49</v>
      </c>
      <c r="F24" s="12">
        <v>8.58</v>
      </c>
      <c r="G24" s="12">
        <v>62.280000000000037</v>
      </c>
      <c r="H24" s="12">
        <v>2.71</v>
      </c>
      <c r="I24" s="12">
        <v>1.4300000000000002</v>
      </c>
      <c r="J24" s="12"/>
      <c r="K24" s="12"/>
      <c r="L24" s="12">
        <v>6.7000000000000011</v>
      </c>
      <c r="M24" s="12">
        <v>2.38</v>
      </c>
      <c r="N24" s="12">
        <f t="shared" si="1"/>
        <v>89.80000000000004</v>
      </c>
      <c r="Q24" s="271" t="s">
        <v>122</v>
      </c>
      <c r="R24" s="212">
        <v>439.9899999999995</v>
      </c>
      <c r="S24" s="22">
        <f t="shared" ref="S24:S26" si="2">R24/$R$26</f>
        <v>0.56816890495867733</v>
      </c>
    </row>
    <row r="25" spans="1:19" x14ac:dyDescent="0.35">
      <c r="A25" s="272" t="s">
        <v>14</v>
      </c>
      <c r="B25" s="273">
        <v>1.6800000000000002</v>
      </c>
      <c r="C25" s="273"/>
      <c r="D25" s="273"/>
      <c r="E25" s="273"/>
      <c r="F25" s="273">
        <v>10.01</v>
      </c>
      <c r="G25" s="273"/>
      <c r="H25" s="273"/>
      <c r="I25" s="273">
        <v>6.3900000000000006</v>
      </c>
      <c r="J25" s="273"/>
      <c r="K25" s="273"/>
      <c r="L25" s="273">
        <v>420.02999999999946</v>
      </c>
      <c r="M25" s="273">
        <v>5.86</v>
      </c>
      <c r="N25" s="273">
        <f t="shared" si="1"/>
        <v>443.96999999999946</v>
      </c>
      <c r="Q25" s="271" t="s">
        <v>123</v>
      </c>
      <c r="R25" s="212">
        <v>32.46</v>
      </c>
      <c r="S25" s="22">
        <f t="shared" si="2"/>
        <v>4.1916322314049605E-2</v>
      </c>
    </row>
    <row r="26" spans="1:19" x14ac:dyDescent="0.35">
      <c r="A26" s="6" t="s">
        <v>37</v>
      </c>
      <c r="B26" s="12"/>
      <c r="C26" s="12"/>
      <c r="D26" s="12"/>
      <c r="E26" s="12"/>
      <c r="F26" s="12"/>
      <c r="G26" s="12"/>
      <c r="H26" s="12"/>
      <c r="I26" s="12"/>
      <c r="J26" s="12"/>
      <c r="K26" s="12"/>
      <c r="L26" s="12">
        <v>0.71</v>
      </c>
      <c r="M26" s="12"/>
      <c r="N26" s="12">
        <f t="shared" si="1"/>
        <v>0.71</v>
      </c>
      <c r="Q26" s="268" t="s">
        <v>130</v>
      </c>
      <c r="R26" s="269">
        <v>774.39999999999964</v>
      </c>
      <c r="S26" s="270">
        <f t="shared" si="2"/>
        <v>1</v>
      </c>
    </row>
    <row r="27" spans="1:19" x14ac:dyDescent="0.35">
      <c r="A27" s="6" t="s">
        <v>39</v>
      </c>
      <c r="B27" s="12"/>
      <c r="C27" s="12"/>
      <c r="D27" s="12"/>
      <c r="E27" s="12"/>
      <c r="F27" s="12"/>
      <c r="G27" s="12"/>
      <c r="H27" s="12"/>
      <c r="I27" s="12"/>
      <c r="J27" s="12"/>
      <c r="K27" s="12"/>
      <c r="L27" s="12">
        <v>0.77</v>
      </c>
      <c r="M27" s="12"/>
      <c r="N27" s="12">
        <f t="shared" si="1"/>
        <v>0.77</v>
      </c>
    </row>
    <row r="28" spans="1:19" x14ac:dyDescent="0.35">
      <c r="A28" s="6" t="s">
        <v>40</v>
      </c>
      <c r="B28" s="12">
        <v>1.6800000000000002</v>
      </c>
      <c r="C28" s="12"/>
      <c r="D28" s="12"/>
      <c r="E28" s="12"/>
      <c r="F28" s="12">
        <v>10.01</v>
      </c>
      <c r="G28" s="12"/>
      <c r="H28" s="12"/>
      <c r="I28" s="12">
        <v>6.3900000000000006</v>
      </c>
      <c r="J28" s="12"/>
      <c r="K28" s="12"/>
      <c r="L28" s="12">
        <v>418.54999999999944</v>
      </c>
      <c r="M28" s="12">
        <v>5.86</v>
      </c>
      <c r="N28" s="12">
        <f t="shared" si="1"/>
        <v>442.48999999999944</v>
      </c>
    </row>
    <row r="29" spans="1:19" x14ac:dyDescent="0.35">
      <c r="A29" s="272" t="s">
        <v>17</v>
      </c>
      <c r="B29" s="273"/>
      <c r="C29" s="273"/>
      <c r="D29" s="273"/>
      <c r="E29" s="273"/>
      <c r="F29" s="273"/>
      <c r="G29" s="273"/>
      <c r="H29" s="273"/>
      <c r="I29" s="273"/>
      <c r="J29" s="273"/>
      <c r="K29" s="273"/>
      <c r="L29" s="273">
        <v>0.56999999999999995</v>
      </c>
      <c r="M29" s="273"/>
      <c r="N29" s="273">
        <f t="shared" si="1"/>
        <v>0.56999999999999995</v>
      </c>
    </row>
    <row r="30" spans="1:19" x14ac:dyDescent="0.35">
      <c r="A30" s="6" t="s">
        <v>56</v>
      </c>
      <c r="B30" s="12"/>
      <c r="C30" s="12"/>
      <c r="D30" s="12"/>
      <c r="E30" s="12"/>
      <c r="F30" s="12"/>
      <c r="G30" s="12"/>
      <c r="H30" s="12"/>
      <c r="I30" s="12"/>
      <c r="J30" s="12"/>
      <c r="K30" s="12"/>
      <c r="L30" s="12">
        <v>0.56999999999999995</v>
      </c>
      <c r="M30" s="12"/>
      <c r="N30" s="12">
        <f t="shared" si="1"/>
        <v>0.56999999999999995</v>
      </c>
    </row>
    <row r="31" spans="1:19" x14ac:dyDescent="0.35">
      <c r="A31" s="272" t="s">
        <v>18</v>
      </c>
      <c r="B31" s="273"/>
      <c r="C31" s="273">
        <v>6.7999999999999989</v>
      </c>
      <c r="D31" s="273"/>
      <c r="E31" s="273">
        <v>0.48</v>
      </c>
      <c r="F31" s="273">
        <v>1.37</v>
      </c>
      <c r="G31" s="273"/>
      <c r="H31" s="273"/>
      <c r="I31" s="273"/>
      <c r="J31" s="273"/>
      <c r="K31" s="273"/>
      <c r="L31" s="273">
        <v>0.98</v>
      </c>
      <c r="M31" s="273">
        <v>7.28</v>
      </c>
      <c r="N31" s="273">
        <f t="shared" si="1"/>
        <v>16.91</v>
      </c>
    </row>
    <row r="32" spans="1:19" x14ac:dyDescent="0.35">
      <c r="A32" s="6" t="s">
        <v>18</v>
      </c>
      <c r="B32" s="12"/>
      <c r="C32" s="12">
        <v>6.7999999999999989</v>
      </c>
      <c r="D32" s="12"/>
      <c r="E32" s="12">
        <v>0.48</v>
      </c>
      <c r="F32" s="12">
        <v>1.37</v>
      </c>
      <c r="G32" s="12"/>
      <c r="H32" s="12"/>
      <c r="I32" s="12"/>
      <c r="J32" s="12"/>
      <c r="K32" s="12"/>
      <c r="L32" s="12">
        <v>0.98</v>
      </c>
      <c r="M32" s="12">
        <v>7.28</v>
      </c>
      <c r="N32" s="12">
        <f t="shared" si="1"/>
        <v>16.91</v>
      </c>
    </row>
    <row r="33" spans="1:19" x14ac:dyDescent="0.35">
      <c r="A33" s="272" t="s">
        <v>22</v>
      </c>
      <c r="B33" s="273">
        <v>0.13</v>
      </c>
      <c r="C33" s="273"/>
      <c r="D33" s="273"/>
      <c r="E33" s="273">
        <v>0.25</v>
      </c>
      <c r="F33" s="273">
        <v>0.56000000000000005</v>
      </c>
      <c r="G33" s="273"/>
      <c r="H33" s="273"/>
      <c r="I33" s="273">
        <v>21.53</v>
      </c>
      <c r="J33" s="273"/>
      <c r="K33" s="273">
        <v>38.120000000000012</v>
      </c>
      <c r="L33" s="273">
        <v>3.42</v>
      </c>
      <c r="M33" s="273">
        <v>8.66</v>
      </c>
      <c r="N33" s="273">
        <f t="shared" si="1"/>
        <v>72.670000000000016</v>
      </c>
    </row>
    <row r="34" spans="1:19" x14ac:dyDescent="0.35">
      <c r="A34" s="6" t="s">
        <v>22</v>
      </c>
      <c r="B34" s="12">
        <v>0.13</v>
      </c>
      <c r="C34" s="12"/>
      <c r="D34" s="12"/>
      <c r="E34" s="12">
        <v>0.25</v>
      </c>
      <c r="F34" s="12">
        <v>0.56000000000000005</v>
      </c>
      <c r="G34" s="12"/>
      <c r="H34" s="12"/>
      <c r="I34" s="12">
        <v>21.53</v>
      </c>
      <c r="J34" s="12"/>
      <c r="K34" s="12">
        <v>38.120000000000012</v>
      </c>
      <c r="L34" s="12">
        <v>3.42</v>
      </c>
      <c r="M34" s="12">
        <v>8.66</v>
      </c>
      <c r="N34" s="12">
        <f t="shared" si="1"/>
        <v>72.670000000000016</v>
      </c>
    </row>
    <row r="35" spans="1:19" x14ac:dyDescent="0.35">
      <c r="A35" s="274" t="s">
        <v>25</v>
      </c>
      <c r="B35" s="275">
        <f>SUM(B14,B21,B25,B29,B31,B33)</f>
        <v>7.5100000000000007</v>
      </c>
      <c r="C35" s="275">
        <f t="shared" ref="C35:M35" si="3">SUM(C14,C21,C25,C29,C31,C33)</f>
        <v>7.8299999999999992</v>
      </c>
      <c r="D35" s="275">
        <f t="shared" si="3"/>
        <v>2.3799999999999994</v>
      </c>
      <c r="E35" s="275">
        <f t="shared" si="3"/>
        <v>3.35</v>
      </c>
      <c r="F35" s="275">
        <f t="shared" si="3"/>
        <v>20.740000000000002</v>
      </c>
      <c r="G35" s="275">
        <f t="shared" si="3"/>
        <v>66.660000000000025</v>
      </c>
      <c r="H35" s="275">
        <f t="shared" si="3"/>
        <v>10.439999999999998</v>
      </c>
      <c r="I35" s="275">
        <f t="shared" si="3"/>
        <v>136.24</v>
      </c>
      <c r="J35" s="275">
        <f t="shared" si="3"/>
        <v>1.1100000000000001</v>
      </c>
      <c r="K35" s="275">
        <f t="shared" si="3"/>
        <v>45.690000000000012</v>
      </c>
      <c r="L35" s="275">
        <f t="shared" si="3"/>
        <v>439.9899999999995</v>
      </c>
      <c r="M35" s="275">
        <f t="shared" si="3"/>
        <v>32.46</v>
      </c>
      <c r="N35" s="275">
        <f>SUM(B35:M35)</f>
        <v>774.39999999999964</v>
      </c>
    </row>
    <row r="38" spans="1:19" ht="18.5" x14ac:dyDescent="0.45">
      <c r="A38" s="223"/>
    </row>
    <row r="39" spans="1:19" ht="15.5" x14ac:dyDescent="0.35">
      <c r="A39" s="280" t="s">
        <v>98</v>
      </c>
    </row>
    <row r="40" spans="1:19" ht="15" customHeight="1" x14ac:dyDescent="0.35">
      <c r="A40" s="721" t="s">
        <v>88</v>
      </c>
      <c r="B40" s="718" t="s">
        <v>113</v>
      </c>
      <c r="C40" s="715"/>
      <c r="D40" s="715"/>
      <c r="E40" s="715"/>
      <c r="F40" s="715"/>
      <c r="G40" s="715"/>
      <c r="H40" s="715"/>
      <c r="I40" s="715"/>
      <c r="J40" s="715"/>
      <c r="K40" s="715"/>
      <c r="L40" s="715"/>
      <c r="M40" s="715"/>
      <c r="N40" s="715"/>
    </row>
    <row r="41" spans="1:19" ht="30" customHeight="1" x14ac:dyDescent="0.35">
      <c r="A41" s="717"/>
      <c r="B41" s="278" t="s">
        <v>179</v>
      </c>
      <c r="C41" s="267" t="s">
        <v>186</v>
      </c>
      <c r="D41" s="267" t="s">
        <v>183</v>
      </c>
      <c r="E41" s="267" t="s">
        <v>182</v>
      </c>
      <c r="F41" s="267" t="s">
        <v>187</v>
      </c>
      <c r="G41" s="267" t="s">
        <v>175</v>
      </c>
      <c r="H41" s="267" t="s">
        <v>178</v>
      </c>
      <c r="I41" s="267" t="s">
        <v>176</v>
      </c>
      <c r="J41" s="267" t="s">
        <v>188</v>
      </c>
      <c r="K41" s="267" t="s">
        <v>177</v>
      </c>
      <c r="L41" s="267" t="s">
        <v>122</v>
      </c>
      <c r="M41" s="267" t="s">
        <v>123</v>
      </c>
      <c r="N41" s="267" t="s">
        <v>124</v>
      </c>
      <c r="Q41" s="711" t="s">
        <v>210</v>
      </c>
      <c r="R41" s="712"/>
      <c r="S41" s="724"/>
    </row>
    <row r="42" spans="1:19" x14ac:dyDescent="0.35">
      <c r="A42" s="272" t="s">
        <v>5</v>
      </c>
      <c r="B42" s="273"/>
      <c r="C42" s="273"/>
      <c r="D42" s="273"/>
      <c r="E42" s="273"/>
      <c r="F42" s="273"/>
      <c r="G42" s="273"/>
      <c r="H42" s="273"/>
      <c r="I42" s="273">
        <v>96.8</v>
      </c>
      <c r="J42" s="273"/>
      <c r="K42" s="273"/>
      <c r="L42" s="273">
        <v>1.96</v>
      </c>
      <c r="M42" s="273"/>
      <c r="N42" s="273">
        <f>SUM(B42:M42)</f>
        <v>98.759999999999991</v>
      </c>
      <c r="Q42" s="271" t="s">
        <v>176</v>
      </c>
      <c r="R42" s="212">
        <v>97.7</v>
      </c>
      <c r="S42" s="22">
        <f t="shared" ref="S42:S51" si="4">R42/$R$54</f>
        <v>0.71706422018348615</v>
      </c>
    </row>
    <row r="43" spans="1:19" x14ac:dyDescent="0.35">
      <c r="A43" s="6" t="s">
        <v>6</v>
      </c>
      <c r="B43" s="12"/>
      <c r="C43" s="12"/>
      <c r="D43" s="12"/>
      <c r="E43" s="12"/>
      <c r="F43" s="12"/>
      <c r="G43" s="12"/>
      <c r="H43" s="12"/>
      <c r="I43" s="12"/>
      <c r="J43" s="12"/>
      <c r="K43" s="12"/>
      <c r="L43" s="12">
        <v>1.96</v>
      </c>
      <c r="M43" s="12"/>
      <c r="N43" s="12">
        <f t="shared" ref="N43:N62" si="5">SUM(B43:M43)</f>
        <v>1.96</v>
      </c>
      <c r="Q43" s="271" t="s">
        <v>177</v>
      </c>
      <c r="R43" s="212">
        <v>9.64</v>
      </c>
      <c r="S43" s="22">
        <f t="shared" si="4"/>
        <v>7.0752293577981643E-2</v>
      </c>
    </row>
    <row r="44" spans="1:19" x14ac:dyDescent="0.35">
      <c r="A44" s="6" t="s">
        <v>7</v>
      </c>
      <c r="B44" s="12"/>
      <c r="C44" s="12"/>
      <c r="D44" s="12"/>
      <c r="E44" s="12"/>
      <c r="F44" s="12"/>
      <c r="G44" s="12"/>
      <c r="H44" s="12"/>
      <c r="I44" s="12"/>
      <c r="J44" s="12"/>
      <c r="K44" s="12"/>
      <c r="L44" s="12"/>
      <c r="M44" s="12"/>
      <c r="N44" s="12">
        <f t="shared" si="5"/>
        <v>0</v>
      </c>
      <c r="Q44" s="271" t="s">
        <v>175</v>
      </c>
      <c r="R44" s="212">
        <v>5.43</v>
      </c>
      <c r="S44" s="22">
        <f t="shared" si="4"/>
        <v>3.98532110091743E-2</v>
      </c>
    </row>
    <row r="45" spans="1:19" x14ac:dyDescent="0.35">
      <c r="A45" s="6" t="s">
        <v>8</v>
      </c>
      <c r="B45" s="12"/>
      <c r="C45" s="12"/>
      <c r="D45" s="12"/>
      <c r="E45" s="12"/>
      <c r="F45" s="12"/>
      <c r="G45" s="12"/>
      <c r="H45" s="12"/>
      <c r="I45" s="12"/>
      <c r="J45" s="12"/>
      <c r="K45" s="12"/>
      <c r="L45" s="12"/>
      <c r="M45" s="12"/>
      <c r="N45" s="12">
        <f t="shared" si="5"/>
        <v>0</v>
      </c>
      <c r="Q45" s="271" t="s">
        <v>179</v>
      </c>
      <c r="R45" s="212">
        <v>0.8</v>
      </c>
      <c r="S45" s="22">
        <f t="shared" si="4"/>
        <v>5.871559633027522E-3</v>
      </c>
    </row>
    <row r="46" spans="1:19" x14ac:dyDescent="0.35">
      <c r="A46" s="6" t="s">
        <v>26</v>
      </c>
      <c r="B46" s="12"/>
      <c r="C46" s="12"/>
      <c r="D46" s="12"/>
      <c r="E46" s="12"/>
      <c r="F46" s="12"/>
      <c r="G46" s="12"/>
      <c r="H46" s="12"/>
      <c r="I46" s="12"/>
      <c r="J46" s="12"/>
      <c r="K46" s="12"/>
      <c r="L46" s="12"/>
      <c r="M46" s="12"/>
      <c r="N46" s="12">
        <f t="shared" si="5"/>
        <v>0</v>
      </c>
      <c r="Q46" s="271" t="s">
        <v>178</v>
      </c>
      <c r="R46" s="212">
        <v>0.04</v>
      </c>
      <c r="S46" s="384">
        <f t="shared" si="4"/>
        <v>2.9357798165137607E-4</v>
      </c>
    </row>
    <row r="47" spans="1:19" x14ac:dyDescent="0.35">
      <c r="A47" s="6" t="s">
        <v>27</v>
      </c>
      <c r="B47" s="12"/>
      <c r="C47" s="12"/>
      <c r="D47" s="12"/>
      <c r="E47" s="12"/>
      <c r="F47" s="12"/>
      <c r="G47" s="12"/>
      <c r="H47" s="12"/>
      <c r="I47" s="12">
        <v>93.38</v>
      </c>
      <c r="J47" s="12"/>
      <c r="K47" s="12"/>
      <c r="L47" s="12"/>
      <c r="M47" s="12"/>
      <c r="N47" s="12">
        <f t="shared" si="5"/>
        <v>93.38</v>
      </c>
      <c r="Q47" s="271" t="s">
        <v>186</v>
      </c>
      <c r="R47" s="212">
        <v>0.02</v>
      </c>
      <c r="S47" s="384">
        <f t="shared" si="4"/>
        <v>1.4678899082568803E-4</v>
      </c>
    </row>
    <row r="48" spans="1:19" x14ac:dyDescent="0.35">
      <c r="A48" s="6" t="s">
        <v>29</v>
      </c>
      <c r="B48" s="12"/>
      <c r="C48" s="12"/>
      <c r="D48" s="12"/>
      <c r="E48" s="12"/>
      <c r="F48" s="12"/>
      <c r="G48" s="12"/>
      <c r="H48" s="12"/>
      <c r="I48" s="12">
        <v>3.42</v>
      </c>
      <c r="J48" s="12"/>
      <c r="K48" s="12"/>
      <c r="L48" s="12"/>
      <c r="M48" s="12"/>
      <c r="N48" s="12">
        <f t="shared" si="5"/>
        <v>3.42</v>
      </c>
      <c r="Q48" s="271" t="s">
        <v>183</v>
      </c>
      <c r="R48" s="212"/>
      <c r="S48" s="22">
        <f t="shared" si="4"/>
        <v>0</v>
      </c>
    </row>
    <row r="49" spans="1:19" x14ac:dyDescent="0.35">
      <c r="A49" s="272" t="s">
        <v>13</v>
      </c>
      <c r="B49" s="273"/>
      <c r="C49" s="273"/>
      <c r="D49" s="273"/>
      <c r="E49" s="273"/>
      <c r="F49" s="273"/>
      <c r="G49" s="273">
        <v>5.43</v>
      </c>
      <c r="H49" s="273">
        <v>0.04</v>
      </c>
      <c r="I49" s="273">
        <v>0.56000000000000005</v>
      </c>
      <c r="J49" s="273"/>
      <c r="K49" s="273">
        <v>6.97</v>
      </c>
      <c r="L49" s="273"/>
      <c r="M49" s="273">
        <v>0.1</v>
      </c>
      <c r="N49" s="273">
        <f t="shared" si="5"/>
        <v>13.1</v>
      </c>
      <c r="Q49" s="271" t="s">
        <v>182</v>
      </c>
      <c r="R49" s="212"/>
      <c r="S49" s="22">
        <f t="shared" si="4"/>
        <v>0</v>
      </c>
    </row>
    <row r="50" spans="1:19" x14ac:dyDescent="0.35">
      <c r="A50" s="6" t="s">
        <v>34</v>
      </c>
      <c r="B50" s="12"/>
      <c r="C50" s="12"/>
      <c r="D50" s="12"/>
      <c r="E50" s="12"/>
      <c r="F50" s="12"/>
      <c r="G50" s="12"/>
      <c r="H50" s="12">
        <v>0.04</v>
      </c>
      <c r="I50" s="12">
        <v>0.33</v>
      </c>
      <c r="J50" s="12"/>
      <c r="K50" s="12">
        <v>6.97</v>
      </c>
      <c r="L50" s="12"/>
      <c r="M50" s="12"/>
      <c r="N50" s="12">
        <f t="shared" si="5"/>
        <v>7.34</v>
      </c>
      <c r="Q50" s="271" t="s">
        <v>187</v>
      </c>
      <c r="R50" s="212"/>
      <c r="S50" s="22">
        <f t="shared" si="4"/>
        <v>0</v>
      </c>
    </row>
    <row r="51" spans="1:19" x14ac:dyDescent="0.35">
      <c r="A51" s="6" t="s">
        <v>61</v>
      </c>
      <c r="B51" s="12"/>
      <c r="C51" s="12"/>
      <c r="D51" s="12"/>
      <c r="E51" s="12"/>
      <c r="F51" s="12"/>
      <c r="G51" s="12"/>
      <c r="H51" s="12"/>
      <c r="I51" s="12">
        <v>0.23</v>
      </c>
      <c r="J51" s="12"/>
      <c r="K51" s="12"/>
      <c r="L51" s="12"/>
      <c r="M51" s="12">
        <v>0.1</v>
      </c>
      <c r="N51" s="12">
        <f t="shared" si="5"/>
        <v>0.33</v>
      </c>
      <c r="Q51" s="271" t="s">
        <v>188</v>
      </c>
      <c r="R51" s="212"/>
      <c r="S51" s="22">
        <f t="shared" si="4"/>
        <v>0</v>
      </c>
    </row>
    <row r="52" spans="1:19" x14ac:dyDescent="0.35">
      <c r="A52" s="6" t="s">
        <v>36</v>
      </c>
      <c r="B52" s="12"/>
      <c r="C52" s="12"/>
      <c r="D52" s="12"/>
      <c r="E52" s="12"/>
      <c r="F52" s="12"/>
      <c r="G52" s="12">
        <v>5.43</v>
      </c>
      <c r="H52" s="12"/>
      <c r="I52" s="12"/>
      <c r="J52" s="12"/>
      <c r="K52" s="12"/>
      <c r="L52" s="12"/>
      <c r="M52" s="12"/>
      <c r="N52" s="12">
        <f t="shared" si="5"/>
        <v>5.43</v>
      </c>
      <c r="Q52" s="271" t="s">
        <v>122</v>
      </c>
      <c r="R52" s="212">
        <v>21.849999999999998</v>
      </c>
      <c r="S52" s="22">
        <f t="shared" ref="S52:S54" si="6">R52/$R$54</f>
        <v>0.16036697247706416</v>
      </c>
    </row>
    <row r="53" spans="1:19" x14ac:dyDescent="0.35">
      <c r="A53" s="272" t="s">
        <v>14</v>
      </c>
      <c r="B53" s="273">
        <v>0.8</v>
      </c>
      <c r="C53" s="273"/>
      <c r="D53" s="273"/>
      <c r="E53" s="273"/>
      <c r="F53" s="273"/>
      <c r="G53" s="273"/>
      <c r="H53" s="273"/>
      <c r="I53" s="273"/>
      <c r="J53" s="273"/>
      <c r="K53" s="273"/>
      <c r="L53" s="273">
        <v>18.759999999999998</v>
      </c>
      <c r="M53" s="273">
        <v>0.01</v>
      </c>
      <c r="N53" s="273">
        <f t="shared" si="5"/>
        <v>19.57</v>
      </c>
      <c r="Q53" s="271" t="s">
        <v>123</v>
      </c>
      <c r="R53" s="212">
        <v>0.77</v>
      </c>
      <c r="S53" s="22">
        <f t="shared" si="6"/>
        <v>5.6513761467889894E-3</v>
      </c>
    </row>
    <row r="54" spans="1:19" x14ac:dyDescent="0.35">
      <c r="A54" s="6" t="s">
        <v>37</v>
      </c>
      <c r="B54" s="12"/>
      <c r="C54" s="12"/>
      <c r="D54" s="12"/>
      <c r="E54" s="12"/>
      <c r="F54" s="12"/>
      <c r="G54" s="12"/>
      <c r="H54" s="12"/>
      <c r="I54" s="12"/>
      <c r="J54" s="12"/>
      <c r="K54" s="12"/>
      <c r="L54" s="12"/>
      <c r="M54" s="12"/>
      <c r="N54" s="12">
        <f t="shared" si="5"/>
        <v>0</v>
      </c>
      <c r="Q54" s="268" t="s">
        <v>130</v>
      </c>
      <c r="R54" s="269">
        <v>136.25000000000003</v>
      </c>
      <c r="S54" s="270">
        <f t="shared" si="6"/>
        <v>1</v>
      </c>
    </row>
    <row r="55" spans="1:19" x14ac:dyDescent="0.35">
      <c r="A55" s="6" t="s">
        <v>39</v>
      </c>
      <c r="B55" s="12"/>
      <c r="C55" s="12"/>
      <c r="D55" s="12"/>
      <c r="E55" s="12"/>
      <c r="F55" s="12"/>
      <c r="G55" s="12"/>
      <c r="H55" s="12"/>
      <c r="I55" s="12"/>
      <c r="J55" s="12"/>
      <c r="K55" s="12"/>
      <c r="L55" s="12"/>
      <c r="M55" s="12"/>
      <c r="N55" s="12">
        <f t="shared" si="5"/>
        <v>0</v>
      </c>
    </row>
    <row r="56" spans="1:19" x14ac:dyDescent="0.35">
      <c r="A56" s="6" t="s">
        <v>40</v>
      </c>
      <c r="B56" s="12">
        <v>0.8</v>
      </c>
      <c r="C56" s="12"/>
      <c r="D56" s="12"/>
      <c r="E56" s="12"/>
      <c r="F56" s="12"/>
      <c r="G56" s="12"/>
      <c r="H56" s="12"/>
      <c r="I56" s="12"/>
      <c r="J56" s="12"/>
      <c r="K56" s="12"/>
      <c r="L56" s="12">
        <v>18.759999999999998</v>
      </c>
      <c r="M56" s="12">
        <v>0.01</v>
      </c>
      <c r="N56" s="12">
        <f t="shared" si="5"/>
        <v>19.57</v>
      </c>
    </row>
    <row r="57" spans="1:19" x14ac:dyDescent="0.35">
      <c r="A57" s="272" t="s">
        <v>17</v>
      </c>
      <c r="B57" s="273"/>
      <c r="C57" s="273"/>
      <c r="D57" s="273"/>
      <c r="E57" s="273"/>
      <c r="F57" s="273"/>
      <c r="G57" s="273"/>
      <c r="H57" s="273"/>
      <c r="I57" s="273"/>
      <c r="J57" s="273"/>
      <c r="K57" s="273"/>
      <c r="L57" s="273">
        <v>0.56999999999999995</v>
      </c>
      <c r="M57" s="273"/>
      <c r="N57" s="273">
        <f t="shared" si="5"/>
        <v>0.56999999999999995</v>
      </c>
    </row>
    <row r="58" spans="1:19" x14ac:dyDescent="0.35">
      <c r="A58" s="6" t="s">
        <v>56</v>
      </c>
      <c r="B58" s="12"/>
      <c r="C58" s="12"/>
      <c r="D58" s="12"/>
      <c r="E58" s="12"/>
      <c r="F58" s="12"/>
      <c r="G58" s="12"/>
      <c r="H58" s="12"/>
      <c r="I58" s="12"/>
      <c r="J58" s="12"/>
      <c r="K58" s="12"/>
      <c r="L58" s="12">
        <v>0.56999999999999995</v>
      </c>
      <c r="M58" s="12"/>
      <c r="N58" s="12">
        <f t="shared" si="5"/>
        <v>0.56999999999999995</v>
      </c>
    </row>
    <row r="59" spans="1:19" x14ac:dyDescent="0.35">
      <c r="A59" s="272" t="s">
        <v>18</v>
      </c>
      <c r="B59" s="273"/>
      <c r="C59" s="273">
        <v>0.02</v>
      </c>
      <c r="D59" s="273"/>
      <c r="E59" s="273"/>
      <c r="F59" s="273"/>
      <c r="G59" s="273"/>
      <c r="H59" s="273"/>
      <c r="I59" s="273"/>
      <c r="J59" s="273"/>
      <c r="K59" s="273"/>
      <c r="L59" s="273"/>
      <c r="M59" s="273"/>
      <c r="N59" s="273">
        <f t="shared" si="5"/>
        <v>0.02</v>
      </c>
    </row>
    <row r="60" spans="1:19" x14ac:dyDescent="0.35">
      <c r="A60" s="6" t="s">
        <v>18</v>
      </c>
      <c r="B60" s="12"/>
      <c r="C60" s="12">
        <v>0.02</v>
      </c>
      <c r="D60" s="12"/>
      <c r="E60" s="12"/>
      <c r="F60" s="12"/>
      <c r="G60" s="12"/>
      <c r="H60" s="12"/>
      <c r="I60" s="12"/>
      <c r="J60" s="12"/>
      <c r="K60" s="12"/>
      <c r="L60" s="12"/>
      <c r="M60" s="12"/>
      <c r="N60" s="12">
        <f t="shared" si="5"/>
        <v>0.02</v>
      </c>
    </row>
    <row r="61" spans="1:19" x14ac:dyDescent="0.35">
      <c r="A61" s="272" t="s">
        <v>22</v>
      </c>
      <c r="B61" s="273"/>
      <c r="C61" s="273"/>
      <c r="D61" s="273"/>
      <c r="E61" s="273"/>
      <c r="F61" s="273"/>
      <c r="G61" s="273"/>
      <c r="H61" s="273"/>
      <c r="I61" s="273">
        <v>0.34</v>
      </c>
      <c r="J61" s="273"/>
      <c r="K61" s="273">
        <v>2.67</v>
      </c>
      <c r="L61" s="273">
        <v>0.56000000000000005</v>
      </c>
      <c r="M61" s="273">
        <v>0.66</v>
      </c>
      <c r="N61" s="273">
        <f t="shared" si="5"/>
        <v>4.2299999999999995</v>
      </c>
    </row>
    <row r="62" spans="1:19" x14ac:dyDescent="0.35">
      <c r="A62" s="6" t="s">
        <v>22</v>
      </c>
      <c r="B62" s="12"/>
      <c r="C62" s="12"/>
      <c r="D62" s="12"/>
      <c r="E62" s="12"/>
      <c r="F62" s="12"/>
      <c r="G62" s="12"/>
      <c r="H62" s="12"/>
      <c r="I62" s="12">
        <v>0.34</v>
      </c>
      <c r="J62" s="12"/>
      <c r="K62" s="12">
        <v>2.67</v>
      </c>
      <c r="L62" s="12">
        <v>0.56000000000000005</v>
      </c>
      <c r="M62" s="12">
        <v>0.66</v>
      </c>
      <c r="N62" s="12">
        <f t="shared" si="5"/>
        <v>4.2299999999999995</v>
      </c>
    </row>
    <row r="63" spans="1:19" x14ac:dyDescent="0.35">
      <c r="A63" s="274" t="s">
        <v>25</v>
      </c>
      <c r="B63" s="275">
        <f>SUM(B42,B49,B53,B57,B59,B61)</f>
        <v>0.8</v>
      </c>
      <c r="C63" s="275">
        <f t="shared" ref="C63:M63" si="7">SUM(C42,C49,C53,C57,C59,C61)</f>
        <v>0.02</v>
      </c>
      <c r="D63" s="275">
        <f t="shared" si="7"/>
        <v>0</v>
      </c>
      <c r="E63" s="275">
        <f t="shared" si="7"/>
        <v>0</v>
      </c>
      <c r="F63" s="275">
        <f t="shared" si="7"/>
        <v>0</v>
      </c>
      <c r="G63" s="275">
        <f t="shared" si="7"/>
        <v>5.43</v>
      </c>
      <c r="H63" s="275">
        <f t="shared" si="7"/>
        <v>0.04</v>
      </c>
      <c r="I63" s="275">
        <f t="shared" si="7"/>
        <v>97.7</v>
      </c>
      <c r="J63" s="275">
        <f t="shared" si="7"/>
        <v>0</v>
      </c>
      <c r="K63" s="275">
        <f t="shared" si="7"/>
        <v>9.64</v>
      </c>
      <c r="L63" s="275">
        <f t="shared" si="7"/>
        <v>21.849999999999998</v>
      </c>
      <c r="M63" s="275">
        <f t="shared" si="7"/>
        <v>0.77</v>
      </c>
      <c r="N63" s="275">
        <f>SUM(B63:M63)</f>
        <v>136.25000000000003</v>
      </c>
    </row>
    <row r="66" spans="1:19" ht="18.5" x14ac:dyDescent="0.45">
      <c r="A66" s="223"/>
    </row>
    <row r="67" spans="1:19" ht="15.5" x14ac:dyDescent="0.35">
      <c r="A67" s="280" t="s">
        <v>109</v>
      </c>
    </row>
    <row r="68" spans="1:19" ht="15" customHeight="1" x14ac:dyDescent="0.35">
      <c r="A68" s="721" t="s">
        <v>88</v>
      </c>
      <c r="B68" s="718" t="s">
        <v>113</v>
      </c>
      <c r="C68" s="715"/>
      <c r="D68" s="715"/>
      <c r="E68" s="715"/>
      <c r="F68" s="715"/>
      <c r="G68" s="715"/>
      <c r="H68" s="715"/>
      <c r="I68" s="715"/>
      <c r="J68" s="715"/>
      <c r="K68" s="715"/>
      <c r="L68" s="715"/>
      <c r="M68" s="715"/>
      <c r="N68" s="715"/>
    </row>
    <row r="69" spans="1:19" ht="30" customHeight="1" x14ac:dyDescent="0.35">
      <c r="A69" s="717"/>
      <c r="B69" s="278" t="s">
        <v>179</v>
      </c>
      <c r="C69" s="267" t="s">
        <v>186</v>
      </c>
      <c r="D69" s="267" t="s">
        <v>183</v>
      </c>
      <c r="E69" s="267" t="s">
        <v>182</v>
      </c>
      <c r="F69" s="267" t="s">
        <v>187</v>
      </c>
      <c r="G69" s="267" t="s">
        <v>175</v>
      </c>
      <c r="H69" s="267" t="s">
        <v>178</v>
      </c>
      <c r="I69" s="267" t="s">
        <v>176</v>
      </c>
      <c r="J69" s="267" t="s">
        <v>188</v>
      </c>
      <c r="K69" s="267" t="s">
        <v>177</v>
      </c>
      <c r="L69" s="267" t="s">
        <v>122</v>
      </c>
      <c r="M69" s="267" t="s">
        <v>123</v>
      </c>
      <c r="N69" s="267" t="s">
        <v>124</v>
      </c>
      <c r="Q69" s="711" t="s">
        <v>211</v>
      </c>
      <c r="R69" s="712"/>
      <c r="S69" s="724"/>
    </row>
    <row r="70" spans="1:19" x14ac:dyDescent="0.35">
      <c r="A70" s="272" t="s">
        <v>5</v>
      </c>
      <c r="B70" s="273"/>
      <c r="C70" s="273"/>
      <c r="D70" s="273">
        <v>0.19</v>
      </c>
      <c r="E70" s="273"/>
      <c r="F70" s="273"/>
      <c r="G70" s="273"/>
      <c r="H70" s="273"/>
      <c r="I70" s="273">
        <v>0.18999999999999773</v>
      </c>
      <c r="J70" s="273"/>
      <c r="K70" s="273"/>
      <c r="L70" s="273">
        <v>2.8099999999999996</v>
      </c>
      <c r="M70" s="273">
        <v>1.46</v>
      </c>
      <c r="N70" s="273">
        <f t="shared" ref="N70:N90" si="8">N14-N42</f>
        <v>4.6499999999999915</v>
      </c>
      <c r="Q70" s="271" t="s">
        <v>175</v>
      </c>
      <c r="R70" s="212">
        <v>61.230000000000025</v>
      </c>
      <c r="S70" s="22">
        <f t="shared" ref="S70:S79" si="9">R70/$R$82</f>
        <v>9.5949228237875217E-2</v>
      </c>
    </row>
    <row r="71" spans="1:19" x14ac:dyDescent="0.35">
      <c r="A71" s="6" t="s">
        <v>6</v>
      </c>
      <c r="B71" s="12"/>
      <c r="C71" s="12"/>
      <c r="D71" s="12"/>
      <c r="E71" s="12"/>
      <c r="F71" s="12"/>
      <c r="G71" s="12"/>
      <c r="H71" s="12"/>
      <c r="I71" s="12"/>
      <c r="J71" s="12"/>
      <c r="K71" s="12"/>
      <c r="L71" s="12"/>
      <c r="M71" s="12"/>
      <c r="N71" s="12">
        <f t="shared" si="8"/>
        <v>0</v>
      </c>
      <c r="Q71" s="271" t="s">
        <v>176</v>
      </c>
      <c r="R71" s="212">
        <v>38.54</v>
      </c>
      <c r="S71" s="22">
        <f t="shared" si="9"/>
        <v>6.0393324453498438E-2</v>
      </c>
    </row>
    <row r="72" spans="1:19" x14ac:dyDescent="0.35">
      <c r="A72" s="6" t="s">
        <v>7</v>
      </c>
      <c r="B72" s="12"/>
      <c r="C72" s="12"/>
      <c r="D72" s="12"/>
      <c r="E72" s="12"/>
      <c r="F72" s="12"/>
      <c r="G72" s="12"/>
      <c r="H72" s="12"/>
      <c r="I72" s="12">
        <v>0.19</v>
      </c>
      <c r="J72" s="12"/>
      <c r="K72" s="12"/>
      <c r="L72" s="12">
        <v>2.81</v>
      </c>
      <c r="M72" s="12"/>
      <c r="N72" s="12">
        <f t="shared" si="8"/>
        <v>3</v>
      </c>
      <c r="Q72" s="271" t="s">
        <v>177</v>
      </c>
      <c r="R72" s="212">
        <v>36.050000000000011</v>
      </c>
      <c r="S72" s="22">
        <f t="shared" si="9"/>
        <v>5.6491420512418768E-2</v>
      </c>
    </row>
    <row r="73" spans="1:19" x14ac:dyDescent="0.35">
      <c r="A73" s="6" t="s">
        <v>8</v>
      </c>
      <c r="B73" s="12"/>
      <c r="C73" s="12"/>
      <c r="D73" s="12"/>
      <c r="E73" s="12"/>
      <c r="F73" s="12"/>
      <c r="G73" s="12"/>
      <c r="H73" s="12"/>
      <c r="I73" s="12"/>
      <c r="J73" s="12"/>
      <c r="K73" s="12"/>
      <c r="L73" s="12"/>
      <c r="M73" s="12"/>
      <c r="N73" s="12">
        <f t="shared" si="8"/>
        <v>0</v>
      </c>
      <c r="Q73" s="271" t="s">
        <v>187</v>
      </c>
      <c r="R73" s="212">
        <v>20.740000000000002</v>
      </c>
      <c r="S73" s="22">
        <f t="shared" si="9"/>
        <v>3.2500195878711932E-2</v>
      </c>
    </row>
    <row r="74" spans="1:19" x14ac:dyDescent="0.35">
      <c r="A74" s="6" t="s">
        <v>26</v>
      </c>
      <c r="B74" s="12"/>
      <c r="C74" s="12"/>
      <c r="D74" s="12">
        <v>0.19</v>
      </c>
      <c r="E74" s="12"/>
      <c r="F74" s="12"/>
      <c r="G74" s="12"/>
      <c r="H74" s="12"/>
      <c r="I74" s="12"/>
      <c r="J74" s="12"/>
      <c r="K74" s="12"/>
      <c r="L74" s="12"/>
      <c r="M74" s="12">
        <v>0.85</v>
      </c>
      <c r="N74" s="12">
        <f t="shared" si="8"/>
        <v>1.04</v>
      </c>
      <c r="Q74" s="271" t="s">
        <v>178</v>
      </c>
      <c r="R74" s="212">
        <v>10.399999999999999</v>
      </c>
      <c r="S74" s="22">
        <f t="shared" si="9"/>
        <v>1.6297108830212341E-2</v>
      </c>
    </row>
    <row r="75" spans="1:19" x14ac:dyDescent="0.35">
      <c r="A75" s="6" t="s">
        <v>27</v>
      </c>
      <c r="B75" s="12"/>
      <c r="C75" s="12"/>
      <c r="D75" s="12"/>
      <c r="E75" s="12"/>
      <c r="F75" s="12"/>
      <c r="G75" s="12"/>
      <c r="H75" s="12"/>
      <c r="I75" s="12"/>
      <c r="J75" s="12"/>
      <c r="K75" s="12"/>
      <c r="L75" s="12"/>
      <c r="M75" s="12"/>
      <c r="N75" s="12">
        <f t="shared" si="8"/>
        <v>0</v>
      </c>
      <c r="Q75" s="271" t="s">
        <v>186</v>
      </c>
      <c r="R75" s="212">
        <v>7.81</v>
      </c>
      <c r="S75" s="384">
        <f t="shared" si="9"/>
        <v>1.2238501919611386E-2</v>
      </c>
    </row>
    <row r="76" spans="1:19" x14ac:dyDescent="0.35">
      <c r="A76" s="6" t="s">
        <v>29</v>
      </c>
      <c r="B76" s="12"/>
      <c r="C76" s="12"/>
      <c r="D76" s="12"/>
      <c r="E76" s="12"/>
      <c r="F76" s="12"/>
      <c r="G76" s="12"/>
      <c r="H76" s="12"/>
      <c r="I76" s="12"/>
      <c r="J76" s="12"/>
      <c r="K76" s="12"/>
      <c r="L76" s="12"/>
      <c r="M76" s="12">
        <v>0.61</v>
      </c>
      <c r="N76" s="12">
        <f t="shared" si="8"/>
        <v>0.61000000000000032</v>
      </c>
      <c r="Q76" s="271" t="s">
        <v>179</v>
      </c>
      <c r="R76" s="212">
        <v>6.7100000000000009</v>
      </c>
      <c r="S76" s="384">
        <f t="shared" si="9"/>
        <v>1.0514769254877388E-2</v>
      </c>
    </row>
    <row r="77" spans="1:19" x14ac:dyDescent="0.35">
      <c r="A77" s="272" t="s">
        <v>13</v>
      </c>
      <c r="B77" s="273">
        <v>5.7000000000000011</v>
      </c>
      <c r="C77" s="273">
        <v>1.03</v>
      </c>
      <c r="D77" s="273">
        <v>2.1899999999999995</v>
      </c>
      <c r="E77" s="273">
        <v>2.62</v>
      </c>
      <c r="F77" s="273">
        <v>8.8000000000000007</v>
      </c>
      <c r="G77" s="273">
        <v>61.230000000000025</v>
      </c>
      <c r="H77" s="273">
        <v>10.399999999999999</v>
      </c>
      <c r="I77" s="273">
        <v>10.77</v>
      </c>
      <c r="J77" s="273">
        <v>1.1100000000000001</v>
      </c>
      <c r="K77" s="273">
        <v>0.60000000000000053</v>
      </c>
      <c r="L77" s="273">
        <v>10.220000000000001</v>
      </c>
      <c r="M77" s="273">
        <v>9.1</v>
      </c>
      <c r="N77" s="273">
        <f t="shared" si="8"/>
        <v>123.77000000000001</v>
      </c>
      <c r="Q77" s="271" t="s">
        <v>182</v>
      </c>
      <c r="R77" s="212">
        <v>3.35</v>
      </c>
      <c r="S77" s="384">
        <f t="shared" si="9"/>
        <v>5.24954947896263E-3</v>
      </c>
    </row>
    <row r="78" spans="1:19" x14ac:dyDescent="0.35">
      <c r="A78" s="6" t="s">
        <v>34</v>
      </c>
      <c r="B78" s="12">
        <v>2.9300000000000006</v>
      </c>
      <c r="C78" s="12">
        <v>1.03</v>
      </c>
      <c r="D78" s="12">
        <v>0.05</v>
      </c>
      <c r="E78" s="12"/>
      <c r="F78" s="12">
        <v>0.22</v>
      </c>
      <c r="G78" s="12">
        <v>1.3600000000000003</v>
      </c>
      <c r="H78" s="12">
        <v>7.6899999999999977</v>
      </c>
      <c r="I78" s="12">
        <v>2.15</v>
      </c>
      <c r="J78" s="12">
        <v>0.89</v>
      </c>
      <c r="K78" s="12">
        <v>0.60000000000000053</v>
      </c>
      <c r="L78" s="12">
        <v>2.57</v>
      </c>
      <c r="M78" s="12">
        <v>3.9100000000000006</v>
      </c>
      <c r="N78" s="12">
        <f t="shared" si="8"/>
        <v>23.4</v>
      </c>
      <c r="Q78" s="271" t="s">
        <v>183</v>
      </c>
      <c r="R78" s="212">
        <v>2.3799999999999994</v>
      </c>
      <c r="S78" s="384">
        <f t="shared" si="9"/>
        <v>3.7295306746062858E-3</v>
      </c>
    </row>
    <row r="79" spans="1:19" x14ac:dyDescent="0.35">
      <c r="A79" s="6" t="s">
        <v>61</v>
      </c>
      <c r="B79" s="12">
        <v>0.68</v>
      </c>
      <c r="C79" s="12"/>
      <c r="D79" s="12"/>
      <c r="E79" s="12">
        <v>1.1300000000000001</v>
      </c>
      <c r="F79" s="12"/>
      <c r="G79" s="12">
        <v>3.02</v>
      </c>
      <c r="H79" s="12"/>
      <c r="I79" s="12">
        <v>7.1899999999999995</v>
      </c>
      <c r="J79" s="12">
        <v>0.22</v>
      </c>
      <c r="K79" s="12"/>
      <c r="L79" s="12">
        <v>0.95000000000000018</v>
      </c>
      <c r="M79" s="12">
        <v>2.81</v>
      </c>
      <c r="N79" s="12">
        <f t="shared" si="8"/>
        <v>16.000000000000004</v>
      </c>
      <c r="Q79" s="271" t="s">
        <v>188</v>
      </c>
      <c r="R79" s="212">
        <v>1.1100000000000001</v>
      </c>
      <c r="S79" s="384">
        <f t="shared" si="9"/>
        <v>1.7394029616861254E-3</v>
      </c>
    </row>
    <row r="80" spans="1:19" x14ac:dyDescent="0.35">
      <c r="A80" s="6" t="s">
        <v>36</v>
      </c>
      <c r="B80" s="12">
        <v>2.09</v>
      </c>
      <c r="C80" s="12"/>
      <c r="D80" s="12">
        <v>2.1399999999999997</v>
      </c>
      <c r="E80" s="12">
        <v>1.49</v>
      </c>
      <c r="F80" s="12">
        <v>8.58</v>
      </c>
      <c r="G80" s="12">
        <v>56.850000000000037</v>
      </c>
      <c r="H80" s="12">
        <v>2.71</v>
      </c>
      <c r="I80" s="12">
        <v>1.4300000000000002</v>
      </c>
      <c r="J80" s="12"/>
      <c r="K80" s="12"/>
      <c r="L80" s="12">
        <v>6.7000000000000011</v>
      </c>
      <c r="M80" s="12">
        <v>2.38</v>
      </c>
      <c r="N80" s="12">
        <f t="shared" si="8"/>
        <v>84.370000000000033</v>
      </c>
      <c r="Q80" s="271" t="s">
        <v>122</v>
      </c>
      <c r="R80" s="212">
        <v>418.13999999999953</v>
      </c>
      <c r="S80" s="22">
        <f t="shared" ref="S80:S82" si="10">R80/$R$82</f>
        <v>0.65523779675624827</v>
      </c>
    </row>
    <row r="81" spans="1:19" x14ac:dyDescent="0.35">
      <c r="A81" s="272" t="s">
        <v>14</v>
      </c>
      <c r="B81" s="273">
        <v>0.88000000000000012</v>
      </c>
      <c r="C81" s="273"/>
      <c r="D81" s="273"/>
      <c r="E81" s="273"/>
      <c r="F81" s="273">
        <v>10.01</v>
      </c>
      <c r="G81" s="273"/>
      <c r="H81" s="273"/>
      <c r="I81" s="273">
        <v>6.3900000000000006</v>
      </c>
      <c r="J81" s="273"/>
      <c r="K81" s="273"/>
      <c r="L81" s="273">
        <v>401.26999999999947</v>
      </c>
      <c r="M81" s="273">
        <v>5.8500000000000005</v>
      </c>
      <c r="N81" s="273">
        <f t="shared" si="8"/>
        <v>424.39999999999947</v>
      </c>
      <c r="Q81" s="271" t="s">
        <v>123</v>
      </c>
      <c r="R81" s="212">
        <v>31.69</v>
      </c>
      <c r="S81" s="22">
        <f t="shared" si="10"/>
        <v>4.9659171041291271E-2</v>
      </c>
    </row>
    <row r="82" spans="1:19" x14ac:dyDescent="0.35">
      <c r="A82" s="6" t="s">
        <v>37</v>
      </c>
      <c r="B82" s="12"/>
      <c r="C82" s="12"/>
      <c r="D82" s="12"/>
      <c r="E82" s="12"/>
      <c r="F82" s="12"/>
      <c r="G82" s="12"/>
      <c r="H82" s="12"/>
      <c r="I82" s="12"/>
      <c r="J82" s="12"/>
      <c r="K82" s="12"/>
      <c r="L82" s="12">
        <v>0.71</v>
      </c>
      <c r="M82" s="12"/>
      <c r="N82" s="12">
        <f t="shared" si="8"/>
        <v>0.71</v>
      </c>
      <c r="Q82" s="268" t="s">
        <v>130</v>
      </c>
      <c r="R82" s="269">
        <v>638.14999999999952</v>
      </c>
      <c r="S82" s="270">
        <f t="shared" si="10"/>
        <v>1</v>
      </c>
    </row>
    <row r="83" spans="1:19" x14ac:dyDescent="0.35">
      <c r="A83" s="6" t="s">
        <v>39</v>
      </c>
      <c r="B83" s="12"/>
      <c r="C83" s="12"/>
      <c r="D83" s="12"/>
      <c r="E83" s="12"/>
      <c r="F83" s="12"/>
      <c r="G83" s="12"/>
      <c r="H83" s="12"/>
      <c r="I83" s="12"/>
      <c r="J83" s="12"/>
      <c r="K83" s="12"/>
      <c r="L83" s="12">
        <v>0.77</v>
      </c>
      <c r="M83" s="12"/>
      <c r="N83" s="12">
        <f t="shared" si="8"/>
        <v>0.77</v>
      </c>
    </row>
    <row r="84" spans="1:19" x14ac:dyDescent="0.35">
      <c r="A84" s="6" t="s">
        <v>40</v>
      </c>
      <c r="B84" s="12">
        <v>0.88000000000000012</v>
      </c>
      <c r="C84" s="12"/>
      <c r="D84" s="12"/>
      <c r="E84" s="12"/>
      <c r="F84" s="12">
        <v>10.01</v>
      </c>
      <c r="G84" s="12"/>
      <c r="H84" s="12"/>
      <c r="I84" s="12">
        <v>6.3900000000000006</v>
      </c>
      <c r="J84" s="12"/>
      <c r="K84" s="12"/>
      <c r="L84" s="12">
        <v>399.78999999999945</v>
      </c>
      <c r="M84" s="12">
        <v>5.8500000000000005</v>
      </c>
      <c r="N84" s="12">
        <f t="shared" si="8"/>
        <v>422.91999999999945</v>
      </c>
    </row>
    <row r="85" spans="1:19" x14ac:dyDescent="0.35">
      <c r="A85" s="272" t="s">
        <v>17</v>
      </c>
      <c r="B85" s="273"/>
      <c r="C85" s="273"/>
      <c r="D85" s="273"/>
      <c r="E85" s="273"/>
      <c r="F85" s="273"/>
      <c r="G85" s="273"/>
      <c r="H85" s="273"/>
      <c r="I85" s="273"/>
      <c r="J85" s="273"/>
      <c r="K85" s="273"/>
      <c r="L85" s="273"/>
      <c r="M85" s="273"/>
      <c r="N85" s="273">
        <f t="shared" si="8"/>
        <v>0</v>
      </c>
    </row>
    <row r="86" spans="1:19" x14ac:dyDescent="0.35">
      <c r="A86" s="6" t="s">
        <v>56</v>
      </c>
      <c r="B86" s="12"/>
      <c r="C86" s="12"/>
      <c r="D86" s="12"/>
      <c r="E86" s="12"/>
      <c r="F86" s="12"/>
      <c r="G86" s="12"/>
      <c r="H86" s="12"/>
      <c r="I86" s="12"/>
      <c r="J86" s="12"/>
      <c r="K86" s="12"/>
      <c r="L86" s="12"/>
      <c r="M86" s="12"/>
      <c r="N86" s="12">
        <f t="shared" si="8"/>
        <v>0</v>
      </c>
    </row>
    <row r="87" spans="1:19" x14ac:dyDescent="0.35">
      <c r="A87" s="272" t="s">
        <v>18</v>
      </c>
      <c r="B87" s="273"/>
      <c r="C87" s="273">
        <v>6.7799999999999994</v>
      </c>
      <c r="D87" s="273"/>
      <c r="E87" s="273">
        <v>0.48</v>
      </c>
      <c r="F87" s="273">
        <v>1.37</v>
      </c>
      <c r="G87" s="273"/>
      <c r="H87" s="273"/>
      <c r="I87" s="273"/>
      <c r="J87" s="273"/>
      <c r="K87" s="273"/>
      <c r="L87" s="273">
        <v>0.98</v>
      </c>
      <c r="M87" s="273">
        <v>7.28</v>
      </c>
      <c r="N87" s="273">
        <f t="shared" si="8"/>
        <v>16.89</v>
      </c>
    </row>
    <row r="88" spans="1:19" x14ac:dyDescent="0.35">
      <c r="A88" s="6" t="s">
        <v>18</v>
      </c>
      <c r="B88" s="12"/>
      <c r="C88" s="12">
        <v>6.7799999999999994</v>
      </c>
      <c r="D88" s="12">
        <v>0</v>
      </c>
      <c r="E88" s="12">
        <v>0.48</v>
      </c>
      <c r="F88" s="12">
        <v>1.37</v>
      </c>
      <c r="G88" s="12"/>
      <c r="H88" s="12"/>
      <c r="I88" s="12"/>
      <c r="J88" s="12"/>
      <c r="K88" s="12"/>
      <c r="L88" s="12">
        <v>0.98</v>
      </c>
      <c r="M88" s="12">
        <v>7.28</v>
      </c>
      <c r="N88" s="12">
        <f t="shared" si="8"/>
        <v>16.89</v>
      </c>
    </row>
    <row r="89" spans="1:19" x14ac:dyDescent="0.35">
      <c r="A89" s="272" t="s">
        <v>22</v>
      </c>
      <c r="B89" s="273">
        <v>0.13</v>
      </c>
      <c r="C89" s="273"/>
      <c r="D89" s="273"/>
      <c r="E89" s="273">
        <v>0.25</v>
      </c>
      <c r="F89" s="273">
        <v>0.56000000000000005</v>
      </c>
      <c r="G89" s="273"/>
      <c r="H89" s="273"/>
      <c r="I89" s="273">
        <f>I33-I61</f>
        <v>21.19</v>
      </c>
      <c r="J89" s="273"/>
      <c r="K89" s="273">
        <v>35.45000000000001</v>
      </c>
      <c r="L89" s="273">
        <v>2.86</v>
      </c>
      <c r="M89" s="273">
        <v>8</v>
      </c>
      <c r="N89" s="273">
        <f t="shared" si="8"/>
        <v>68.440000000000012</v>
      </c>
    </row>
    <row r="90" spans="1:19" x14ac:dyDescent="0.35">
      <c r="A90" s="6" t="s">
        <v>22</v>
      </c>
      <c r="B90" s="12">
        <v>0.13</v>
      </c>
      <c r="C90" s="12"/>
      <c r="D90" s="12"/>
      <c r="E90" s="12">
        <v>0.25</v>
      </c>
      <c r="F90" s="12">
        <v>0.56000000000000005</v>
      </c>
      <c r="G90" s="12"/>
      <c r="H90" s="12"/>
      <c r="I90" s="12">
        <v>21.19</v>
      </c>
      <c r="J90" s="12"/>
      <c r="K90" s="12">
        <v>35.45000000000001</v>
      </c>
      <c r="L90" s="12">
        <v>2.86</v>
      </c>
      <c r="M90" s="12">
        <v>8</v>
      </c>
      <c r="N90" s="12">
        <f t="shared" si="8"/>
        <v>68.440000000000012</v>
      </c>
    </row>
    <row r="91" spans="1:19" x14ac:dyDescent="0.35">
      <c r="A91" s="274" t="s">
        <v>25</v>
      </c>
      <c r="B91" s="275">
        <f>SUM(B70,B77,B81,B85,B87,B89)</f>
        <v>6.7100000000000009</v>
      </c>
      <c r="C91" s="275">
        <f t="shared" ref="C91:M91" si="11">SUM(C70,C77,C81,C85,C87,C89)</f>
        <v>7.81</v>
      </c>
      <c r="D91" s="275">
        <f t="shared" si="11"/>
        <v>2.3799999999999994</v>
      </c>
      <c r="E91" s="275">
        <f t="shared" si="11"/>
        <v>3.35</v>
      </c>
      <c r="F91" s="275">
        <f t="shared" si="11"/>
        <v>20.740000000000002</v>
      </c>
      <c r="G91" s="275">
        <f t="shared" si="11"/>
        <v>61.230000000000025</v>
      </c>
      <c r="H91" s="275">
        <f t="shared" si="11"/>
        <v>10.399999999999999</v>
      </c>
      <c r="I91" s="275">
        <f t="shared" si="11"/>
        <v>38.54</v>
      </c>
      <c r="J91" s="275">
        <f t="shared" si="11"/>
        <v>1.1100000000000001</v>
      </c>
      <c r="K91" s="275">
        <f t="shared" si="11"/>
        <v>36.050000000000011</v>
      </c>
      <c r="L91" s="275">
        <f t="shared" si="11"/>
        <v>418.13999999999953</v>
      </c>
      <c r="M91" s="275">
        <f t="shared" si="11"/>
        <v>31.69</v>
      </c>
      <c r="N91" s="275">
        <f t="shared" ref="N91" si="12">SUM(N70,N77,N81,N85,N87,N89)</f>
        <v>638.14999999999952</v>
      </c>
    </row>
  </sheetData>
  <sortState xmlns:xlrd2="http://schemas.microsoft.com/office/spreadsheetml/2017/richdata2" ref="Q70:S79">
    <sortCondition descending="1" ref="R70"/>
  </sortState>
  <mergeCells count="9">
    <mergeCell ref="A68:A69"/>
    <mergeCell ref="B68:N68"/>
    <mergeCell ref="Q13:S13"/>
    <mergeCell ref="Q41:S41"/>
    <mergeCell ref="Q69:S69"/>
    <mergeCell ref="A12:A13"/>
    <mergeCell ref="B12:N12"/>
    <mergeCell ref="A40:A41"/>
    <mergeCell ref="B40:N40"/>
  </mergeCells>
  <hyperlinks>
    <hyperlink ref="P1" location="ÍNDICE!A1" display="ÍNDICE!A1" xr:uid="{00000000-0004-0000-1900-000000000000}"/>
    <hyperlink ref="B1" r:id="rId1" xr:uid="{00000000-0004-0000-1900-000001000000}"/>
    <hyperlink ref="A5" location="'ALG R-VAR'!A11" display=" TOTAL" xr:uid="{00000000-0004-0000-1900-000002000000}"/>
    <hyperlink ref="C5" location="'ALG R-VAR'!A11" display="TOTAL" xr:uid="{00000000-0004-0000-1900-000003000000}"/>
    <hyperlink ref="C6" location="'ALG R-VAR'!A39" display="ECOLÓGICO" xr:uid="{00000000-0004-0000-1900-000004000000}"/>
    <hyperlink ref="C7" location="'ALG R-VAR'!A67" display="CONVENCIONAL" xr:uid="{00000000-0004-0000-1900-000005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O57"/>
  <sheetViews>
    <sheetView topLeftCell="G31" zoomScale="70" zoomScaleNormal="70" workbookViewId="0">
      <selection activeCell="V34" sqref="V34"/>
    </sheetView>
  </sheetViews>
  <sheetFormatPr baseColWidth="10" defaultRowHeight="14.5" x14ac:dyDescent="0.35"/>
  <cols>
    <col min="1" max="1" width="25.453125" bestFit="1" customWidth="1"/>
    <col min="2" max="2" width="17.81640625" customWidth="1"/>
    <col min="3" max="3" width="14.1796875" bestFit="1" customWidth="1"/>
    <col min="4" max="4" width="18.1796875" bestFit="1" customWidth="1"/>
    <col min="5" max="5" width="19.81640625" customWidth="1"/>
    <col min="6" max="6" width="15.54296875" customWidth="1"/>
  </cols>
  <sheetData>
    <row r="1" spans="1:15" x14ac:dyDescent="0.35">
      <c r="A1" s="240" t="s">
        <v>10</v>
      </c>
      <c r="B1" s="2" t="s">
        <v>9</v>
      </c>
      <c r="N1" t="s">
        <v>143</v>
      </c>
      <c r="O1" s="2" t="s">
        <v>144</v>
      </c>
    </row>
    <row r="7" spans="1:15" ht="22.5" customHeight="1" x14ac:dyDescent="0.35">
      <c r="A7" s="403" t="s">
        <v>259</v>
      </c>
      <c r="B7" s="391"/>
      <c r="C7" s="391"/>
      <c r="D7" s="391"/>
      <c r="E7" s="391"/>
    </row>
    <row r="8" spans="1:15" x14ac:dyDescent="0.35">
      <c r="A8" s="732" t="s">
        <v>113</v>
      </c>
      <c r="B8" s="732" t="s">
        <v>268</v>
      </c>
      <c r="C8" s="732" t="s">
        <v>260</v>
      </c>
      <c r="D8" s="732" t="s">
        <v>113</v>
      </c>
      <c r="E8" s="732" t="s">
        <v>269</v>
      </c>
      <c r="F8" s="732" t="s">
        <v>261</v>
      </c>
      <c r="J8" s="396"/>
    </row>
    <row r="9" spans="1:15" ht="39.75" customHeight="1" x14ac:dyDescent="0.35">
      <c r="A9" s="733"/>
      <c r="B9" s="733"/>
      <c r="C9" s="733"/>
      <c r="D9" s="733"/>
      <c r="E9" s="733"/>
      <c r="F9" s="733"/>
    </row>
    <row r="10" spans="1:15" x14ac:dyDescent="0.35">
      <c r="A10" s="392" t="s">
        <v>114</v>
      </c>
      <c r="B10" s="393">
        <v>126585.13000000002</v>
      </c>
      <c r="C10" s="394">
        <f t="shared" ref="C10:C29" si="0">B10/$B$29</f>
        <v>0.29563768517273142</v>
      </c>
      <c r="D10" s="392" t="s">
        <v>114</v>
      </c>
      <c r="E10" s="393">
        <v>22651.310000000005</v>
      </c>
      <c r="F10" s="434">
        <f t="shared" ref="F10:F29" si="1">E10/$E$29</f>
        <v>0.31424987344023497</v>
      </c>
      <c r="I10" s="396"/>
      <c r="J10" s="396"/>
    </row>
    <row r="11" spans="1:15" x14ac:dyDescent="0.35">
      <c r="A11" s="392" t="s">
        <v>115</v>
      </c>
      <c r="B11" s="393">
        <v>84665.650000000183</v>
      </c>
      <c r="C11" s="394">
        <f t="shared" si="0"/>
        <v>0.19773536417464452</v>
      </c>
      <c r="D11" s="392" t="s">
        <v>315</v>
      </c>
      <c r="E11" s="393">
        <v>26316.35</v>
      </c>
      <c r="F11" s="435">
        <f t="shared" si="1"/>
        <v>0.36509630820067029</v>
      </c>
      <c r="I11" s="397"/>
    </row>
    <row r="12" spans="1:15" x14ac:dyDescent="0.35">
      <c r="A12" s="392" t="s">
        <v>116</v>
      </c>
      <c r="B12" s="393">
        <v>55968.509999999849</v>
      </c>
      <c r="C12" s="394">
        <f t="shared" si="0"/>
        <v>0.13071362125209196</v>
      </c>
      <c r="D12" s="392" t="s">
        <v>127</v>
      </c>
      <c r="E12" s="393">
        <v>4796.7600000000011</v>
      </c>
      <c r="F12" s="435">
        <f t="shared" si="1"/>
        <v>6.6547198503008498E-2</v>
      </c>
      <c r="I12" s="398"/>
    </row>
    <row r="13" spans="1:15" x14ac:dyDescent="0.35">
      <c r="A13" s="392" t="s">
        <v>117</v>
      </c>
      <c r="B13" s="393">
        <v>42719.710000000021</v>
      </c>
      <c r="C13" s="394">
        <f t="shared" si="0"/>
        <v>9.977124624077402E-2</v>
      </c>
      <c r="D13" s="392" t="s">
        <v>262</v>
      </c>
      <c r="E13" s="393">
        <v>2735.47</v>
      </c>
      <c r="F13" s="394">
        <f t="shared" si="1"/>
        <v>3.7950171592705202E-2</v>
      </c>
      <c r="I13" s="397"/>
    </row>
    <row r="14" spans="1:15" x14ac:dyDescent="0.35">
      <c r="A14" s="392" t="s">
        <v>315</v>
      </c>
      <c r="B14" s="393">
        <v>22181.59</v>
      </c>
      <c r="C14" s="394">
        <f t="shared" si="0"/>
        <v>5.1804772970179096E-2</v>
      </c>
      <c r="D14" s="392" t="s">
        <v>119</v>
      </c>
      <c r="E14" s="393">
        <v>2321.19</v>
      </c>
      <c r="F14" s="394">
        <f t="shared" si="1"/>
        <v>3.2202714268214021E-2</v>
      </c>
      <c r="I14" s="397"/>
    </row>
    <row r="15" spans="1:15" x14ac:dyDescent="0.35">
      <c r="A15" s="392" t="s">
        <v>118</v>
      </c>
      <c r="B15" s="393">
        <v>17902.8</v>
      </c>
      <c r="C15" s="394">
        <f t="shared" si="0"/>
        <v>4.1811722673195308E-2</v>
      </c>
      <c r="D15" s="392" t="s">
        <v>115</v>
      </c>
      <c r="E15" s="393">
        <v>2269.7599999999993</v>
      </c>
      <c r="F15" s="436">
        <f t="shared" si="1"/>
        <v>3.1489207146946793E-2</v>
      </c>
      <c r="I15" s="397"/>
    </row>
    <row r="16" spans="1:15" x14ac:dyDescent="0.35">
      <c r="A16" s="392" t="s">
        <v>119</v>
      </c>
      <c r="B16" s="393">
        <v>11744.949999999993</v>
      </c>
      <c r="C16" s="394">
        <f t="shared" si="0"/>
        <v>2.7430155741590419E-2</v>
      </c>
      <c r="D16" s="392" t="s">
        <v>126</v>
      </c>
      <c r="E16" s="393">
        <v>2195.0399999999995</v>
      </c>
      <c r="F16" s="394">
        <f t="shared" si="1"/>
        <v>3.0452589373252719E-2</v>
      </c>
      <c r="I16" s="397"/>
    </row>
    <row r="17" spans="1:9" x14ac:dyDescent="0.35">
      <c r="A17" s="392" t="s">
        <v>121</v>
      </c>
      <c r="B17" s="393">
        <v>9426.9499999999971</v>
      </c>
      <c r="C17" s="394">
        <f t="shared" si="0"/>
        <v>2.201650127656447E-2</v>
      </c>
      <c r="D17" s="392" t="s">
        <v>117</v>
      </c>
      <c r="E17" s="393">
        <v>1138.1399999999999</v>
      </c>
      <c r="F17" s="436">
        <f t="shared" si="1"/>
        <v>1.5789830740794635E-2</v>
      </c>
      <c r="I17" s="397"/>
    </row>
    <row r="18" spans="1:9" x14ac:dyDescent="0.35">
      <c r="A18" s="392" t="s">
        <v>120</v>
      </c>
      <c r="B18" s="393">
        <v>8518.9300000000021</v>
      </c>
      <c r="C18" s="394">
        <f t="shared" si="0"/>
        <v>1.9895834094798791E-2</v>
      </c>
      <c r="D18" s="392" t="s">
        <v>125</v>
      </c>
      <c r="E18" s="393">
        <v>994.36000000000035</v>
      </c>
      <c r="F18" s="400">
        <f t="shared" si="1"/>
        <v>1.3795118434829248E-2</v>
      </c>
      <c r="I18" s="397"/>
    </row>
    <row r="19" spans="1:9" x14ac:dyDescent="0.35">
      <c r="A19" s="392" t="s">
        <v>262</v>
      </c>
      <c r="B19" s="393">
        <v>4481.5099999999993</v>
      </c>
      <c r="C19" s="394">
        <f t="shared" si="0"/>
        <v>1.046649983673791E-2</v>
      </c>
      <c r="D19" s="392" t="s">
        <v>116</v>
      </c>
      <c r="E19" s="393">
        <v>739.0100000000001</v>
      </c>
      <c r="F19" s="436">
        <f t="shared" si="1"/>
        <v>1.0252554884069311E-2</v>
      </c>
      <c r="I19" s="397"/>
    </row>
    <row r="20" spans="1:9" x14ac:dyDescent="0.35">
      <c r="A20" s="392" t="s">
        <v>263</v>
      </c>
      <c r="B20" s="393">
        <v>4307.1100000000006</v>
      </c>
      <c r="C20" s="394">
        <f t="shared" si="0"/>
        <v>1.0059191235055201E-2</v>
      </c>
      <c r="D20" s="392" t="s">
        <v>264</v>
      </c>
      <c r="E20" s="393">
        <v>639.16999999999996</v>
      </c>
      <c r="F20" s="400">
        <f t="shared" si="1"/>
        <v>8.8674382014459624E-3</v>
      </c>
      <c r="I20" s="397"/>
    </row>
    <row r="21" spans="1:9" x14ac:dyDescent="0.35">
      <c r="A21" s="392" t="s">
        <v>126</v>
      </c>
      <c r="B21" s="393">
        <v>3724.5499999999993</v>
      </c>
      <c r="C21" s="394">
        <f t="shared" si="0"/>
        <v>8.6986310343884505E-3</v>
      </c>
      <c r="D21" s="392" t="s">
        <v>263</v>
      </c>
      <c r="E21" s="393">
        <v>626.5100000000001</v>
      </c>
      <c r="F21" s="400">
        <f t="shared" si="1"/>
        <v>8.6918014105604319E-3</v>
      </c>
      <c r="I21" s="397"/>
    </row>
    <row r="22" spans="1:9" x14ac:dyDescent="0.35">
      <c r="A22" s="392" t="s">
        <v>125</v>
      </c>
      <c r="B22" s="393">
        <v>3477.05</v>
      </c>
      <c r="C22" s="394">
        <f t="shared" si="0"/>
        <v>8.1205984717940063E-3</v>
      </c>
      <c r="D22" s="392" t="s">
        <v>118</v>
      </c>
      <c r="E22" s="393">
        <v>586.28</v>
      </c>
      <c r="F22" s="436">
        <f t="shared" si="1"/>
        <v>8.1336759684336544E-3</v>
      </c>
      <c r="I22" s="397"/>
    </row>
    <row r="23" spans="1:9" x14ac:dyDescent="0.35">
      <c r="A23" s="392" t="s">
        <v>127</v>
      </c>
      <c r="B23" s="393">
        <v>3157.9500000000012</v>
      </c>
      <c r="C23" s="394">
        <f t="shared" si="0"/>
        <v>7.3753451759399182E-3</v>
      </c>
      <c r="D23" s="392" t="s">
        <v>265</v>
      </c>
      <c r="E23" s="393">
        <v>575.78000000000009</v>
      </c>
      <c r="F23" s="400">
        <f t="shared" si="1"/>
        <v>7.9880056442394928E-3</v>
      </c>
      <c r="I23" s="397"/>
    </row>
    <row r="24" spans="1:9" x14ac:dyDescent="0.35">
      <c r="A24" s="392" t="s">
        <v>265</v>
      </c>
      <c r="B24" s="393">
        <v>3051.4100000000003</v>
      </c>
      <c r="C24" s="394">
        <f t="shared" si="0"/>
        <v>7.1265225932376445E-3</v>
      </c>
      <c r="D24" s="392" t="s">
        <v>121</v>
      </c>
      <c r="E24" s="393">
        <v>284.5</v>
      </c>
      <c r="F24" s="400">
        <f t="shared" si="1"/>
        <v>3.9469721174513455E-3</v>
      </c>
      <c r="I24" s="397"/>
    </row>
    <row r="25" spans="1:9" x14ac:dyDescent="0.35">
      <c r="A25" s="392" t="s">
        <v>264</v>
      </c>
      <c r="B25" s="393">
        <v>2409.1499999999996</v>
      </c>
      <c r="C25" s="394">
        <f t="shared" si="0"/>
        <v>5.6265339320178106E-3</v>
      </c>
      <c r="D25" s="392" t="s">
        <v>120</v>
      </c>
      <c r="E25" s="393">
        <v>150.01999999999998</v>
      </c>
      <c r="F25" s="400">
        <f t="shared" si="1"/>
        <v>2.0812820986293524E-3</v>
      </c>
      <c r="I25" s="397"/>
    </row>
    <row r="26" spans="1:9" x14ac:dyDescent="0.35">
      <c r="A26" s="395" t="s">
        <v>266</v>
      </c>
      <c r="B26" s="393">
        <v>0.73</v>
      </c>
      <c r="C26" s="394">
        <f t="shared" si="0"/>
        <v>1.7049041240159402E-6</v>
      </c>
      <c r="D26" s="392" t="s">
        <v>266</v>
      </c>
      <c r="E26" s="393">
        <v>112.32</v>
      </c>
      <c r="F26" s="400">
        <f t="shared" si="1"/>
        <v>1.5582562679512656E-3</v>
      </c>
      <c r="I26" s="397"/>
    </row>
    <row r="27" spans="1:9" x14ac:dyDescent="0.35">
      <c r="A27" s="392" t="s">
        <v>122</v>
      </c>
      <c r="B27" s="393">
        <v>1.94</v>
      </c>
      <c r="C27" s="394">
        <f t="shared" si="0"/>
        <v>4.5308410966998956E-6</v>
      </c>
      <c r="D27" s="395" t="s">
        <v>122</v>
      </c>
      <c r="E27" s="393">
        <v>0.09</v>
      </c>
      <c r="F27" s="400">
        <f t="shared" si="1"/>
        <v>1.2486027788071039E-6</v>
      </c>
      <c r="I27" s="397"/>
    </row>
    <row r="28" spans="1:9" x14ac:dyDescent="0.35">
      <c r="A28" s="395" t="s">
        <v>267</v>
      </c>
      <c r="B28" s="393">
        <f>B29-(SUM(B10:B27))</f>
        <v>23850.950000000012</v>
      </c>
      <c r="C28" s="394">
        <f t="shared" si="0"/>
        <v>5.5703538379038367E-2</v>
      </c>
      <c r="D28" s="395" t="s">
        <v>267</v>
      </c>
      <c r="E28" s="393">
        <f>E29-(SUM(E10:E27))</f>
        <v>2948.5100000000093</v>
      </c>
      <c r="F28" s="394">
        <f t="shared" si="1"/>
        <v>4.0905753103783839E-2</v>
      </c>
      <c r="I28" s="397"/>
    </row>
    <row r="29" spans="1:9" x14ac:dyDescent="0.35">
      <c r="A29" s="395" t="s">
        <v>124</v>
      </c>
      <c r="B29" s="393">
        <v>428176.57000000007</v>
      </c>
      <c r="C29" s="394">
        <f t="shared" si="0"/>
        <v>1</v>
      </c>
      <c r="D29" s="395" t="s">
        <v>124</v>
      </c>
      <c r="E29" s="393">
        <v>72080.570000000022</v>
      </c>
      <c r="F29" s="394">
        <f t="shared" si="1"/>
        <v>1</v>
      </c>
      <c r="I29" s="397"/>
    </row>
    <row r="30" spans="1:9" x14ac:dyDescent="0.35">
      <c r="I30" s="397"/>
    </row>
    <row r="31" spans="1:9" x14ac:dyDescent="0.35">
      <c r="C31" s="141"/>
    </row>
    <row r="33" spans="1:14" x14ac:dyDescent="0.35">
      <c r="C33" s="141"/>
    </row>
    <row r="34" spans="1:14" ht="17.5" x14ac:dyDescent="0.35">
      <c r="A34" s="402" t="s">
        <v>270</v>
      </c>
      <c r="B34" s="391"/>
      <c r="C34" s="391"/>
      <c r="D34" s="391"/>
      <c r="E34" s="391"/>
      <c r="F34" s="391"/>
    </row>
    <row r="35" spans="1:14" ht="24" customHeight="1" x14ac:dyDescent="0.35">
      <c r="A35" s="716" t="s">
        <v>113</v>
      </c>
      <c r="B35" s="730" t="s">
        <v>272</v>
      </c>
      <c r="C35" s="730" t="s">
        <v>260</v>
      </c>
      <c r="D35" s="730" t="s">
        <v>113</v>
      </c>
      <c r="E35" s="730" t="s">
        <v>273</v>
      </c>
      <c r="F35" s="730" t="s">
        <v>261</v>
      </c>
    </row>
    <row r="36" spans="1:14" ht="15" customHeight="1" x14ac:dyDescent="0.35">
      <c r="A36" s="717"/>
      <c r="B36" s="731"/>
      <c r="C36" s="731"/>
      <c r="D36" s="731"/>
      <c r="E36" s="731"/>
      <c r="F36" s="731"/>
    </row>
    <row r="37" spans="1:14" ht="49.5" customHeight="1" x14ac:dyDescent="0.35">
      <c r="A37" s="401" t="s">
        <v>114</v>
      </c>
      <c r="B37" s="393">
        <v>22202.78000000001</v>
      </c>
      <c r="C37" s="394">
        <f t="shared" ref="C37:C56" si="2">B37/$B$56</f>
        <v>0.26942499043175661</v>
      </c>
      <c r="D37" s="401" t="s">
        <v>315</v>
      </c>
      <c r="E37" s="393">
        <v>15283.53</v>
      </c>
      <c r="F37" s="437">
        <f t="shared" ref="F37:F56" si="3">E37/$E$56</f>
        <v>0.47774945702935984</v>
      </c>
    </row>
    <row r="38" spans="1:14" x14ac:dyDescent="0.35">
      <c r="A38" s="401" t="s">
        <v>315</v>
      </c>
      <c r="B38" s="393">
        <v>15522.32</v>
      </c>
      <c r="C38" s="394">
        <f t="shared" si="2"/>
        <v>0.18835933687036766</v>
      </c>
      <c r="D38" s="401" t="s">
        <v>114</v>
      </c>
      <c r="E38" s="393">
        <v>3310.5000000000009</v>
      </c>
      <c r="F38" s="436">
        <f t="shared" si="3"/>
        <v>0.10348326450078588</v>
      </c>
      <c r="I38" s="397"/>
      <c r="N38" s="397"/>
    </row>
    <row r="39" spans="1:14" x14ac:dyDescent="0.35">
      <c r="A39" s="401" t="s">
        <v>119</v>
      </c>
      <c r="B39" s="393">
        <v>6900.26</v>
      </c>
      <c r="C39" s="394">
        <f t="shared" si="2"/>
        <v>8.3732869689139469E-2</v>
      </c>
      <c r="D39" s="401" t="s">
        <v>127</v>
      </c>
      <c r="E39" s="393">
        <v>3066.0199999999995</v>
      </c>
      <c r="F39" s="437">
        <f t="shared" si="3"/>
        <v>9.5841038702522099E-2</v>
      </c>
      <c r="I39" s="397"/>
      <c r="N39" s="397"/>
    </row>
    <row r="40" spans="1:14" x14ac:dyDescent="0.35">
      <c r="A40" s="401" t="s">
        <v>115</v>
      </c>
      <c r="B40" s="393">
        <v>5681.3000000000075</v>
      </c>
      <c r="C40" s="394">
        <f t="shared" si="2"/>
        <v>6.8941105489490048E-2</v>
      </c>
      <c r="D40" s="401" t="s">
        <v>126</v>
      </c>
      <c r="E40" s="393">
        <v>2809.9400000000005</v>
      </c>
      <c r="F40" s="437">
        <f t="shared" si="3"/>
        <v>8.7836207295374794E-2</v>
      </c>
      <c r="I40" s="397"/>
      <c r="N40" s="397"/>
    </row>
    <row r="41" spans="1:14" x14ac:dyDescent="0.35">
      <c r="A41" s="401" t="s">
        <v>125</v>
      </c>
      <c r="B41" s="393">
        <v>5188.07</v>
      </c>
      <c r="C41" s="394">
        <f t="shared" si="2"/>
        <v>6.2955887060506963E-2</v>
      </c>
      <c r="D41" s="401" t="s">
        <v>119</v>
      </c>
      <c r="E41" s="393">
        <v>2185.2499999999995</v>
      </c>
      <c r="F41" s="436">
        <f t="shared" si="3"/>
        <v>6.8308957483867158E-2</v>
      </c>
      <c r="K41" s="397"/>
    </row>
    <row r="42" spans="1:14" x14ac:dyDescent="0.35">
      <c r="A42" s="401" t="s">
        <v>126</v>
      </c>
      <c r="B42" s="393">
        <v>4636.1500000000005</v>
      </c>
      <c r="C42" s="394">
        <f t="shared" si="2"/>
        <v>5.6258480667294268E-2</v>
      </c>
      <c r="D42" s="401" t="s">
        <v>125</v>
      </c>
      <c r="E42" s="393">
        <v>1395.7600000000002</v>
      </c>
      <c r="F42" s="394">
        <f t="shared" si="3"/>
        <v>4.3630207297875513E-2</v>
      </c>
      <c r="I42" s="397"/>
      <c r="N42" s="397"/>
    </row>
    <row r="43" spans="1:14" x14ac:dyDescent="0.35">
      <c r="A43" s="401" t="s">
        <v>127</v>
      </c>
      <c r="B43" s="393">
        <v>3142.1699999999996</v>
      </c>
      <c r="C43" s="394">
        <f t="shared" si="2"/>
        <v>3.8129419927817688E-2</v>
      </c>
      <c r="D43" s="401" t="s">
        <v>264</v>
      </c>
      <c r="E43" s="393">
        <v>705.63999999999976</v>
      </c>
      <c r="F43" s="394">
        <f t="shared" si="3"/>
        <v>2.205767429763918E-2</v>
      </c>
      <c r="I43" s="397"/>
      <c r="N43" s="397"/>
    </row>
    <row r="44" spans="1:14" x14ac:dyDescent="0.35">
      <c r="A44" s="401" t="s">
        <v>116</v>
      </c>
      <c r="B44" s="393">
        <v>2548.9700000000003</v>
      </c>
      <c r="C44" s="394">
        <f t="shared" si="2"/>
        <v>3.0931091415617069E-2</v>
      </c>
      <c r="D44" s="401" t="s">
        <v>265</v>
      </c>
      <c r="E44" s="393">
        <v>531.2700000000001</v>
      </c>
      <c r="F44" s="394">
        <f t="shared" si="3"/>
        <v>1.6607024295826164E-2</v>
      </c>
      <c r="I44" s="397"/>
      <c r="N44" s="397"/>
    </row>
    <row r="45" spans="1:14" x14ac:dyDescent="0.35">
      <c r="A45" s="401" t="s">
        <v>117</v>
      </c>
      <c r="B45" s="393">
        <v>2465.2599999999952</v>
      </c>
      <c r="C45" s="394">
        <f t="shared" si="2"/>
        <v>2.9915292225198405E-2</v>
      </c>
      <c r="D45" s="401" t="s">
        <v>262</v>
      </c>
      <c r="E45" s="393">
        <v>406.72999999999996</v>
      </c>
      <c r="F45" s="394">
        <f t="shared" si="3"/>
        <v>1.271401545700185E-2</v>
      </c>
      <c r="I45" s="397"/>
      <c r="N45" s="397"/>
    </row>
    <row r="46" spans="1:14" x14ac:dyDescent="0.35">
      <c r="A46" s="401" t="s">
        <v>263</v>
      </c>
      <c r="B46" s="393">
        <v>2188.2599999999998</v>
      </c>
      <c r="C46" s="394">
        <f t="shared" si="2"/>
        <v>2.6553968897687377E-2</v>
      </c>
      <c r="D46" s="401" t="s">
        <v>115</v>
      </c>
      <c r="E46" s="393">
        <v>376.07999999999993</v>
      </c>
      <c r="F46" s="436">
        <f t="shared" si="3"/>
        <v>1.1755923912839613E-2</v>
      </c>
      <c r="I46" s="397"/>
      <c r="N46" s="397"/>
    </row>
    <row r="47" spans="1:14" x14ac:dyDescent="0.35">
      <c r="A47" s="401" t="s">
        <v>118</v>
      </c>
      <c r="B47" s="393">
        <v>2180.7599999999993</v>
      </c>
      <c r="C47" s="394">
        <f t="shared" si="2"/>
        <v>2.6462958338278227E-2</v>
      </c>
      <c r="D47" s="401" t="s">
        <v>263</v>
      </c>
      <c r="E47" s="393">
        <v>293.86</v>
      </c>
      <c r="F47" s="394">
        <f t="shared" si="3"/>
        <v>9.1858003643561191E-3</v>
      </c>
      <c r="I47" s="397"/>
      <c r="N47" s="397"/>
    </row>
    <row r="48" spans="1:14" x14ac:dyDescent="0.35">
      <c r="A48" s="401" t="s">
        <v>264</v>
      </c>
      <c r="B48" s="393">
        <v>2000.6400000000003</v>
      </c>
      <c r="C48" s="394">
        <f t="shared" si="2"/>
        <v>2.4277248743508215E-2</v>
      </c>
      <c r="D48" s="401" t="s">
        <v>117</v>
      </c>
      <c r="E48" s="393">
        <v>189.23999999999998</v>
      </c>
      <c r="F48" s="394">
        <f t="shared" si="3"/>
        <v>5.915472881476729E-3</v>
      </c>
      <c r="I48" s="397"/>
      <c r="N48" s="397"/>
    </row>
    <row r="49" spans="1:14" x14ac:dyDescent="0.35">
      <c r="A49" s="401" t="s">
        <v>121</v>
      </c>
      <c r="B49" s="393">
        <v>1530.35</v>
      </c>
      <c r="C49" s="394">
        <f t="shared" si="2"/>
        <v>1.8570401278904646E-2</v>
      </c>
      <c r="D49" s="401" t="s">
        <v>116</v>
      </c>
      <c r="E49" s="393">
        <v>138.38999999999999</v>
      </c>
      <c r="F49" s="400">
        <f t="shared" si="3"/>
        <v>4.3259474321896245E-3</v>
      </c>
      <c r="I49" s="397"/>
      <c r="N49" s="397"/>
    </row>
    <row r="50" spans="1:14" x14ac:dyDescent="0.35">
      <c r="A50" s="401" t="s">
        <v>262</v>
      </c>
      <c r="B50" s="393">
        <v>1153.1199999999997</v>
      </c>
      <c r="C50" s="394">
        <f t="shared" si="2"/>
        <v>1.3992812835449746E-2</v>
      </c>
      <c r="D50" s="401" t="s">
        <v>118</v>
      </c>
      <c r="E50" s="393">
        <v>65.33</v>
      </c>
      <c r="F50" s="400">
        <f t="shared" si="3"/>
        <v>2.0421572783073071E-3</v>
      </c>
      <c r="I50" s="397"/>
      <c r="N50" s="397"/>
    </row>
    <row r="51" spans="1:14" x14ac:dyDescent="0.35">
      <c r="A51" s="401" t="s">
        <v>265</v>
      </c>
      <c r="B51" s="393">
        <v>894.03</v>
      </c>
      <c r="C51" s="394">
        <f t="shared" si="2"/>
        <v>1.0848822723807704E-2</v>
      </c>
      <c r="D51" s="401" t="s">
        <v>121</v>
      </c>
      <c r="E51" s="393">
        <v>23.589999999999996</v>
      </c>
      <c r="F51" s="400">
        <f t="shared" si="3"/>
        <v>7.374022684106745E-4</v>
      </c>
      <c r="I51" s="397"/>
      <c r="N51" s="397"/>
    </row>
    <row r="52" spans="1:14" x14ac:dyDescent="0.35">
      <c r="A52" s="401" t="s">
        <v>266</v>
      </c>
      <c r="B52" s="393">
        <v>515.01</v>
      </c>
      <c r="C52" s="394">
        <f t="shared" si="2"/>
        <v>6.2495130935071594E-3</v>
      </c>
      <c r="D52" s="401" t="s">
        <v>120</v>
      </c>
      <c r="E52" s="393">
        <v>12.08</v>
      </c>
      <c r="F52" s="400">
        <f t="shared" si="3"/>
        <v>3.7760997890635647E-4</v>
      </c>
      <c r="I52" s="397"/>
      <c r="N52" s="397"/>
    </row>
    <row r="53" spans="1:14" x14ac:dyDescent="0.35">
      <c r="A53" s="401" t="s">
        <v>120</v>
      </c>
      <c r="B53" s="393">
        <v>215.25999999999996</v>
      </c>
      <c r="C53" s="399">
        <f t="shared" si="2"/>
        <v>2.6121244024550029E-3</v>
      </c>
      <c r="D53" s="401" t="s">
        <v>266</v>
      </c>
      <c r="E53" s="393">
        <v>0</v>
      </c>
      <c r="F53" s="400">
        <f t="shared" si="3"/>
        <v>0</v>
      </c>
      <c r="I53" s="397"/>
      <c r="N53" s="397"/>
    </row>
    <row r="54" spans="1:14" x14ac:dyDescent="0.35">
      <c r="A54" s="401" t="s">
        <v>271</v>
      </c>
      <c r="B54" s="393">
        <v>0</v>
      </c>
      <c r="C54" s="394">
        <f t="shared" si="2"/>
        <v>0</v>
      </c>
      <c r="D54" s="401" t="s">
        <v>271</v>
      </c>
      <c r="E54" s="393">
        <v>0</v>
      </c>
      <c r="F54" s="394">
        <f t="shared" si="3"/>
        <v>0</v>
      </c>
      <c r="I54" s="397"/>
      <c r="N54" s="397"/>
    </row>
    <row r="55" spans="1:14" x14ac:dyDescent="0.35">
      <c r="A55" s="401" t="s">
        <v>267</v>
      </c>
      <c r="B55" s="393">
        <f>B56-(SUM(B37:B54))</f>
        <v>3443.3100000000268</v>
      </c>
      <c r="C55" s="394">
        <f t="shared" si="2"/>
        <v>4.1783675909214009E-2</v>
      </c>
      <c r="D55" s="401" t="s">
        <v>267</v>
      </c>
      <c r="E55" s="393">
        <f>E56-(SUM(E37:E54))</f>
        <v>1197.4699999999866</v>
      </c>
      <c r="F55" s="394">
        <f t="shared" si="3"/>
        <v>3.7431839523260728E-2</v>
      </c>
      <c r="I55" s="397"/>
      <c r="N55" s="397"/>
    </row>
    <row r="56" spans="1:14" x14ac:dyDescent="0.35">
      <c r="A56" s="401" t="s">
        <v>124</v>
      </c>
      <c r="B56" s="393">
        <v>82408.020000000019</v>
      </c>
      <c r="C56" s="394">
        <f t="shared" si="2"/>
        <v>1</v>
      </c>
      <c r="D56" s="401" t="s">
        <v>124</v>
      </c>
      <c r="E56" s="393">
        <v>31990.68</v>
      </c>
      <c r="F56" s="394">
        <f t="shared" si="3"/>
        <v>1</v>
      </c>
      <c r="I56" s="397"/>
      <c r="N56" s="397"/>
    </row>
    <row r="57" spans="1:14" x14ac:dyDescent="0.35">
      <c r="B57" s="141"/>
    </row>
  </sheetData>
  <sortState xmlns:xlrd2="http://schemas.microsoft.com/office/spreadsheetml/2017/richdata2" ref="N38:O55">
    <sortCondition descending="1" ref="O55"/>
  </sortState>
  <mergeCells count="12">
    <mergeCell ref="F35:F36"/>
    <mergeCell ref="A8:A9"/>
    <mergeCell ref="B8:B9"/>
    <mergeCell ref="C8:C9"/>
    <mergeCell ref="D8:D9"/>
    <mergeCell ref="E8:E9"/>
    <mergeCell ref="F8:F9"/>
    <mergeCell ref="A35:A36"/>
    <mergeCell ref="B35:B36"/>
    <mergeCell ref="C35:C36"/>
    <mergeCell ref="D35:D36"/>
    <mergeCell ref="E35:E36"/>
  </mergeCells>
  <hyperlinks>
    <hyperlink ref="B1" r:id="rId1" xr:uid="{00000000-0004-0000-1A00-000000000000}"/>
    <hyperlink ref="O1" location="ÍNDICE!A1" display="ÍNDICE!A1" xr:uid="{00000000-0004-0000-1A00-000001000000}"/>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48"/>
  <sheetViews>
    <sheetView workbookViewId="0"/>
  </sheetViews>
  <sheetFormatPr baseColWidth="10" defaultRowHeight="14.5" x14ac:dyDescent="0.35"/>
  <cols>
    <col min="1" max="1" width="25.453125" bestFit="1" customWidth="1"/>
    <col min="2" max="2" width="17.81640625" customWidth="1"/>
    <col min="3" max="3" width="14.1796875" bestFit="1" customWidth="1"/>
    <col min="4" max="4" width="18.1796875" bestFit="1" customWidth="1"/>
    <col min="5" max="5" width="19.81640625" customWidth="1"/>
    <col min="6" max="6" width="15.54296875" customWidth="1"/>
  </cols>
  <sheetData>
    <row r="1" spans="1:15" x14ac:dyDescent="0.35">
      <c r="A1" s="240" t="s">
        <v>10</v>
      </c>
      <c r="B1" s="2" t="s">
        <v>9</v>
      </c>
      <c r="N1" t="s">
        <v>143</v>
      </c>
      <c r="O1" s="2" t="s">
        <v>144</v>
      </c>
    </row>
    <row r="7" spans="1:15" ht="22.5" customHeight="1" x14ac:dyDescent="0.35">
      <c r="A7" s="403" t="s">
        <v>275</v>
      </c>
      <c r="B7" s="391"/>
      <c r="C7" s="391"/>
      <c r="D7" s="391"/>
      <c r="E7" s="391"/>
    </row>
    <row r="8" spans="1:15" ht="15" customHeight="1" x14ac:dyDescent="0.35">
      <c r="A8" s="732" t="s">
        <v>113</v>
      </c>
      <c r="B8" s="732" t="s">
        <v>268</v>
      </c>
      <c r="C8" s="732" t="s">
        <v>260</v>
      </c>
      <c r="D8" s="732" t="s">
        <v>113</v>
      </c>
      <c r="E8" s="732" t="s">
        <v>269</v>
      </c>
      <c r="F8" s="732" t="s">
        <v>261</v>
      </c>
    </row>
    <row r="9" spans="1:15" ht="30.75" customHeight="1" x14ac:dyDescent="0.35">
      <c r="A9" s="733"/>
      <c r="B9" s="733"/>
      <c r="C9" s="733"/>
      <c r="D9" s="733"/>
      <c r="E9" s="733"/>
      <c r="F9" s="733"/>
    </row>
    <row r="10" spans="1:15" x14ac:dyDescent="0.35">
      <c r="A10" s="395" t="s">
        <v>149</v>
      </c>
      <c r="B10" s="393">
        <v>11809.500000000005</v>
      </c>
      <c r="C10" s="394">
        <f>B10/$B$23</f>
        <v>0.71513566049904176</v>
      </c>
      <c r="D10" s="392" t="s">
        <v>149</v>
      </c>
      <c r="E10" s="393">
        <v>17566.660000000003</v>
      </c>
      <c r="F10" s="394">
        <f>E10/$E$23</f>
        <v>0.63929767967607609</v>
      </c>
      <c r="H10" s="397"/>
      <c r="L10" s="397"/>
    </row>
    <row r="11" spans="1:15" x14ac:dyDescent="0.35">
      <c r="A11" s="395" t="s">
        <v>150</v>
      </c>
      <c r="B11" s="393">
        <v>1107.6100000000001</v>
      </c>
      <c r="C11" s="394">
        <f t="shared" ref="C11:C23" si="0">B11/$B$23</f>
        <v>6.7072391627532368E-2</v>
      </c>
      <c r="D11" s="392" t="s">
        <v>150</v>
      </c>
      <c r="E11" s="393">
        <v>3304.16</v>
      </c>
      <c r="F11" s="394">
        <f t="shared" ref="F11:F23" si="1">E11/$E$23</f>
        <v>0.12024720813623667</v>
      </c>
      <c r="H11" s="397"/>
      <c r="L11" s="397"/>
    </row>
    <row r="12" spans="1:15" x14ac:dyDescent="0.35">
      <c r="A12" s="395" t="s">
        <v>151</v>
      </c>
      <c r="B12" s="393">
        <v>449.32000000000005</v>
      </c>
      <c r="C12" s="394">
        <f t="shared" si="0"/>
        <v>2.7209005883011929E-2</v>
      </c>
      <c r="D12" s="392" t="s">
        <v>151</v>
      </c>
      <c r="E12" s="393">
        <v>1374.91</v>
      </c>
      <c r="F12" s="394">
        <f t="shared" si="1"/>
        <v>5.0036647419796007E-2</v>
      </c>
      <c r="H12" s="397"/>
      <c r="L12" s="397"/>
    </row>
    <row r="13" spans="1:15" x14ac:dyDescent="0.35">
      <c r="A13" s="395" t="s">
        <v>152</v>
      </c>
      <c r="B13" s="393">
        <v>234.69</v>
      </c>
      <c r="C13" s="394">
        <f t="shared" si="0"/>
        <v>1.4211879263518358E-2</v>
      </c>
      <c r="D13" s="392" t="s">
        <v>155</v>
      </c>
      <c r="E13" s="393">
        <v>394.10999999999996</v>
      </c>
      <c r="F13" s="394">
        <f t="shared" si="1"/>
        <v>1.4342715606560284E-2</v>
      </c>
      <c r="H13" s="397"/>
      <c r="L13" s="397"/>
    </row>
    <row r="14" spans="1:15" x14ac:dyDescent="0.35">
      <c r="A14" s="395" t="s">
        <v>153</v>
      </c>
      <c r="B14" s="393">
        <v>168.44000000000003</v>
      </c>
      <c r="C14" s="394">
        <f t="shared" si="0"/>
        <v>1.0200046628092516E-2</v>
      </c>
      <c r="D14" s="392" t="s">
        <v>154</v>
      </c>
      <c r="E14" s="393">
        <v>296.70999999999998</v>
      </c>
      <c r="F14" s="394">
        <f t="shared" si="1"/>
        <v>1.0798069441583574E-2</v>
      </c>
      <c r="H14" s="397"/>
      <c r="L14" s="397"/>
    </row>
    <row r="15" spans="1:15" x14ac:dyDescent="0.35">
      <c r="A15" s="395" t="s">
        <v>155</v>
      </c>
      <c r="B15" s="393">
        <v>110.51</v>
      </c>
      <c r="C15" s="394">
        <f t="shared" si="0"/>
        <v>6.692039615711849E-3</v>
      </c>
      <c r="D15" s="392" t="s">
        <v>156</v>
      </c>
      <c r="E15" s="393">
        <v>202.57</v>
      </c>
      <c r="F15" s="394">
        <f t="shared" si="1"/>
        <v>7.3720633843873968E-3</v>
      </c>
      <c r="H15" s="397"/>
      <c r="L15" s="397"/>
    </row>
    <row r="16" spans="1:15" x14ac:dyDescent="0.35">
      <c r="A16" s="395" t="s">
        <v>154</v>
      </c>
      <c r="B16" s="393">
        <v>80.13</v>
      </c>
      <c r="C16" s="394">
        <f t="shared" si="0"/>
        <v>4.8523494200252504E-3</v>
      </c>
      <c r="D16" s="392" t="s">
        <v>158</v>
      </c>
      <c r="E16" s="393">
        <v>124.64</v>
      </c>
      <c r="F16" s="394">
        <f t="shared" si="1"/>
        <v>4.5359825256950448E-3</v>
      </c>
      <c r="H16" s="397"/>
      <c r="L16" s="397"/>
    </row>
    <row r="17" spans="1:12" x14ac:dyDescent="0.35">
      <c r="A17" s="395" t="s">
        <v>156</v>
      </c>
      <c r="B17" s="393">
        <v>54.72</v>
      </c>
      <c r="C17" s="394">
        <f t="shared" si="0"/>
        <v>3.3136223669509757E-3</v>
      </c>
      <c r="D17" s="392" t="s">
        <v>152</v>
      </c>
      <c r="E17" s="393">
        <v>100.06</v>
      </c>
      <c r="F17" s="394">
        <f t="shared" si="1"/>
        <v>3.6414506700982526E-3</v>
      </c>
      <c r="H17" s="397"/>
      <c r="L17" s="397"/>
    </row>
    <row r="18" spans="1:12" x14ac:dyDescent="0.35">
      <c r="A18" s="395" t="s">
        <v>158</v>
      </c>
      <c r="B18" s="393">
        <v>52.809999999999988</v>
      </c>
      <c r="C18" s="394">
        <f t="shared" si="0"/>
        <v>3.1979604751220941E-3</v>
      </c>
      <c r="D18" s="392" t="s">
        <v>153</v>
      </c>
      <c r="E18" s="393">
        <v>63.82</v>
      </c>
      <c r="F18" s="394">
        <f t="shared" si="1"/>
        <v>2.3225802694950078E-3</v>
      </c>
      <c r="H18" s="397"/>
      <c r="L18" s="397"/>
    </row>
    <row r="19" spans="1:12" x14ac:dyDescent="0.35">
      <c r="A19" s="395" t="s">
        <v>157</v>
      </c>
      <c r="B19" s="393">
        <v>42.53</v>
      </c>
      <c r="C19" s="394">
        <f t="shared" si="0"/>
        <v>2.5754451620326208E-3</v>
      </c>
      <c r="D19" s="392" t="s">
        <v>157</v>
      </c>
      <c r="E19" s="393">
        <v>51.230000000000004</v>
      </c>
      <c r="F19" s="394">
        <f t="shared" si="1"/>
        <v>1.8643965403671145E-3</v>
      </c>
      <c r="H19" s="397"/>
      <c r="L19" s="397"/>
    </row>
    <row r="20" spans="1:12" x14ac:dyDescent="0.35">
      <c r="A20" s="395" t="s">
        <v>160</v>
      </c>
      <c r="B20" s="393">
        <v>19.930000000000003</v>
      </c>
      <c r="C20" s="394">
        <f t="shared" si="0"/>
        <v>1.2068803686647105E-3</v>
      </c>
      <c r="D20" s="392" t="s">
        <v>160</v>
      </c>
      <c r="E20" s="393">
        <v>11.97</v>
      </c>
      <c r="F20" s="394">
        <f t="shared" si="1"/>
        <v>4.3562027304693267E-4</v>
      </c>
      <c r="H20" s="397"/>
      <c r="L20" s="397"/>
    </row>
    <row r="21" spans="1:12" x14ac:dyDescent="0.35">
      <c r="A21" s="395" t="s">
        <v>122</v>
      </c>
      <c r="B21" s="393">
        <v>0</v>
      </c>
      <c r="C21" s="394">
        <f t="shared" si="0"/>
        <v>0</v>
      </c>
      <c r="D21" s="392" t="s">
        <v>122</v>
      </c>
      <c r="E21" s="393">
        <v>1.56</v>
      </c>
      <c r="F21" s="394">
        <f t="shared" si="1"/>
        <v>5.6772566913384703E-5</v>
      </c>
      <c r="H21" s="397"/>
      <c r="L21" s="397"/>
    </row>
    <row r="22" spans="1:12" x14ac:dyDescent="0.35">
      <c r="A22" s="395" t="s">
        <v>267</v>
      </c>
      <c r="B22" s="393">
        <f>B23-(SUM(B10:B21))</f>
        <v>2383.4599999999991</v>
      </c>
      <c r="C22" s="394">
        <f t="shared" si="0"/>
        <v>0.14433271869029551</v>
      </c>
      <c r="D22" s="395" t="s">
        <v>267</v>
      </c>
      <c r="E22" s="393">
        <f>E23-(SUM(E10:E21))</f>
        <v>3985.66</v>
      </c>
      <c r="F22" s="394">
        <f t="shared" si="1"/>
        <v>0.14504881348974416</v>
      </c>
      <c r="H22" s="397"/>
      <c r="L22" s="397"/>
    </row>
    <row r="23" spans="1:12" x14ac:dyDescent="0.35">
      <c r="A23" s="395" t="s">
        <v>124</v>
      </c>
      <c r="B23" s="393">
        <v>16513.650000000005</v>
      </c>
      <c r="C23" s="394">
        <f t="shared" si="0"/>
        <v>1</v>
      </c>
      <c r="D23" s="395" t="s">
        <v>124</v>
      </c>
      <c r="E23" s="393">
        <v>27478.060000000005</v>
      </c>
      <c r="F23" s="394">
        <f t="shared" si="1"/>
        <v>1</v>
      </c>
    </row>
    <row r="30" spans="1:12" ht="24" customHeight="1" x14ac:dyDescent="0.35">
      <c r="A30" s="402" t="s">
        <v>276</v>
      </c>
      <c r="B30" s="391"/>
      <c r="C30" s="391"/>
      <c r="D30" s="391"/>
      <c r="E30" s="391"/>
      <c r="F30" s="391"/>
    </row>
    <row r="31" spans="1:12" x14ac:dyDescent="0.35">
      <c r="A31" s="734" t="s">
        <v>113</v>
      </c>
      <c r="B31" s="734" t="s">
        <v>272</v>
      </c>
      <c r="C31" s="734" t="s">
        <v>260</v>
      </c>
      <c r="D31" s="734" t="s">
        <v>113</v>
      </c>
      <c r="E31" s="734" t="s">
        <v>273</v>
      </c>
      <c r="F31" s="734" t="s">
        <v>261</v>
      </c>
    </row>
    <row r="32" spans="1:12" ht="51.75" customHeight="1" x14ac:dyDescent="0.35">
      <c r="A32" s="735"/>
      <c r="B32" s="735"/>
      <c r="C32" s="735"/>
      <c r="D32" s="735"/>
      <c r="E32" s="735"/>
      <c r="F32" s="735"/>
    </row>
    <row r="33" spans="1:13" ht="15" customHeight="1" x14ac:dyDescent="0.35">
      <c r="A33" s="401" t="s">
        <v>149</v>
      </c>
      <c r="B33" s="393">
        <v>4063.1</v>
      </c>
      <c r="C33" s="394">
        <f t="shared" ref="C33:C46" si="2">B33/$B$46</f>
        <v>0.69137378017135021</v>
      </c>
      <c r="D33" s="401" t="s">
        <v>149</v>
      </c>
      <c r="E33" s="393">
        <v>5420.7699999999986</v>
      </c>
      <c r="F33" s="394">
        <f t="shared" ref="F33:F46" si="3">E33/$E$46</f>
        <v>0.55586010721859214</v>
      </c>
    </row>
    <row r="34" spans="1:13" x14ac:dyDescent="0.35">
      <c r="A34" s="401" t="s">
        <v>150</v>
      </c>
      <c r="B34" s="393">
        <v>424.12</v>
      </c>
      <c r="C34" s="394">
        <f t="shared" si="2"/>
        <v>7.2167913082688856E-2</v>
      </c>
      <c r="D34" s="401" t="s">
        <v>150</v>
      </c>
      <c r="E34" s="393">
        <v>1700.8699999999994</v>
      </c>
      <c r="F34" s="394">
        <f t="shared" si="3"/>
        <v>0.17441171283136653</v>
      </c>
    </row>
    <row r="35" spans="1:13" x14ac:dyDescent="0.35">
      <c r="A35" s="401" t="s">
        <v>153</v>
      </c>
      <c r="B35" s="393">
        <v>199.12</v>
      </c>
      <c r="C35" s="394">
        <f t="shared" si="2"/>
        <v>3.388209670146422E-2</v>
      </c>
      <c r="D35" s="401" t="s">
        <v>155</v>
      </c>
      <c r="E35" s="393">
        <v>828.7</v>
      </c>
      <c r="F35" s="394">
        <f t="shared" si="3"/>
        <v>8.4977091972551391E-2</v>
      </c>
    </row>
    <row r="36" spans="1:13" ht="15" customHeight="1" x14ac:dyDescent="0.35">
      <c r="A36" s="401" t="s">
        <v>151</v>
      </c>
      <c r="B36" s="393">
        <v>148.09</v>
      </c>
      <c r="C36" s="394">
        <f t="shared" si="2"/>
        <v>2.5198873546202472E-2</v>
      </c>
      <c r="D36" s="401" t="s">
        <v>151</v>
      </c>
      <c r="E36" s="393">
        <v>327.74</v>
      </c>
      <c r="F36" s="394">
        <f t="shared" si="3"/>
        <v>3.3607327287418845E-2</v>
      </c>
    </row>
    <row r="37" spans="1:13" ht="15" customHeight="1" x14ac:dyDescent="0.35">
      <c r="A37" s="401" t="s">
        <v>155</v>
      </c>
      <c r="B37" s="393">
        <v>139.12</v>
      </c>
      <c r="C37" s="394">
        <f t="shared" si="2"/>
        <v>2.3672545666470982E-2</v>
      </c>
      <c r="D37" s="401" t="s">
        <v>157</v>
      </c>
      <c r="E37" s="393">
        <v>214.28000000000003</v>
      </c>
      <c r="F37" s="394">
        <f t="shared" si="3"/>
        <v>2.1972838503533626E-2</v>
      </c>
      <c r="I37" s="397"/>
    </row>
    <row r="38" spans="1:13" x14ac:dyDescent="0.35">
      <c r="A38" s="401" t="s">
        <v>154</v>
      </c>
      <c r="B38" s="393">
        <v>67.77000000000001</v>
      </c>
      <c r="C38" s="394">
        <f t="shared" si="2"/>
        <v>1.1531687894024862E-2</v>
      </c>
      <c r="D38" s="401" t="s">
        <v>156</v>
      </c>
      <c r="E38" s="393">
        <v>93.74</v>
      </c>
      <c r="F38" s="394">
        <f t="shared" si="3"/>
        <v>9.6123477754398064E-3</v>
      </c>
      <c r="I38" s="397"/>
      <c r="M38" s="397"/>
    </row>
    <row r="39" spans="1:13" x14ac:dyDescent="0.35">
      <c r="A39" s="401" t="s">
        <v>157</v>
      </c>
      <c r="B39" s="393">
        <v>54.22</v>
      </c>
      <c r="C39" s="394">
        <f t="shared" si="2"/>
        <v>9.226030951955554E-3</v>
      </c>
      <c r="D39" s="401" t="s">
        <v>154</v>
      </c>
      <c r="E39" s="393">
        <v>80.25</v>
      </c>
      <c r="F39" s="394">
        <f t="shared" si="3"/>
        <v>8.229047460838964E-3</v>
      </c>
      <c r="I39" s="397"/>
      <c r="M39" s="397"/>
    </row>
    <row r="40" spans="1:13" x14ac:dyDescent="0.35">
      <c r="A40" s="401" t="s">
        <v>152</v>
      </c>
      <c r="B40" s="393">
        <v>49.209999999999994</v>
      </c>
      <c r="C40" s="394">
        <f t="shared" si="2"/>
        <v>8.3735334405336172E-3</v>
      </c>
      <c r="D40" s="401" t="s">
        <v>153</v>
      </c>
      <c r="E40" s="393">
        <v>17.27</v>
      </c>
      <c r="F40" s="394">
        <f t="shared" si="3"/>
        <v>1.7709115221020424E-3</v>
      </c>
      <c r="I40" s="397"/>
      <c r="M40" s="397"/>
    </row>
    <row r="41" spans="1:13" x14ac:dyDescent="0.35">
      <c r="A41" s="401" t="s">
        <v>156</v>
      </c>
      <c r="B41" s="393">
        <v>31.939999999999998</v>
      </c>
      <c r="C41" s="394">
        <f t="shared" si="2"/>
        <v>5.4348843342947317E-3</v>
      </c>
      <c r="D41" s="401" t="s">
        <v>160</v>
      </c>
      <c r="E41" s="393">
        <v>9.379999999999999</v>
      </c>
      <c r="F41" s="394">
        <f t="shared" si="3"/>
        <v>9.6185003342890308E-4</v>
      </c>
      <c r="I41" s="397"/>
      <c r="M41" s="397"/>
    </row>
    <row r="42" spans="1:13" x14ac:dyDescent="0.35">
      <c r="A42" s="401" t="s">
        <v>158</v>
      </c>
      <c r="B42" s="393">
        <v>13.18</v>
      </c>
      <c r="C42" s="394">
        <f t="shared" si="2"/>
        <v>2.2426980440201807E-3</v>
      </c>
      <c r="D42" s="401" t="s">
        <v>152</v>
      </c>
      <c r="E42" s="393">
        <v>5.45</v>
      </c>
      <c r="F42" s="394">
        <f t="shared" si="3"/>
        <v>5.5885742880463997E-4</v>
      </c>
      <c r="I42" s="397"/>
      <c r="M42" s="397"/>
    </row>
    <row r="43" spans="1:13" x14ac:dyDescent="0.35">
      <c r="A43" s="401" t="s">
        <v>160</v>
      </c>
      <c r="B43" s="393">
        <v>4.5999999999999996</v>
      </c>
      <c r="C43" s="394">
        <f t="shared" si="2"/>
        <v>7.8273224601614795E-4</v>
      </c>
      <c r="D43" s="401" t="s">
        <v>158</v>
      </c>
      <c r="E43" s="393">
        <v>2.13</v>
      </c>
      <c r="F43" s="394">
        <f t="shared" si="3"/>
        <v>2.1841583914750145E-4</v>
      </c>
      <c r="I43" s="397"/>
      <c r="M43" s="397"/>
    </row>
    <row r="44" spans="1:13" x14ac:dyDescent="0.35">
      <c r="A44" s="401" t="s">
        <v>122</v>
      </c>
      <c r="B44" s="393">
        <v>0</v>
      </c>
      <c r="C44" s="394">
        <f t="shared" si="2"/>
        <v>0</v>
      </c>
      <c r="D44" s="401" t="s">
        <v>122</v>
      </c>
      <c r="E44" s="393">
        <v>0</v>
      </c>
      <c r="F44" s="394">
        <f t="shared" si="3"/>
        <v>0</v>
      </c>
      <c r="I44" s="397"/>
      <c r="M44" s="397"/>
    </row>
    <row r="45" spans="1:13" x14ac:dyDescent="0.35">
      <c r="A45" s="401" t="s">
        <v>267</v>
      </c>
      <c r="B45" s="393">
        <f>B46-(SUM(B33:B44))</f>
        <v>682.3799999999992</v>
      </c>
      <c r="C45" s="394">
        <f t="shared" si="2"/>
        <v>0.11611322392097793</v>
      </c>
      <c r="D45" s="401" t="s">
        <v>267</v>
      </c>
      <c r="E45" s="393">
        <f>E46-(SUM(E33:E44))</f>
        <v>1051.4600000000009</v>
      </c>
      <c r="F45" s="394">
        <f t="shared" si="3"/>
        <v>0.10781949212677563</v>
      </c>
      <c r="I45" s="397"/>
      <c r="M45" s="397"/>
    </row>
    <row r="46" spans="1:13" x14ac:dyDescent="0.35">
      <c r="A46" s="401" t="s">
        <v>124</v>
      </c>
      <c r="B46" s="393">
        <v>5876.85</v>
      </c>
      <c r="C46" s="394">
        <f t="shared" si="2"/>
        <v>1</v>
      </c>
      <c r="D46" s="401" t="s">
        <v>124</v>
      </c>
      <c r="E46" s="393">
        <v>9752.0399999999991</v>
      </c>
      <c r="F46" s="394">
        <f t="shared" si="3"/>
        <v>1</v>
      </c>
      <c r="I46" s="397"/>
      <c r="M46" s="397"/>
    </row>
    <row r="47" spans="1:13" x14ac:dyDescent="0.35">
      <c r="I47" s="397"/>
      <c r="M47" s="397"/>
    </row>
    <row r="48" spans="1:13" x14ac:dyDescent="0.35">
      <c r="I48" s="397"/>
      <c r="M48" s="397"/>
    </row>
  </sheetData>
  <sortState xmlns:xlrd2="http://schemas.microsoft.com/office/spreadsheetml/2017/richdata2" ref="M38:N48">
    <sortCondition descending="1" ref="N38"/>
  </sortState>
  <mergeCells count="12">
    <mergeCell ref="F8:F9"/>
    <mergeCell ref="A8:A9"/>
    <mergeCell ref="B8:B9"/>
    <mergeCell ref="C8:C9"/>
    <mergeCell ref="D8:D9"/>
    <mergeCell ref="E8:E9"/>
    <mergeCell ref="C31:C32"/>
    <mergeCell ref="D31:D32"/>
    <mergeCell ref="E31:E32"/>
    <mergeCell ref="F31:F32"/>
    <mergeCell ref="A31:A32"/>
    <mergeCell ref="B31:B32"/>
  </mergeCells>
  <hyperlinks>
    <hyperlink ref="B1" r:id="rId1" xr:uid="{00000000-0004-0000-1B00-000000000000}"/>
    <hyperlink ref="O1" location="ÍNDICE!A1" display="ÍNDICE!A1" xr:uid="{00000000-0004-0000-1B00-000001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V156"/>
  <sheetViews>
    <sheetView workbookViewId="0"/>
  </sheetViews>
  <sheetFormatPr baseColWidth="10" defaultRowHeight="14.5" x14ac:dyDescent="0.35"/>
  <cols>
    <col min="1" max="1" width="21.54296875" bestFit="1" customWidth="1"/>
    <col min="2" max="2" width="15.81640625" customWidth="1"/>
    <col min="3" max="3" width="18.6328125" customWidth="1"/>
    <col min="4" max="11" width="15.81640625" customWidth="1"/>
    <col min="12" max="12" width="9.81640625" customWidth="1"/>
    <col min="13" max="13" width="19" customWidth="1"/>
    <col min="14" max="14" width="16.54296875" bestFit="1" customWidth="1"/>
    <col min="15" max="15" width="19.1796875" customWidth="1"/>
    <col min="16" max="16" width="18.1796875" customWidth="1"/>
    <col min="17" max="17" width="17.81640625" customWidth="1"/>
    <col min="18" max="18" width="18" customWidth="1"/>
    <col min="19" max="19" width="15" customWidth="1"/>
    <col min="20" max="21" width="12.453125" customWidth="1"/>
  </cols>
  <sheetData>
    <row r="1" spans="1:22" x14ac:dyDescent="0.35">
      <c r="A1" s="240" t="s">
        <v>10</v>
      </c>
      <c r="B1" s="2" t="s">
        <v>9</v>
      </c>
      <c r="C1" s="3"/>
      <c r="D1" s="3"/>
      <c r="E1" s="3"/>
      <c r="F1" s="3"/>
      <c r="G1" s="3"/>
      <c r="H1" s="3"/>
      <c r="I1" s="3"/>
      <c r="K1" s="286" t="s">
        <v>143</v>
      </c>
      <c r="L1" s="2" t="s">
        <v>144</v>
      </c>
    </row>
    <row r="2" spans="1:22" x14ac:dyDescent="0.35">
      <c r="A2" s="286"/>
      <c r="B2" s="304" t="s">
        <v>221</v>
      </c>
      <c r="C2" s="286"/>
      <c r="D2" s="286"/>
      <c r="E2" s="286"/>
      <c r="F2" s="286"/>
      <c r="G2" s="286"/>
    </row>
    <row r="3" spans="1:22" x14ac:dyDescent="0.35">
      <c r="A3" s="286"/>
      <c r="B3" s="304"/>
      <c r="C3" s="286"/>
      <c r="D3" s="286"/>
      <c r="E3" s="286"/>
      <c r="F3" s="286"/>
      <c r="G3" s="286"/>
    </row>
    <row r="4" spans="1:22" x14ac:dyDescent="0.35">
      <c r="C4" t="s">
        <v>243</v>
      </c>
      <c r="G4" s="463" t="s">
        <v>286</v>
      </c>
    </row>
    <row r="5" spans="1:22" ht="15" x14ac:dyDescent="0.35">
      <c r="A5" s="283" t="s">
        <v>245</v>
      </c>
      <c r="C5" s="680" t="s">
        <v>212</v>
      </c>
      <c r="D5" s="680"/>
      <c r="F5" s="461" t="s">
        <v>290</v>
      </c>
      <c r="G5" s="462">
        <f>E69</f>
        <v>511463.20920000027</v>
      </c>
      <c r="H5" s="318">
        <f>G5/G7</f>
        <v>0.81682383700164107</v>
      </c>
    </row>
    <row r="6" spans="1:22" ht="15" x14ac:dyDescent="0.35">
      <c r="A6" s="284" t="s">
        <v>244</v>
      </c>
      <c r="C6" s="681" t="s">
        <v>212</v>
      </c>
      <c r="D6" s="681"/>
      <c r="F6" s="461" t="s">
        <v>291</v>
      </c>
      <c r="G6" s="462">
        <f>E132</f>
        <v>114697.76459999999</v>
      </c>
      <c r="H6" s="318">
        <f>G6/G7</f>
        <v>0.18317616299835893</v>
      </c>
    </row>
    <row r="7" spans="1:22" x14ac:dyDescent="0.35">
      <c r="F7" s="465" t="s">
        <v>292</v>
      </c>
      <c r="G7" s="466">
        <f>G6+G5</f>
        <v>626160.97380000027</v>
      </c>
    </row>
    <row r="8" spans="1:22" ht="15" customHeight="1" x14ac:dyDescent="0.35">
      <c r="A8" s="283" t="s">
        <v>11</v>
      </c>
      <c r="B8" s="283"/>
      <c r="C8" s="283"/>
      <c r="D8" s="283"/>
      <c r="E8" s="283"/>
      <c r="F8" s="283"/>
      <c r="G8" s="283"/>
    </row>
    <row r="9" spans="1:22" ht="15" customHeight="1" x14ac:dyDescent="0.35">
      <c r="A9" s="285" t="s">
        <v>212</v>
      </c>
      <c r="B9" s="285"/>
      <c r="C9" s="285"/>
      <c r="D9" s="285"/>
      <c r="E9" s="285"/>
      <c r="F9" s="285"/>
      <c r="G9" s="285"/>
      <c r="H9" s="220"/>
      <c r="J9" s="220"/>
      <c r="K9" s="220"/>
      <c r="L9" s="220"/>
      <c r="M9" s="220"/>
      <c r="N9" s="220"/>
    </row>
    <row r="10" spans="1:22" x14ac:dyDescent="0.35">
      <c r="M10" s="319" t="s">
        <v>225</v>
      </c>
      <c r="S10" s="319" t="s">
        <v>227</v>
      </c>
    </row>
    <row r="11" spans="1:22" ht="66" customHeight="1" x14ac:dyDescent="0.35">
      <c r="A11" s="677" t="s">
        <v>0</v>
      </c>
      <c r="B11" s="157" t="s">
        <v>1</v>
      </c>
      <c r="C11" s="560" t="s">
        <v>101</v>
      </c>
      <c r="D11" s="683" t="s">
        <v>1</v>
      </c>
      <c r="E11" s="683"/>
      <c r="F11" s="679" t="s">
        <v>217</v>
      </c>
      <c r="G11" s="679"/>
      <c r="H11" s="679" t="s">
        <v>218</v>
      </c>
      <c r="I11" s="679"/>
      <c r="J11" s="679" t="s">
        <v>2</v>
      </c>
      <c r="K11" s="679"/>
      <c r="M11" s="321"/>
      <c r="N11" s="440" t="s">
        <v>228</v>
      </c>
      <c r="O11" s="440" t="s">
        <v>229</v>
      </c>
      <c r="P11" s="440" t="s">
        <v>283</v>
      </c>
      <c r="Q11" s="451" t="s">
        <v>284</v>
      </c>
      <c r="T11" s="157" t="s">
        <v>226</v>
      </c>
      <c r="U11" s="157" t="s">
        <v>228</v>
      </c>
      <c r="V11" s="322" t="s">
        <v>230</v>
      </c>
    </row>
    <row r="12" spans="1:22" ht="15" customHeight="1" x14ac:dyDescent="0.35">
      <c r="A12" s="678"/>
      <c r="B12" s="225">
        <v>2021</v>
      </c>
      <c r="C12" s="225">
        <v>2021</v>
      </c>
      <c r="D12" s="225">
        <v>2020</v>
      </c>
      <c r="E12" s="225">
        <v>2021</v>
      </c>
      <c r="F12" s="225">
        <v>2020</v>
      </c>
      <c r="G12" s="225">
        <v>2021</v>
      </c>
      <c r="H12" s="225">
        <v>2020</v>
      </c>
      <c r="I12" s="225">
        <v>2021</v>
      </c>
      <c r="J12" s="158" t="s">
        <v>3</v>
      </c>
      <c r="K12" s="158" t="s">
        <v>4</v>
      </c>
      <c r="M12" s="349" t="s">
        <v>5</v>
      </c>
      <c r="N12" s="323">
        <v>148042.47140000013</v>
      </c>
      <c r="O12" s="320">
        <v>199644</v>
      </c>
      <c r="P12" s="449">
        <f>N12/O12</f>
        <v>0.74153228446635078</v>
      </c>
      <c r="Q12" s="382">
        <f>H13</f>
        <v>0.73004594933790878</v>
      </c>
      <c r="S12" s="349" t="s">
        <v>5</v>
      </c>
      <c r="T12" s="320">
        <v>142516</v>
      </c>
      <c r="U12" s="320">
        <v>148042.47140000013</v>
      </c>
      <c r="V12" s="352">
        <f>U12/T12-1</f>
        <v>3.8777901428612482E-2</v>
      </c>
    </row>
    <row r="13" spans="1:22" x14ac:dyDescent="0.35">
      <c r="A13" s="32" t="s">
        <v>5</v>
      </c>
      <c r="B13" s="38">
        <f>SUM(B14:B21)</f>
        <v>147715.72000000012</v>
      </c>
      <c r="C13" s="38">
        <f t="shared" ref="C13:G13" si="0">SUM(C14:C21)</f>
        <v>326.75139999999999</v>
      </c>
      <c r="D13" s="38">
        <f t="shared" si="0"/>
        <v>142515.91999999987</v>
      </c>
      <c r="E13" s="38">
        <f t="shared" si="0"/>
        <v>148042.47140000013</v>
      </c>
      <c r="F13" s="38">
        <f t="shared" si="0"/>
        <v>195215</v>
      </c>
      <c r="G13" s="38">
        <f t="shared" si="0"/>
        <v>199644</v>
      </c>
      <c r="H13" s="295">
        <f t="shared" ref="H13:H44" si="1">IFERROR(D13/F13,"")</f>
        <v>0.73004594933790878</v>
      </c>
      <c r="I13" s="295">
        <f t="shared" ref="I13:I44" si="2">IFERROR(E13/G13,"")</f>
        <v>0.74153228446635078</v>
      </c>
      <c r="J13" s="21">
        <f>IFERROR(E13-D13,"")</f>
        <v>5526.5514000002586</v>
      </c>
      <c r="K13" s="35">
        <f t="shared" ref="K13:K44" si="3">IFERROR((E13/D13)-1,"")</f>
        <v>3.8778484537027591E-2</v>
      </c>
      <c r="M13" s="349" t="s">
        <v>15</v>
      </c>
      <c r="N13" s="323">
        <v>128880.31080000008</v>
      </c>
      <c r="O13" s="320">
        <v>123986</v>
      </c>
      <c r="P13" s="449">
        <f t="shared" ref="P13:P17" si="4">N13/O13</f>
        <v>1.0394747052086533</v>
      </c>
      <c r="Q13" s="382">
        <f>H35</f>
        <v>1.0439194151649092</v>
      </c>
      <c r="S13" s="349" t="s">
        <v>15</v>
      </c>
      <c r="T13" s="320">
        <v>122807</v>
      </c>
      <c r="U13" s="320">
        <v>128880.31080000008</v>
      </c>
      <c r="V13" s="352">
        <f t="shared" ref="V13:V17" si="5">U13/T13-1</f>
        <v>4.9454109293444848E-2</v>
      </c>
    </row>
    <row r="14" spans="1:22" x14ac:dyDescent="0.35">
      <c r="A14" s="5" t="s">
        <v>6</v>
      </c>
      <c r="B14" s="33">
        <v>44098.28</v>
      </c>
      <c r="C14" s="12">
        <v>71.527299999999997</v>
      </c>
      <c r="D14" s="12">
        <v>43467.799999999923</v>
      </c>
      <c r="E14" s="12">
        <f>B14+C14</f>
        <v>44169.8073</v>
      </c>
      <c r="F14" s="13">
        <v>56057</v>
      </c>
      <c r="G14" s="13">
        <v>56520</v>
      </c>
      <c r="H14" s="22">
        <f t="shared" si="1"/>
        <v>0.77542144602814855</v>
      </c>
      <c r="I14" s="48">
        <f t="shared" si="2"/>
        <v>0.78148986730360936</v>
      </c>
      <c r="J14" s="12">
        <f>IFERROR(E14-D14,"")</f>
        <v>702.00730000007752</v>
      </c>
      <c r="K14" s="48">
        <f t="shared" si="3"/>
        <v>1.6150053602898673E-2</v>
      </c>
      <c r="M14" s="349" t="s">
        <v>22</v>
      </c>
      <c r="N14" s="323">
        <v>74140.410000000062</v>
      </c>
      <c r="O14" s="320">
        <v>75304</v>
      </c>
      <c r="P14" s="449">
        <f t="shared" si="4"/>
        <v>0.98454809837458912</v>
      </c>
      <c r="Q14" s="382">
        <f>H63</f>
        <v>0.98048161238971432</v>
      </c>
      <c r="S14" s="349" t="s">
        <v>22</v>
      </c>
      <c r="T14" s="320">
        <v>72261.179999999993</v>
      </c>
      <c r="U14" s="320">
        <v>74140.410000000062</v>
      </c>
      <c r="V14" s="352">
        <f t="shared" si="5"/>
        <v>2.6006079612871824E-2</v>
      </c>
    </row>
    <row r="15" spans="1:22" x14ac:dyDescent="0.35">
      <c r="A15" s="6" t="s">
        <v>7</v>
      </c>
      <c r="B15" s="13">
        <v>1162.8699999999997</v>
      </c>
      <c r="C15" s="12">
        <v>0.1275</v>
      </c>
      <c r="D15" s="12">
        <v>759.8499999999998</v>
      </c>
      <c r="E15" s="12">
        <f t="shared" ref="E15:E21" si="6">B15+C15</f>
        <v>1162.9974999999997</v>
      </c>
      <c r="F15" s="13">
        <v>825</v>
      </c>
      <c r="G15" s="13">
        <v>1163</v>
      </c>
      <c r="H15" s="22">
        <f t="shared" si="1"/>
        <v>0.92103030303030275</v>
      </c>
      <c r="I15" s="48">
        <f t="shared" si="2"/>
        <v>0.99999785038693012</v>
      </c>
      <c r="J15" s="12">
        <f>IFERROR(E15-D15,"")</f>
        <v>403.14749999999992</v>
      </c>
      <c r="K15" s="48">
        <f t="shared" si="3"/>
        <v>0.5305619530170429</v>
      </c>
      <c r="M15" s="349" t="s">
        <v>12</v>
      </c>
      <c r="N15" s="323">
        <v>58530.640000000029</v>
      </c>
      <c r="O15" s="320">
        <v>63554</v>
      </c>
      <c r="P15" s="449">
        <f t="shared" si="4"/>
        <v>0.92095918431570045</v>
      </c>
      <c r="Q15" s="382">
        <f>H22</f>
        <v>0.92573817426733085</v>
      </c>
      <c r="S15" s="349" t="s">
        <v>12</v>
      </c>
      <c r="T15" s="320">
        <v>58848.249999999956</v>
      </c>
      <c r="U15" s="320">
        <v>58530.640000000029</v>
      </c>
      <c r="V15" s="352">
        <f t="shared" si="5"/>
        <v>-5.3971018679387361E-3</v>
      </c>
    </row>
    <row r="16" spans="1:22" x14ac:dyDescent="0.35">
      <c r="A16" s="6" t="s">
        <v>8</v>
      </c>
      <c r="B16" s="13">
        <v>5017.5900000000011</v>
      </c>
      <c r="C16" s="12">
        <v>24</v>
      </c>
      <c r="D16" s="12">
        <v>3859.470000000003</v>
      </c>
      <c r="E16" s="12">
        <f t="shared" si="6"/>
        <v>5041.5900000000011</v>
      </c>
      <c r="F16" s="13">
        <v>3848</v>
      </c>
      <c r="G16" s="13">
        <v>5020</v>
      </c>
      <c r="H16" s="22">
        <f t="shared" si="1"/>
        <v>1.00298076923077</v>
      </c>
      <c r="I16" s="48">
        <f t="shared" si="2"/>
        <v>1.0043007968127493</v>
      </c>
      <c r="J16" s="12">
        <f t="shared" ref="J16:J21" si="7">IFERROR(E16-D16,"")</f>
        <v>1182.1199999999981</v>
      </c>
      <c r="K16" s="48">
        <f t="shared" si="3"/>
        <v>0.30629076013027623</v>
      </c>
      <c r="M16" s="349" t="s">
        <v>13</v>
      </c>
      <c r="N16" s="323">
        <v>54378.517699999968</v>
      </c>
      <c r="O16" s="320">
        <v>77419</v>
      </c>
      <c r="P16" s="449">
        <f t="shared" si="4"/>
        <v>0.70239240625686161</v>
      </c>
      <c r="Q16" s="382">
        <f>H26</f>
        <v>0.677012226863549</v>
      </c>
      <c r="S16" s="349" t="s">
        <v>13</v>
      </c>
      <c r="T16" s="320">
        <v>53322.159999999967</v>
      </c>
      <c r="U16" s="320">
        <v>54378.517699999968</v>
      </c>
      <c r="V16" s="352">
        <f t="shared" si="5"/>
        <v>1.9810857249593861E-2</v>
      </c>
    </row>
    <row r="17" spans="1:22" x14ac:dyDescent="0.35">
      <c r="A17" s="6" t="s">
        <v>26</v>
      </c>
      <c r="B17" s="13">
        <v>82525.220000000103</v>
      </c>
      <c r="C17" s="12">
        <v>61.968400000000003</v>
      </c>
      <c r="D17" s="12">
        <v>80712.92999999992</v>
      </c>
      <c r="E17" s="12">
        <f t="shared" si="6"/>
        <v>82587.188400000101</v>
      </c>
      <c r="F17" s="13">
        <v>107943</v>
      </c>
      <c r="G17" s="13">
        <v>109195</v>
      </c>
      <c r="H17" s="22">
        <f t="shared" si="1"/>
        <v>0.74773658319668646</v>
      </c>
      <c r="I17" s="48">
        <f t="shared" si="2"/>
        <v>0.75632756444892257</v>
      </c>
      <c r="J17" s="12">
        <f t="shared" si="7"/>
        <v>1874.2584000001807</v>
      </c>
      <c r="K17" s="48">
        <f t="shared" si="3"/>
        <v>2.3221290566457942E-2</v>
      </c>
      <c r="M17" s="349" t="s">
        <v>14</v>
      </c>
      <c r="N17" s="323">
        <v>22011.300000000047</v>
      </c>
      <c r="O17" s="320">
        <v>28213</v>
      </c>
      <c r="P17" s="449">
        <f t="shared" si="4"/>
        <v>0.7801828944103798</v>
      </c>
      <c r="Q17" s="382">
        <f>H30</f>
        <v>0.81954495826436025</v>
      </c>
      <c r="S17" s="349" t="s">
        <v>14</v>
      </c>
      <c r="T17" s="320">
        <v>23269.339999999986</v>
      </c>
      <c r="U17" s="320">
        <v>22011.300000000047</v>
      </c>
      <c r="V17" s="447">
        <f t="shared" si="5"/>
        <v>-5.4064275136292639E-2</v>
      </c>
    </row>
    <row r="18" spans="1:22" x14ac:dyDescent="0.35">
      <c r="A18" s="6" t="s">
        <v>27</v>
      </c>
      <c r="B18" s="13">
        <v>649.94999999999993</v>
      </c>
      <c r="C18" s="12">
        <v>0</v>
      </c>
      <c r="D18" s="12">
        <v>663.44999999999982</v>
      </c>
      <c r="E18" s="12">
        <f t="shared" si="6"/>
        <v>649.94999999999993</v>
      </c>
      <c r="F18" s="13">
        <v>648</v>
      </c>
      <c r="G18" s="13">
        <v>650</v>
      </c>
      <c r="H18" s="22">
        <f t="shared" si="1"/>
        <v>1.0238425925925922</v>
      </c>
      <c r="I18" s="48">
        <f t="shared" si="2"/>
        <v>0.9999230769230768</v>
      </c>
      <c r="J18" s="12">
        <f t="shared" si="7"/>
        <v>-13.499999999999886</v>
      </c>
      <c r="K18" s="48">
        <f t="shared" si="3"/>
        <v>-2.0348179968347146E-2</v>
      </c>
      <c r="U18" s="110"/>
    </row>
    <row r="19" spans="1:22" x14ac:dyDescent="0.35">
      <c r="A19" s="6" t="s">
        <v>28</v>
      </c>
      <c r="B19" s="13">
        <v>3241.0299999999997</v>
      </c>
      <c r="C19" s="12">
        <v>29.472000000000001</v>
      </c>
      <c r="D19" s="12">
        <v>3033.56</v>
      </c>
      <c r="E19" s="12">
        <f t="shared" si="6"/>
        <v>3270.502</v>
      </c>
      <c r="F19" s="13">
        <v>4389</v>
      </c>
      <c r="G19" s="13">
        <v>4610</v>
      </c>
      <c r="H19" s="22">
        <f t="shared" si="1"/>
        <v>0.69117338801549322</v>
      </c>
      <c r="I19" s="48">
        <f t="shared" si="2"/>
        <v>0.70943644251626892</v>
      </c>
      <c r="J19" s="12">
        <f t="shared" si="7"/>
        <v>236.94200000000001</v>
      </c>
      <c r="K19" s="48">
        <f t="shared" si="3"/>
        <v>7.8106910692387732E-2</v>
      </c>
    </row>
    <row r="20" spans="1:22" x14ac:dyDescent="0.35">
      <c r="A20" s="6" t="s">
        <v>29</v>
      </c>
      <c r="B20" s="13">
        <v>7014.9699999999975</v>
      </c>
      <c r="C20" s="12">
        <v>138.1892</v>
      </c>
      <c r="D20" s="12">
        <v>7010.1299999999965</v>
      </c>
      <c r="E20" s="12">
        <f t="shared" si="6"/>
        <v>7153.1591999999973</v>
      </c>
      <c r="F20" s="13">
        <v>18424</v>
      </c>
      <c r="G20" s="13">
        <v>18470</v>
      </c>
      <c r="H20" s="22">
        <f t="shared" si="1"/>
        <v>0.38048903603994771</v>
      </c>
      <c r="I20" s="48">
        <f t="shared" si="2"/>
        <v>0.38728528424472103</v>
      </c>
      <c r="J20" s="12">
        <f t="shared" si="7"/>
        <v>143.02920000000086</v>
      </c>
      <c r="K20" s="48">
        <f t="shared" si="3"/>
        <v>2.0403216488139364E-2</v>
      </c>
    </row>
    <row r="21" spans="1:22" x14ac:dyDescent="0.35">
      <c r="A21" s="6" t="s">
        <v>30</v>
      </c>
      <c r="B21" s="36">
        <v>4005.8100000000004</v>
      </c>
      <c r="C21" s="12">
        <v>1.4670000000000001</v>
      </c>
      <c r="D21" s="12">
        <v>3008.7299999999996</v>
      </c>
      <c r="E21" s="12">
        <f t="shared" si="6"/>
        <v>4007.2770000000005</v>
      </c>
      <c r="F21" s="13">
        <v>3081</v>
      </c>
      <c r="G21" s="13">
        <v>4016</v>
      </c>
      <c r="H21" s="22">
        <f t="shared" si="1"/>
        <v>0.97654333008763372</v>
      </c>
      <c r="I21" s="48">
        <f t="shared" si="2"/>
        <v>0.9978279382470121</v>
      </c>
      <c r="J21" s="12">
        <f t="shared" si="7"/>
        <v>998.54700000000093</v>
      </c>
      <c r="K21" s="48">
        <f t="shared" si="3"/>
        <v>0.33188321983029412</v>
      </c>
    </row>
    <row r="22" spans="1:22" x14ac:dyDescent="0.35">
      <c r="A22" s="4" t="s">
        <v>12</v>
      </c>
      <c r="B22" s="37">
        <f>SUM(B23:B25)</f>
        <v>58526.690000000031</v>
      </c>
      <c r="C22" s="37">
        <f t="shared" ref="C22:F22" si="8">SUM(C23:C25)</f>
        <v>3.95</v>
      </c>
      <c r="D22" s="37">
        <f t="shared" si="8"/>
        <v>58848.249999999956</v>
      </c>
      <c r="E22" s="37">
        <f t="shared" si="8"/>
        <v>58530.640000000029</v>
      </c>
      <c r="F22" s="37">
        <f t="shared" si="8"/>
        <v>63569</v>
      </c>
      <c r="G22" s="37">
        <f>SUM(G23:G25)</f>
        <v>63554</v>
      </c>
      <c r="H22" s="295">
        <f t="shared" si="1"/>
        <v>0.92573817426733085</v>
      </c>
      <c r="I22" s="295">
        <f t="shared" si="2"/>
        <v>0.92095918431570045</v>
      </c>
      <c r="J22" s="21">
        <f t="shared" ref="J22:J69" si="9">IFERROR(E22-D22,"")</f>
        <v>-317.60999999992782</v>
      </c>
      <c r="K22" s="35">
        <f t="shared" si="3"/>
        <v>-5.3971018679387361E-3</v>
      </c>
    </row>
    <row r="23" spans="1:22" x14ac:dyDescent="0.35">
      <c r="A23" s="6" t="s">
        <v>31</v>
      </c>
      <c r="B23" s="13">
        <v>8839.5100000000039</v>
      </c>
      <c r="C23" s="12">
        <v>0.48</v>
      </c>
      <c r="D23" s="12">
        <v>9066.6300000000083</v>
      </c>
      <c r="E23" s="12">
        <f>B23+C23</f>
        <v>8839.9900000000034</v>
      </c>
      <c r="F23" s="13">
        <v>11705</v>
      </c>
      <c r="G23" s="13">
        <v>11686</v>
      </c>
      <c r="H23" s="22">
        <f t="shared" si="1"/>
        <v>0.7745946176847508</v>
      </c>
      <c r="I23" s="22">
        <f t="shared" si="2"/>
        <v>0.75645986650693164</v>
      </c>
      <c r="J23" s="12">
        <f t="shared" si="9"/>
        <v>-226.64000000000487</v>
      </c>
      <c r="K23" s="48">
        <f t="shared" si="3"/>
        <v>-2.4997159914985412E-2</v>
      </c>
    </row>
    <row r="24" spans="1:22" x14ac:dyDescent="0.35">
      <c r="A24" s="6" t="s">
        <v>32</v>
      </c>
      <c r="B24" s="13">
        <v>18111.340000000015</v>
      </c>
      <c r="C24" s="12">
        <v>1.48</v>
      </c>
      <c r="D24" s="12">
        <v>18375.819999999982</v>
      </c>
      <c r="E24" s="12">
        <f t="shared" ref="E24:E68" si="10">B24+C24</f>
        <v>18112.820000000014</v>
      </c>
      <c r="F24" s="13">
        <v>20636</v>
      </c>
      <c r="G24" s="13">
        <v>20630</v>
      </c>
      <c r="H24" s="22">
        <f t="shared" si="1"/>
        <v>0.89047392905601774</v>
      </c>
      <c r="I24" s="22">
        <f t="shared" si="2"/>
        <v>0.87798448860882283</v>
      </c>
      <c r="J24" s="12">
        <f t="shared" si="9"/>
        <v>-262.99999999996726</v>
      </c>
      <c r="K24" s="48">
        <f t="shared" si="3"/>
        <v>-1.4312286472112135E-2</v>
      </c>
    </row>
    <row r="25" spans="1:22" x14ac:dyDescent="0.35">
      <c r="A25" s="6" t="s">
        <v>33</v>
      </c>
      <c r="B25" s="13">
        <v>31575.840000000007</v>
      </c>
      <c r="C25" s="12">
        <v>1.99</v>
      </c>
      <c r="D25" s="12">
        <v>31405.799999999963</v>
      </c>
      <c r="E25" s="12">
        <f t="shared" si="10"/>
        <v>31577.830000000009</v>
      </c>
      <c r="F25" s="13">
        <v>31228</v>
      </c>
      <c r="G25" s="13">
        <v>31238</v>
      </c>
      <c r="H25" s="22">
        <f t="shared" si="1"/>
        <v>1.0056936083002421</v>
      </c>
      <c r="I25" s="22">
        <f t="shared" si="2"/>
        <v>1.0108787374351753</v>
      </c>
      <c r="J25" s="12">
        <f t="shared" si="9"/>
        <v>172.03000000004613</v>
      </c>
      <c r="K25" s="48">
        <f t="shared" si="3"/>
        <v>5.4776506250453494E-3</v>
      </c>
    </row>
    <row r="26" spans="1:22" x14ac:dyDescent="0.35">
      <c r="A26" s="4" t="s">
        <v>13</v>
      </c>
      <c r="B26" s="38">
        <f>SUM(B27:B29)</f>
        <v>52227.979999999967</v>
      </c>
      <c r="C26" s="38">
        <f t="shared" ref="C26:G26" si="11">SUM(C27:C29)</f>
        <v>2150.5376999999999</v>
      </c>
      <c r="D26" s="38">
        <f t="shared" si="11"/>
        <v>53322.159999999982</v>
      </c>
      <c r="E26" s="38">
        <f t="shared" si="11"/>
        <v>54378.517699999968</v>
      </c>
      <c r="F26" s="38">
        <f t="shared" si="11"/>
        <v>78761</v>
      </c>
      <c r="G26" s="38">
        <f t="shared" si="11"/>
        <v>77419</v>
      </c>
      <c r="H26" s="295">
        <f t="shared" si="1"/>
        <v>0.677012226863549</v>
      </c>
      <c r="I26" s="295">
        <f t="shared" si="2"/>
        <v>0.70239240625686161</v>
      </c>
      <c r="J26" s="21">
        <f t="shared" si="9"/>
        <v>1056.3576999999859</v>
      </c>
      <c r="K26" s="35">
        <f t="shared" si="3"/>
        <v>1.9810857249593639E-2</v>
      </c>
    </row>
    <row r="27" spans="1:22" x14ac:dyDescent="0.35">
      <c r="A27" s="6" t="s">
        <v>34</v>
      </c>
      <c r="B27" s="13">
        <v>11785.279999999999</v>
      </c>
      <c r="C27" s="12">
        <v>145.11359999999999</v>
      </c>
      <c r="D27" s="12">
        <v>11774.529999999986</v>
      </c>
      <c r="E27" s="12">
        <f t="shared" si="10"/>
        <v>11930.393599999999</v>
      </c>
      <c r="F27" s="13">
        <v>16010</v>
      </c>
      <c r="G27" s="13">
        <v>15700</v>
      </c>
      <c r="H27" s="22">
        <f t="shared" si="1"/>
        <v>0.73544846970643263</v>
      </c>
      <c r="I27" s="22">
        <f t="shared" si="2"/>
        <v>0.75989768152866244</v>
      </c>
      <c r="J27" s="12">
        <f t="shared" si="9"/>
        <v>155.86360000001332</v>
      </c>
      <c r="K27" s="48">
        <f t="shared" si="3"/>
        <v>1.3237352149088943E-2</v>
      </c>
    </row>
    <row r="28" spans="1:22" x14ac:dyDescent="0.35">
      <c r="A28" s="6" t="s">
        <v>35</v>
      </c>
      <c r="B28" s="13">
        <v>16936.149999999958</v>
      </c>
      <c r="C28" s="12">
        <v>1298.0576000000001</v>
      </c>
      <c r="D28" s="12">
        <v>17921.03</v>
      </c>
      <c r="E28" s="12">
        <f t="shared" si="10"/>
        <v>18234.207599999958</v>
      </c>
      <c r="F28" s="13">
        <v>33481</v>
      </c>
      <c r="G28" s="13">
        <v>32574</v>
      </c>
      <c r="H28" s="22">
        <f t="shared" si="1"/>
        <v>0.53525969953107733</v>
      </c>
      <c r="I28" s="22">
        <f t="shared" si="2"/>
        <v>0.55977797016024922</v>
      </c>
      <c r="J28" s="12">
        <f t="shared" si="9"/>
        <v>313.17759999995906</v>
      </c>
      <c r="K28" s="48">
        <f t="shared" si="3"/>
        <v>1.7475424124615557E-2</v>
      </c>
    </row>
    <row r="29" spans="1:22" x14ac:dyDescent="0.35">
      <c r="A29" s="6" t="s">
        <v>36</v>
      </c>
      <c r="B29" s="13">
        <v>23506.55000000001</v>
      </c>
      <c r="C29" s="12">
        <v>707.36650000000009</v>
      </c>
      <c r="D29" s="12">
        <v>23626.6</v>
      </c>
      <c r="E29" s="12">
        <f t="shared" si="10"/>
        <v>24213.91650000001</v>
      </c>
      <c r="F29" s="13">
        <v>29270</v>
      </c>
      <c r="G29" s="13">
        <v>29145</v>
      </c>
      <c r="H29" s="22">
        <f t="shared" si="1"/>
        <v>0.80719508028698317</v>
      </c>
      <c r="I29" s="22">
        <f t="shared" si="2"/>
        <v>0.83080859495625359</v>
      </c>
      <c r="J29" s="12">
        <f t="shared" si="9"/>
        <v>587.31650000001173</v>
      </c>
      <c r="K29" s="48">
        <f t="shared" si="3"/>
        <v>2.4858274148629622E-2</v>
      </c>
    </row>
    <row r="30" spans="1:22" x14ac:dyDescent="0.35">
      <c r="A30" s="4" t="s">
        <v>14</v>
      </c>
      <c r="B30" s="38">
        <f>SUM(B31:B34)</f>
        <v>22011.300000000047</v>
      </c>
      <c r="C30" s="38">
        <f t="shared" ref="C30:G30" si="12">SUM(C31:C34)</f>
        <v>0</v>
      </c>
      <c r="D30" s="38">
        <f t="shared" si="12"/>
        <v>23269.339999999982</v>
      </c>
      <c r="E30" s="38">
        <f t="shared" si="12"/>
        <v>22011.300000000047</v>
      </c>
      <c r="F30" s="38">
        <f t="shared" si="12"/>
        <v>28393</v>
      </c>
      <c r="G30" s="38">
        <f t="shared" si="12"/>
        <v>28213</v>
      </c>
      <c r="H30" s="295">
        <f t="shared" si="1"/>
        <v>0.81954495826436025</v>
      </c>
      <c r="I30" s="295">
        <f t="shared" si="2"/>
        <v>0.7801828944103798</v>
      </c>
      <c r="J30" s="21">
        <f t="shared" si="9"/>
        <v>-1258.0399999999354</v>
      </c>
      <c r="K30" s="35">
        <f t="shared" si="3"/>
        <v>-5.4064275136292528E-2</v>
      </c>
    </row>
    <row r="31" spans="1:22" x14ac:dyDescent="0.35">
      <c r="A31" s="6" t="s">
        <v>37</v>
      </c>
      <c r="B31" s="13">
        <v>514.00000000000011</v>
      </c>
      <c r="C31" s="12"/>
      <c r="D31" s="12">
        <v>573.20000000000016</v>
      </c>
      <c r="E31" s="12">
        <f t="shared" si="10"/>
        <v>514.00000000000011</v>
      </c>
      <c r="F31" s="13">
        <v>592</v>
      </c>
      <c r="G31" s="13">
        <v>557</v>
      </c>
      <c r="H31" s="22">
        <f t="shared" si="1"/>
        <v>0.96824324324324351</v>
      </c>
      <c r="I31" s="22">
        <f t="shared" si="2"/>
        <v>0.9228007181328548</v>
      </c>
      <c r="J31" s="12">
        <f t="shared" si="9"/>
        <v>-59.200000000000045</v>
      </c>
      <c r="K31" s="48">
        <f t="shared" si="3"/>
        <v>-0.1032798325191906</v>
      </c>
    </row>
    <row r="32" spans="1:22" x14ac:dyDescent="0.35">
      <c r="A32" s="6" t="s">
        <v>38</v>
      </c>
      <c r="B32" s="13">
        <v>8.870000000000001</v>
      </c>
      <c r="C32" s="12"/>
      <c r="D32" s="12">
        <v>9.75</v>
      </c>
      <c r="E32" s="12">
        <f t="shared" si="10"/>
        <v>8.870000000000001</v>
      </c>
      <c r="F32" s="13">
        <v>5</v>
      </c>
      <c r="G32" s="13">
        <v>5</v>
      </c>
      <c r="H32" s="22">
        <f t="shared" si="1"/>
        <v>1.95</v>
      </c>
      <c r="I32" s="22">
        <f t="shared" si="2"/>
        <v>1.7740000000000002</v>
      </c>
      <c r="J32" s="12">
        <f t="shared" si="9"/>
        <v>-0.87999999999999901</v>
      </c>
      <c r="K32" s="48">
        <f t="shared" si="3"/>
        <v>-9.025641025641018E-2</v>
      </c>
    </row>
    <row r="33" spans="1:11" x14ac:dyDescent="0.35">
      <c r="A33" s="6" t="s">
        <v>39</v>
      </c>
      <c r="B33" s="13">
        <v>10443.660000000016</v>
      </c>
      <c r="C33" s="12"/>
      <c r="D33" s="12">
        <v>11165.689999999984</v>
      </c>
      <c r="E33" s="12">
        <f t="shared" si="10"/>
        <v>10443.660000000016</v>
      </c>
      <c r="F33" s="13">
        <v>12389</v>
      </c>
      <c r="G33" s="13">
        <v>11868</v>
      </c>
      <c r="H33" s="22">
        <f t="shared" si="1"/>
        <v>0.90125837436435419</v>
      </c>
      <c r="I33" s="22">
        <f t="shared" si="2"/>
        <v>0.87998483316481435</v>
      </c>
      <c r="J33" s="12">
        <f t="shared" si="9"/>
        <v>-722.02999999996791</v>
      </c>
      <c r="K33" s="48">
        <f t="shared" si="3"/>
        <v>-6.4665058764838412E-2</v>
      </c>
    </row>
    <row r="34" spans="1:11" x14ac:dyDescent="0.35">
      <c r="A34" s="6" t="s">
        <v>40</v>
      </c>
      <c r="B34" s="13">
        <v>11044.77000000003</v>
      </c>
      <c r="C34" s="12">
        <v>0</v>
      </c>
      <c r="D34" s="12">
        <v>11520.699999999999</v>
      </c>
      <c r="E34" s="12">
        <f t="shared" si="10"/>
        <v>11044.77000000003</v>
      </c>
      <c r="F34" s="13">
        <v>15407</v>
      </c>
      <c r="G34" s="13">
        <v>15783</v>
      </c>
      <c r="H34" s="22">
        <f t="shared" si="1"/>
        <v>0.7477575128188485</v>
      </c>
      <c r="I34" s="22">
        <f t="shared" si="2"/>
        <v>0.69978901349553502</v>
      </c>
      <c r="J34" s="12">
        <f t="shared" si="9"/>
        <v>-475.92999999996937</v>
      </c>
      <c r="K34" s="48">
        <f t="shared" si="3"/>
        <v>-4.1310857847176807E-2</v>
      </c>
    </row>
    <row r="35" spans="1:11" x14ac:dyDescent="0.35">
      <c r="A35" s="4" t="s">
        <v>15</v>
      </c>
      <c r="B35" s="38">
        <f>SUM(B36:B40)</f>
        <v>128739.54000000008</v>
      </c>
      <c r="C35" s="38">
        <f t="shared" ref="C35:G35" si="13">SUM(C36:C40)</f>
        <v>140.77080000000001</v>
      </c>
      <c r="D35" s="38">
        <f t="shared" si="13"/>
        <v>122806.67999999991</v>
      </c>
      <c r="E35" s="38">
        <f t="shared" si="13"/>
        <v>128880.31080000008</v>
      </c>
      <c r="F35" s="38">
        <f t="shared" si="13"/>
        <v>117640</v>
      </c>
      <c r="G35" s="38">
        <f t="shared" si="13"/>
        <v>123986</v>
      </c>
      <c r="H35" s="295">
        <f t="shared" si="1"/>
        <v>1.0439194151649092</v>
      </c>
      <c r="I35" s="295">
        <f t="shared" si="2"/>
        <v>1.0394747052086533</v>
      </c>
      <c r="J35" s="21">
        <f t="shared" si="9"/>
        <v>6073.6308000001736</v>
      </c>
      <c r="K35" s="419">
        <f t="shared" si="3"/>
        <v>4.9456843878526557E-2</v>
      </c>
    </row>
    <row r="36" spans="1:11" x14ac:dyDescent="0.35">
      <c r="A36" s="6" t="s">
        <v>41</v>
      </c>
      <c r="B36" s="12">
        <v>65935.48000000004</v>
      </c>
      <c r="C36" s="12">
        <v>74.540000000000006</v>
      </c>
      <c r="D36" s="12">
        <v>63273.239999999925</v>
      </c>
      <c r="E36" s="12">
        <f t="shared" si="10"/>
        <v>66010.020000000033</v>
      </c>
      <c r="F36" s="13">
        <v>58161</v>
      </c>
      <c r="G36" s="13">
        <v>60661</v>
      </c>
      <c r="H36" s="22">
        <f t="shared" si="1"/>
        <v>1.0878980760303283</v>
      </c>
      <c r="I36" s="22">
        <f t="shared" si="2"/>
        <v>1.0881788958309297</v>
      </c>
      <c r="J36" s="12">
        <f t="shared" si="9"/>
        <v>2736.780000000108</v>
      </c>
      <c r="K36" s="48">
        <f t="shared" si="3"/>
        <v>4.3253356395217102E-2</v>
      </c>
    </row>
    <row r="37" spans="1:11" x14ac:dyDescent="0.35">
      <c r="A37" s="6" t="s">
        <v>42</v>
      </c>
      <c r="B37" s="12">
        <v>15258.210000000001</v>
      </c>
      <c r="C37" s="12">
        <v>5.17</v>
      </c>
      <c r="D37" s="12">
        <v>14292.340000000015</v>
      </c>
      <c r="E37" s="12">
        <f t="shared" si="10"/>
        <v>15263.380000000001</v>
      </c>
      <c r="F37" s="13">
        <v>14281</v>
      </c>
      <c r="G37" s="13">
        <v>15236</v>
      </c>
      <c r="H37" s="22">
        <f t="shared" si="1"/>
        <v>1.0007940620404743</v>
      </c>
      <c r="I37" s="22">
        <f t="shared" si="2"/>
        <v>1.0017970595956944</v>
      </c>
      <c r="J37" s="12">
        <f t="shared" si="9"/>
        <v>971.03999999998632</v>
      </c>
      <c r="K37" s="48">
        <f t="shared" si="3"/>
        <v>6.7941288830239532E-2</v>
      </c>
    </row>
    <row r="38" spans="1:11" x14ac:dyDescent="0.35">
      <c r="A38" s="6" t="s">
        <v>43</v>
      </c>
      <c r="B38" s="12">
        <v>26976.750000000022</v>
      </c>
      <c r="C38" s="12">
        <v>36.190800000000003</v>
      </c>
      <c r="D38" s="12">
        <v>25562.159999999993</v>
      </c>
      <c r="E38" s="12">
        <f t="shared" si="10"/>
        <v>27012.940800000022</v>
      </c>
      <c r="F38" s="13">
        <v>25550</v>
      </c>
      <c r="G38" s="13">
        <v>27540</v>
      </c>
      <c r="H38" s="22">
        <f t="shared" si="1"/>
        <v>1.0004759295499019</v>
      </c>
      <c r="I38" s="22">
        <f t="shared" si="2"/>
        <v>0.98086204793028398</v>
      </c>
      <c r="J38" s="12">
        <f t="shared" si="9"/>
        <v>1450.7808000000296</v>
      </c>
      <c r="K38" s="48">
        <f t="shared" si="3"/>
        <v>5.6755016008038117E-2</v>
      </c>
    </row>
    <row r="39" spans="1:11" x14ac:dyDescent="0.35">
      <c r="A39" s="6" t="s">
        <v>44</v>
      </c>
      <c r="B39" s="12">
        <v>462.96000000000004</v>
      </c>
      <c r="C39" s="12">
        <v>3.28</v>
      </c>
      <c r="D39" s="12">
        <v>376.42000000000007</v>
      </c>
      <c r="E39" s="12">
        <f t="shared" si="10"/>
        <v>466.24</v>
      </c>
      <c r="F39" s="13">
        <v>372</v>
      </c>
      <c r="G39" s="13">
        <v>458</v>
      </c>
      <c r="H39" s="22">
        <f t="shared" si="1"/>
        <v>1.0118817204301078</v>
      </c>
      <c r="I39" s="22">
        <f t="shared" si="2"/>
        <v>1.0179912663755459</v>
      </c>
      <c r="J39" s="12">
        <f t="shared" si="9"/>
        <v>89.819999999999936</v>
      </c>
      <c r="K39" s="48">
        <f t="shared" si="3"/>
        <v>0.23861643908400176</v>
      </c>
    </row>
    <row r="40" spans="1:11" x14ac:dyDescent="0.35">
      <c r="A40" s="6" t="s">
        <v>45</v>
      </c>
      <c r="B40" s="12">
        <v>20106.140000000014</v>
      </c>
      <c r="C40" s="12">
        <v>21.59</v>
      </c>
      <c r="D40" s="12">
        <v>19302.519999999982</v>
      </c>
      <c r="E40" s="12">
        <f t="shared" si="10"/>
        <v>20127.730000000014</v>
      </c>
      <c r="F40" s="13">
        <v>19276</v>
      </c>
      <c r="G40" s="13">
        <v>20091</v>
      </c>
      <c r="H40" s="22">
        <f t="shared" si="1"/>
        <v>1.0013758041087353</v>
      </c>
      <c r="I40" s="22">
        <f t="shared" si="2"/>
        <v>1.0018281817729338</v>
      </c>
      <c r="J40" s="12">
        <f t="shared" si="9"/>
        <v>825.21000000003187</v>
      </c>
      <c r="K40" s="48">
        <f t="shared" si="3"/>
        <v>4.2751412768904373E-2</v>
      </c>
    </row>
    <row r="41" spans="1:11" x14ac:dyDescent="0.35">
      <c r="A41" s="4" t="s">
        <v>16</v>
      </c>
      <c r="B41" s="37">
        <f>SUM(B42:B50)</f>
        <v>2626.43</v>
      </c>
      <c r="C41" s="37"/>
      <c r="D41" s="37">
        <f t="shared" ref="D41:G41" si="14">SUM(D42:D50)</f>
        <v>2383.9</v>
      </c>
      <c r="E41" s="37">
        <f t="shared" si="14"/>
        <v>2626.43</v>
      </c>
      <c r="F41" s="37">
        <f t="shared" si="14"/>
        <v>1755</v>
      </c>
      <c r="G41" s="37">
        <f t="shared" si="14"/>
        <v>1739</v>
      </c>
      <c r="H41" s="295">
        <f t="shared" si="1"/>
        <v>1.3583475783475785</v>
      </c>
      <c r="I41" s="295">
        <f t="shared" si="2"/>
        <v>1.5103105232892466</v>
      </c>
      <c r="J41" s="21">
        <f t="shared" si="9"/>
        <v>242.52999999999975</v>
      </c>
      <c r="K41" s="35">
        <f t="shared" si="3"/>
        <v>0.10173665002726606</v>
      </c>
    </row>
    <row r="42" spans="1:11" x14ac:dyDescent="0.35">
      <c r="A42" s="6" t="s">
        <v>46</v>
      </c>
      <c r="B42" s="12">
        <v>52.77</v>
      </c>
      <c r="C42" s="12"/>
      <c r="D42" s="12">
        <v>48.149999999999991</v>
      </c>
      <c r="E42" s="12">
        <f t="shared" si="10"/>
        <v>52.77</v>
      </c>
      <c r="F42" s="13">
        <v>48</v>
      </c>
      <c r="G42" s="13">
        <v>51</v>
      </c>
      <c r="H42" s="22">
        <f t="shared" si="1"/>
        <v>1.0031249999999998</v>
      </c>
      <c r="I42" s="22">
        <f t="shared" si="2"/>
        <v>1.0347058823529411</v>
      </c>
      <c r="J42" s="12">
        <f t="shared" si="9"/>
        <v>4.6200000000000117</v>
      </c>
      <c r="K42" s="48">
        <f t="shared" si="3"/>
        <v>9.5950155763240064E-2</v>
      </c>
    </row>
    <row r="43" spans="1:11" x14ac:dyDescent="0.35">
      <c r="A43" s="6" t="s">
        <v>47</v>
      </c>
      <c r="B43" s="12">
        <v>136.59</v>
      </c>
      <c r="C43" s="12"/>
      <c r="D43" s="12">
        <v>139.19999999999999</v>
      </c>
      <c r="E43" s="12">
        <f t="shared" si="10"/>
        <v>136.59</v>
      </c>
      <c r="F43" s="13">
        <v>189</v>
      </c>
      <c r="G43" s="13">
        <v>193</v>
      </c>
      <c r="H43" s="22">
        <f t="shared" si="1"/>
        <v>0.73650793650793644</v>
      </c>
      <c r="I43" s="22">
        <f t="shared" si="2"/>
        <v>0.70772020725388607</v>
      </c>
      <c r="J43" s="12">
        <f t="shared" si="9"/>
        <v>-2.6099999999999852</v>
      </c>
      <c r="K43" s="48">
        <f t="shared" si="3"/>
        <v>-1.8749999999999933E-2</v>
      </c>
    </row>
    <row r="44" spans="1:11" x14ac:dyDescent="0.35">
      <c r="A44" s="6" t="s">
        <v>48</v>
      </c>
      <c r="B44" s="12">
        <v>92.560000000000016</v>
      </c>
      <c r="C44" s="12"/>
      <c r="D44" s="12">
        <v>72.180000000000007</v>
      </c>
      <c r="E44" s="12">
        <f t="shared" si="10"/>
        <v>92.560000000000016</v>
      </c>
      <c r="F44" s="13">
        <v>69</v>
      </c>
      <c r="G44" s="13">
        <v>95</v>
      </c>
      <c r="H44" s="22">
        <f t="shared" si="1"/>
        <v>1.0460869565217392</v>
      </c>
      <c r="I44" s="22">
        <f t="shared" si="2"/>
        <v>0.97431578947368436</v>
      </c>
      <c r="J44" s="12">
        <f t="shared" si="9"/>
        <v>20.38000000000001</v>
      </c>
      <c r="K44" s="48">
        <f t="shared" si="3"/>
        <v>0.28234968135217531</v>
      </c>
    </row>
    <row r="45" spans="1:11" x14ac:dyDescent="0.35">
      <c r="A45" s="6" t="s">
        <v>49</v>
      </c>
      <c r="B45" s="12">
        <v>33.69</v>
      </c>
      <c r="C45" s="12"/>
      <c r="D45" s="12">
        <v>31.450000000000003</v>
      </c>
      <c r="E45" s="12">
        <f t="shared" si="10"/>
        <v>33.69</v>
      </c>
      <c r="F45" s="13">
        <v>27</v>
      </c>
      <c r="G45" s="13">
        <v>33</v>
      </c>
      <c r="H45" s="22">
        <f t="shared" ref="H45:H69" si="15">IFERROR(D45/F45,"")</f>
        <v>1.164814814814815</v>
      </c>
      <c r="I45" s="22">
        <f t="shared" ref="I45:I69" si="16">IFERROR(E45/G45,"")</f>
        <v>1.0209090909090908</v>
      </c>
      <c r="J45" s="12">
        <f t="shared" si="9"/>
        <v>2.2399999999999949</v>
      </c>
      <c r="K45" s="48">
        <f t="shared" ref="K45:K69" si="17">IFERROR((E45/D45)-1,"")</f>
        <v>7.1224165341812196E-2</v>
      </c>
    </row>
    <row r="46" spans="1:11" x14ac:dyDescent="0.35">
      <c r="A46" s="6" t="s">
        <v>50</v>
      </c>
      <c r="B46" s="12">
        <v>610.89999999999986</v>
      </c>
      <c r="C46" s="12"/>
      <c r="D46" s="12">
        <v>603.67999999999984</v>
      </c>
      <c r="E46" s="12">
        <f t="shared" si="10"/>
        <v>610.89999999999986</v>
      </c>
      <c r="F46" s="13">
        <v>716</v>
      </c>
      <c r="G46" s="13">
        <v>716</v>
      </c>
      <c r="H46" s="22">
        <f t="shared" si="15"/>
        <v>0.8431284916201115</v>
      </c>
      <c r="I46" s="22">
        <f t="shared" si="16"/>
        <v>0.85321229050279312</v>
      </c>
      <c r="J46" s="12">
        <f t="shared" si="9"/>
        <v>7.2200000000000273</v>
      </c>
      <c r="K46" s="48">
        <f t="shared" si="17"/>
        <v>1.1959978796713511E-2</v>
      </c>
    </row>
    <row r="47" spans="1:11" x14ac:dyDescent="0.35">
      <c r="A47" s="6" t="s">
        <v>51</v>
      </c>
      <c r="B47" s="12">
        <v>7.879999999999999</v>
      </c>
      <c r="C47" s="12"/>
      <c r="D47" s="12">
        <v>9.14</v>
      </c>
      <c r="E47" s="12">
        <f t="shared" si="10"/>
        <v>7.879999999999999</v>
      </c>
      <c r="F47" s="13">
        <v>24</v>
      </c>
      <c r="G47" s="13">
        <v>20</v>
      </c>
      <c r="H47" s="22">
        <f t="shared" si="15"/>
        <v>0.38083333333333336</v>
      </c>
      <c r="I47" s="22">
        <f t="shared" si="16"/>
        <v>0.39399999999999996</v>
      </c>
      <c r="J47" s="12">
        <f t="shared" si="9"/>
        <v>-1.2600000000000016</v>
      </c>
      <c r="K47" s="48">
        <f t="shared" si="17"/>
        <v>-0.13785557986870911</v>
      </c>
    </row>
    <row r="48" spans="1:11" x14ac:dyDescent="0.35">
      <c r="A48" s="6" t="s">
        <v>52</v>
      </c>
      <c r="B48" s="12">
        <v>407.67</v>
      </c>
      <c r="C48" s="12"/>
      <c r="D48" s="12">
        <v>404.66</v>
      </c>
      <c r="E48" s="12">
        <f t="shared" si="10"/>
        <v>407.67</v>
      </c>
      <c r="F48" s="13">
        <v>399</v>
      </c>
      <c r="G48" s="13">
        <v>404</v>
      </c>
      <c r="H48" s="22">
        <f t="shared" si="15"/>
        <v>1.0141854636591479</v>
      </c>
      <c r="I48" s="22">
        <f t="shared" si="16"/>
        <v>1.0090841584158416</v>
      </c>
      <c r="J48" s="12">
        <f t="shared" si="9"/>
        <v>3.0099999999999909</v>
      </c>
      <c r="K48" s="48">
        <f t="shared" si="17"/>
        <v>7.4383433005484889E-3</v>
      </c>
    </row>
    <row r="49" spans="1:11" x14ac:dyDescent="0.35">
      <c r="A49" s="6" t="s">
        <v>53</v>
      </c>
      <c r="B49" s="12">
        <v>713.04000000000008</v>
      </c>
      <c r="C49" s="12"/>
      <c r="D49" s="12">
        <v>566.66</v>
      </c>
      <c r="E49" s="12">
        <f t="shared" si="10"/>
        <v>713.04000000000008</v>
      </c>
      <c r="F49" s="13">
        <v>144</v>
      </c>
      <c r="G49" s="13">
        <v>58</v>
      </c>
      <c r="H49" s="22">
        <f t="shared" si="15"/>
        <v>3.9351388888888885</v>
      </c>
      <c r="I49" s="22">
        <f t="shared" si="16"/>
        <v>12.293793103448277</v>
      </c>
      <c r="J49" s="12">
        <f t="shared" si="9"/>
        <v>146.38000000000011</v>
      </c>
      <c r="K49" s="48">
        <f t="shared" si="17"/>
        <v>0.25832068612571923</v>
      </c>
    </row>
    <row r="50" spans="1:11" x14ac:dyDescent="0.35">
      <c r="A50" s="6" t="s">
        <v>54</v>
      </c>
      <c r="B50" s="12">
        <v>571.33000000000004</v>
      </c>
      <c r="C50" s="12"/>
      <c r="D50" s="12">
        <v>508.78000000000009</v>
      </c>
      <c r="E50" s="12">
        <f t="shared" si="10"/>
        <v>571.33000000000004</v>
      </c>
      <c r="F50" s="13">
        <v>139</v>
      </c>
      <c r="G50" s="13">
        <v>169</v>
      </c>
      <c r="H50" s="22">
        <f t="shared" si="15"/>
        <v>3.6602877697841731</v>
      </c>
      <c r="I50" s="22">
        <f t="shared" si="16"/>
        <v>3.3806508875739647</v>
      </c>
      <c r="J50" s="12">
        <f t="shared" si="9"/>
        <v>62.549999999999955</v>
      </c>
      <c r="K50" s="48">
        <f t="shared" si="17"/>
        <v>0.12294115334722266</v>
      </c>
    </row>
    <row r="51" spans="1:11" x14ac:dyDescent="0.35">
      <c r="A51" s="4" t="s">
        <v>17</v>
      </c>
      <c r="B51" s="38">
        <f>SUM(B52:B53)</f>
        <v>5832.6799999999976</v>
      </c>
      <c r="C51" s="38">
        <f t="shared" ref="C51:G51" si="18">SUM(C52:C53)</f>
        <v>31.54</v>
      </c>
      <c r="D51" s="38">
        <f t="shared" si="18"/>
        <v>4336.0200000000032</v>
      </c>
      <c r="E51" s="38">
        <f t="shared" si="18"/>
        <v>5864.2199999999975</v>
      </c>
      <c r="F51" s="38">
        <f t="shared" si="18"/>
        <v>5171</v>
      </c>
      <c r="G51" s="38">
        <f t="shared" si="18"/>
        <v>5828</v>
      </c>
      <c r="H51" s="295">
        <f t="shared" si="15"/>
        <v>0.83852639721523947</v>
      </c>
      <c r="I51" s="295">
        <f t="shared" si="16"/>
        <v>1.0062148249828411</v>
      </c>
      <c r="J51" s="21">
        <f t="shared" si="9"/>
        <v>1528.1999999999944</v>
      </c>
      <c r="K51" s="35">
        <f t="shared" si="17"/>
        <v>0.35244302378678904</v>
      </c>
    </row>
    <row r="52" spans="1:11" x14ac:dyDescent="0.35">
      <c r="A52" s="6" t="s">
        <v>55</v>
      </c>
      <c r="B52" s="13">
        <v>5264.5699999999979</v>
      </c>
      <c r="C52" s="12">
        <v>16.63</v>
      </c>
      <c r="D52" s="12">
        <v>3927.8300000000031</v>
      </c>
      <c r="E52" s="12">
        <f t="shared" si="10"/>
        <v>5281.199999999998</v>
      </c>
      <c r="F52" s="13">
        <v>4671</v>
      </c>
      <c r="G52" s="13">
        <v>5037</v>
      </c>
      <c r="H52" s="22">
        <f t="shared" si="15"/>
        <v>0.84089702419182255</v>
      </c>
      <c r="I52" s="22">
        <f t="shared" si="16"/>
        <v>1.0484812388326381</v>
      </c>
      <c r="J52" s="12">
        <f t="shared" si="9"/>
        <v>1353.3699999999949</v>
      </c>
      <c r="K52" s="48">
        <f t="shared" si="17"/>
        <v>0.34455920953808938</v>
      </c>
    </row>
    <row r="53" spans="1:11" x14ac:dyDescent="0.35">
      <c r="A53" s="6" t="s">
        <v>56</v>
      </c>
      <c r="B53" s="13">
        <v>568.11</v>
      </c>
      <c r="C53" s="12">
        <v>14.91</v>
      </c>
      <c r="D53" s="12">
        <v>408.18999999999988</v>
      </c>
      <c r="E53" s="12">
        <f t="shared" si="10"/>
        <v>583.02</v>
      </c>
      <c r="F53" s="13">
        <v>500</v>
      </c>
      <c r="G53" s="13">
        <v>791</v>
      </c>
      <c r="H53" s="22">
        <f t="shared" si="15"/>
        <v>0.81637999999999977</v>
      </c>
      <c r="I53" s="22">
        <f t="shared" si="16"/>
        <v>0.73706700379266754</v>
      </c>
      <c r="J53" s="12">
        <f t="shared" si="9"/>
        <v>174.8300000000001</v>
      </c>
      <c r="K53" s="48">
        <f t="shared" si="17"/>
        <v>0.42830544599328779</v>
      </c>
    </row>
    <row r="54" spans="1:11" x14ac:dyDescent="0.35">
      <c r="A54" s="4" t="s">
        <v>18</v>
      </c>
      <c r="B54" s="38">
        <v>1854.1599999999994</v>
      </c>
      <c r="C54" s="153">
        <v>8062.2899000000298</v>
      </c>
      <c r="D54" s="153">
        <v>10293.19</v>
      </c>
      <c r="E54" s="21">
        <f t="shared" si="10"/>
        <v>9916.4499000000287</v>
      </c>
      <c r="F54" s="37">
        <v>23717</v>
      </c>
      <c r="G54" s="37">
        <v>23702</v>
      </c>
      <c r="H54" s="295">
        <f t="shared" si="15"/>
        <v>0.43400050596618461</v>
      </c>
      <c r="I54" s="295">
        <f t="shared" si="16"/>
        <v>0.41838030124040287</v>
      </c>
      <c r="J54" s="21">
        <f t="shared" si="9"/>
        <v>-376.74009999997179</v>
      </c>
      <c r="K54" s="35">
        <f t="shared" si="17"/>
        <v>-3.6600907978961983E-2</v>
      </c>
    </row>
    <row r="55" spans="1:11" x14ac:dyDescent="0.35">
      <c r="A55" s="6" t="s">
        <v>18</v>
      </c>
      <c r="B55" s="13">
        <v>1854.1599999999994</v>
      </c>
      <c r="C55" s="12">
        <v>8062.2899000000298</v>
      </c>
      <c r="D55" s="12">
        <v>10293.19</v>
      </c>
      <c r="E55" s="12">
        <f t="shared" si="10"/>
        <v>9916.4499000000287</v>
      </c>
      <c r="F55" s="13">
        <v>23717</v>
      </c>
      <c r="G55" s="13">
        <v>23702</v>
      </c>
      <c r="H55" s="22">
        <f t="shared" si="15"/>
        <v>0.43400050596618461</v>
      </c>
      <c r="I55" s="22">
        <f t="shared" si="16"/>
        <v>0.41838030124040287</v>
      </c>
      <c r="J55" s="12">
        <f t="shared" si="9"/>
        <v>-376.74009999997179</v>
      </c>
      <c r="K55" s="48">
        <f t="shared" si="17"/>
        <v>-3.6600907978961983E-2</v>
      </c>
    </row>
    <row r="56" spans="1:11" x14ac:dyDescent="0.35">
      <c r="A56" s="4" t="s">
        <v>19</v>
      </c>
      <c r="B56" s="168">
        <v>0</v>
      </c>
      <c r="C56" s="167"/>
      <c r="D56" s="167">
        <v>0</v>
      </c>
      <c r="E56" s="21">
        <f t="shared" si="10"/>
        <v>0</v>
      </c>
      <c r="F56" s="37">
        <v>183</v>
      </c>
      <c r="G56" s="37">
        <v>179</v>
      </c>
      <c r="H56" s="295">
        <f t="shared" si="15"/>
        <v>0</v>
      </c>
      <c r="I56" s="295">
        <f t="shared" si="16"/>
        <v>0</v>
      </c>
      <c r="J56" s="21">
        <f t="shared" si="9"/>
        <v>0</v>
      </c>
      <c r="K56" s="35" t="str">
        <f t="shared" si="17"/>
        <v/>
      </c>
    </row>
    <row r="57" spans="1:11" x14ac:dyDescent="0.35">
      <c r="A57" s="7" t="s">
        <v>57</v>
      </c>
      <c r="B57" s="13">
        <v>0</v>
      </c>
      <c r="C57" s="12"/>
      <c r="D57" s="12">
        <v>0</v>
      </c>
      <c r="E57" s="12">
        <f t="shared" si="10"/>
        <v>0</v>
      </c>
      <c r="F57" s="13">
        <v>45</v>
      </c>
      <c r="G57" s="13">
        <v>45</v>
      </c>
      <c r="H57" s="22">
        <f t="shared" si="15"/>
        <v>0</v>
      </c>
      <c r="I57" s="22">
        <f t="shared" si="16"/>
        <v>0</v>
      </c>
      <c r="J57" s="12">
        <f t="shared" si="9"/>
        <v>0</v>
      </c>
      <c r="K57" s="48" t="str">
        <f t="shared" si="17"/>
        <v/>
      </c>
    </row>
    <row r="58" spans="1:11" x14ac:dyDescent="0.35">
      <c r="A58" s="7" t="s">
        <v>58</v>
      </c>
      <c r="B58" s="13">
        <v>0</v>
      </c>
      <c r="C58" s="12"/>
      <c r="D58" s="12">
        <v>0</v>
      </c>
      <c r="E58" s="12">
        <f t="shared" si="10"/>
        <v>0</v>
      </c>
      <c r="F58" s="13">
        <v>138</v>
      </c>
      <c r="G58" s="13">
        <v>134</v>
      </c>
      <c r="H58" s="22">
        <f t="shared" si="15"/>
        <v>0</v>
      </c>
      <c r="I58" s="22">
        <f t="shared" si="16"/>
        <v>0</v>
      </c>
      <c r="J58" s="12">
        <f t="shared" si="9"/>
        <v>0</v>
      </c>
      <c r="K58" s="48" t="str">
        <f t="shared" si="17"/>
        <v/>
      </c>
    </row>
    <row r="59" spans="1:11" x14ac:dyDescent="0.35">
      <c r="A59" s="4" t="s">
        <v>20</v>
      </c>
      <c r="B59" s="37">
        <v>5345.1399999999994</v>
      </c>
      <c r="C59" s="152">
        <v>0</v>
      </c>
      <c r="D59" s="152">
        <v>5332.72</v>
      </c>
      <c r="E59" s="21">
        <f t="shared" si="10"/>
        <v>5345.1399999999994</v>
      </c>
      <c r="F59" s="37">
        <v>8924</v>
      </c>
      <c r="G59" s="37">
        <v>8752</v>
      </c>
      <c r="H59" s="295">
        <f t="shared" si="15"/>
        <v>0.59757059614522634</v>
      </c>
      <c r="I59" s="295">
        <f t="shared" si="16"/>
        <v>0.61073354661791579</v>
      </c>
      <c r="J59" s="21">
        <f t="shared" si="9"/>
        <v>12.419999999999163</v>
      </c>
      <c r="K59" s="35">
        <f t="shared" si="17"/>
        <v>2.3290178370511949E-3</v>
      </c>
    </row>
    <row r="60" spans="1:11" x14ac:dyDescent="0.35">
      <c r="A60" s="6" t="s">
        <v>20</v>
      </c>
      <c r="B60" s="13">
        <v>5345.1399999999994</v>
      </c>
      <c r="C60" s="12">
        <v>0</v>
      </c>
      <c r="D60" s="12">
        <v>5332.720000000003</v>
      </c>
      <c r="E60" s="12">
        <f t="shared" si="10"/>
        <v>5345.1399999999994</v>
      </c>
      <c r="F60" s="13">
        <v>8924</v>
      </c>
      <c r="G60" s="13">
        <v>8752</v>
      </c>
      <c r="H60" s="22">
        <f t="shared" si="15"/>
        <v>0.59757059614522667</v>
      </c>
      <c r="I60" s="22">
        <f t="shared" si="16"/>
        <v>0.61073354661791579</v>
      </c>
      <c r="J60" s="12">
        <f t="shared" si="9"/>
        <v>12.419999999996435</v>
      </c>
      <c r="K60" s="48">
        <f t="shared" si="17"/>
        <v>2.3290178370505288E-3</v>
      </c>
    </row>
    <row r="61" spans="1:11" x14ac:dyDescent="0.35">
      <c r="A61" s="4" t="s">
        <v>21</v>
      </c>
      <c r="B61" s="38">
        <v>372.34000000000003</v>
      </c>
      <c r="C61" s="153">
        <v>6.22</v>
      </c>
      <c r="D61" s="153">
        <v>307.12000000000006</v>
      </c>
      <c r="E61" s="21">
        <f t="shared" si="10"/>
        <v>378.56000000000006</v>
      </c>
      <c r="F61" s="37">
        <v>650</v>
      </c>
      <c r="G61" s="37">
        <v>1427</v>
      </c>
      <c r="H61" s="295">
        <f t="shared" si="15"/>
        <v>0.47249230769230777</v>
      </c>
      <c r="I61" s="295">
        <f t="shared" si="16"/>
        <v>0.26528381219341279</v>
      </c>
      <c r="J61" s="21">
        <f t="shared" si="9"/>
        <v>71.44</v>
      </c>
      <c r="K61" s="35">
        <f t="shared" si="17"/>
        <v>0.23261265954675681</v>
      </c>
    </row>
    <row r="62" spans="1:11" x14ac:dyDescent="0.35">
      <c r="A62" s="6" t="s">
        <v>21</v>
      </c>
      <c r="B62" s="13">
        <v>372.34000000000003</v>
      </c>
      <c r="C62" s="12">
        <v>6.22</v>
      </c>
      <c r="D62" s="12">
        <v>307.12000000000006</v>
      </c>
      <c r="E62" s="12">
        <f t="shared" si="10"/>
        <v>378.56000000000006</v>
      </c>
      <c r="F62" s="13">
        <v>650</v>
      </c>
      <c r="G62" s="13">
        <v>1427</v>
      </c>
      <c r="H62" s="22">
        <f t="shared" si="15"/>
        <v>0.47249230769230777</v>
      </c>
      <c r="I62" s="22">
        <f t="shared" si="16"/>
        <v>0.26528381219341279</v>
      </c>
      <c r="J62" s="12">
        <f t="shared" si="9"/>
        <v>71.44</v>
      </c>
      <c r="K62" s="48">
        <f t="shared" si="17"/>
        <v>0.23261265954675681</v>
      </c>
    </row>
    <row r="63" spans="1:11" x14ac:dyDescent="0.35">
      <c r="A63" s="4" t="s">
        <v>22</v>
      </c>
      <c r="B63" s="38">
        <v>74138.170000000056</v>
      </c>
      <c r="C63" s="153">
        <v>2.2400000000000002</v>
      </c>
      <c r="D63" s="153">
        <v>72679.179999999964</v>
      </c>
      <c r="E63" s="21">
        <f t="shared" si="10"/>
        <v>74140.410000000062</v>
      </c>
      <c r="F63" s="37">
        <v>74126</v>
      </c>
      <c r="G63" s="37">
        <v>75304</v>
      </c>
      <c r="H63" s="295">
        <f t="shared" si="15"/>
        <v>0.98048161238971432</v>
      </c>
      <c r="I63" s="295">
        <f t="shared" si="16"/>
        <v>0.98454809837458912</v>
      </c>
      <c r="J63" s="21">
        <f t="shared" si="9"/>
        <v>1461.2300000000978</v>
      </c>
      <c r="K63" s="35">
        <f t="shared" si="17"/>
        <v>2.0105207571137873E-2</v>
      </c>
    </row>
    <row r="64" spans="1:11" x14ac:dyDescent="0.35">
      <c r="A64" s="6" t="s">
        <v>22</v>
      </c>
      <c r="B64" s="13">
        <v>74138.170000000056</v>
      </c>
      <c r="C64" s="12">
        <v>2.2400000000000002</v>
      </c>
      <c r="D64" s="12">
        <v>72791.070000000022</v>
      </c>
      <c r="E64" s="12">
        <f t="shared" si="10"/>
        <v>74140.410000000062</v>
      </c>
      <c r="F64" s="13">
        <v>74126</v>
      </c>
      <c r="G64" s="13">
        <v>75304</v>
      </c>
      <c r="H64" s="22">
        <f t="shared" si="15"/>
        <v>0.98199106926044877</v>
      </c>
      <c r="I64" s="22">
        <f t="shared" si="16"/>
        <v>0.98454809837458912</v>
      </c>
      <c r="J64" s="12">
        <f t="shared" si="9"/>
        <v>1349.3400000000402</v>
      </c>
      <c r="K64" s="48">
        <f t="shared" si="17"/>
        <v>1.8537163968053161E-2</v>
      </c>
    </row>
    <row r="65" spans="1:22" x14ac:dyDescent="0.35">
      <c r="A65" s="4" t="s">
        <v>23</v>
      </c>
      <c r="B65" s="37">
        <v>1331.1599999999999</v>
      </c>
      <c r="C65" s="152">
        <v>7.1394000000000002</v>
      </c>
      <c r="D65" s="152">
        <v>1335.4099999999989</v>
      </c>
      <c r="E65" s="21">
        <f t="shared" si="10"/>
        <v>1338.2993999999999</v>
      </c>
      <c r="F65" s="37">
        <v>2159</v>
      </c>
      <c r="G65" s="37">
        <v>2121</v>
      </c>
      <c r="H65" s="295">
        <f t="shared" si="15"/>
        <v>0.61853172765169007</v>
      </c>
      <c r="I65" s="295">
        <f t="shared" si="16"/>
        <v>0.63097567185289949</v>
      </c>
      <c r="J65" s="21">
        <f t="shared" si="9"/>
        <v>2.8894000000009328</v>
      </c>
      <c r="K65" s="35">
        <f t="shared" si="17"/>
        <v>2.1636800682942603E-3</v>
      </c>
    </row>
    <row r="66" spans="1:22" x14ac:dyDescent="0.35">
      <c r="A66" s="6" t="s">
        <v>23</v>
      </c>
      <c r="B66" s="13">
        <v>1331.1599999999999</v>
      </c>
      <c r="C66" s="12">
        <v>7.1394000000000002</v>
      </c>
      <c r="D66" s="12">
        <v>1335.4099999999994</v>
      </c>
      <c r="E66" s="12">
        <f t="shared" si="10"/>
        <v>1338.2993999999999</v>
      </c>
      <c r="F66" s="13">
        <v>2159</v>
      </c>
      <c r="G66" s="13">
        <v>2121</v>
      </c>
      <c r="H66" s="22">
        <f t="shared" si="15"/>
        <v>0.61853172765169029</v>
      </c>
      <c r="I66" s="22">
        <f t="shared" si="16"/>
        <v>0.63097567185289949</v>
      </c>
      <c r="J66" s="12">
        <f t="shared" si="9"/>
        <v>2.889400000000478</v>
      </c>
      <c r="K66" s="48">
        <f t="shared" si="17"/>
        <v>2.1636800682940383E-3</v>
      </c>
    </row>
    <row r="67" spans="1:22" x14ac:dyDescent="0.35">
      <c r="A67" s="4" t="s">
        <v>24</v>
      </c>
      <c r="B67" s="38">
        <v>10.459999999999999</v>
      </c>
      <c r="C67" s="153"/>
      <c r="D67" s="153">
        <v>11.740000000000002</v>
      </c>
      <c r="E67" s="21">
        <f t="shared" si="10"/>
        <v>10.459999999999999</v>
      </c>
      <c r="F67" s="37">
        <v>75</v>
      </c>
      <c r="G67" s="37">
        <v>75</v>
      </c>
      <c r="H67" s="295">
        <f t="shared" si="15"/>
        <v>0.15653333333333336</v>
      </c>
      <c r="I67" s="295">
        <f t="shared" si="16"/>
        <v>0.13946666666666666</v>
      </c>
      <c r="J67" s="21">
        <f t="shared" si="9"/>
        <v>-1.2800000000000029</v>
      </c>
      <c r="K67" s="35">
        <f t="shared" si="17"/>
        <v>-0.1090289608177174</v>
      </c>
    </row>
    <row r="68" spans="1:22" x14ac:dyDescent="0.35">
      <c r="A68" s="6" t="s">
        <v>59</v>
      </c>
      <c r="B68" s="13">
        <v>10.459999999999999</v>
      </c>
      <c r="C68" s="12"/>
      <c r="D68" s="12">
        <v>11.74</v>
      </c>
      <c r="E68" s="12">
        <f t="shared" si="10"/>
        <v>10.459999999999999</v>
      </c>
      <c r="F68" s="13">
        <v>75</v>
      </c>
      <c r="G68" s="13">
        <v>75</v>
      </c>
      <c r="H68" s="22">
        <f t="shared" si="15"/>
        <v>0.15653333333333333</v>
      </c>
      <c r="I68" s="22">
        <f t="shared" si="16"/>
        <v>0.13946666666666666</v>
      </c>
      <c r="J68" s="12">
        <f t="shared" si="9"/>
        <v>-1.2800000000000011</v>
      </c>
      <c r="K68" s="48">
        <f t="shared" si="17"/>
        <v>-0.10902896081771729</v>
      </c>
    </row>
    <row r="69" spans="1:22" x14ac:dyDescent="0.35">
      <c r="A69" s="40" t="s">
        <v>25</v>
      </c>
      <c r="B69" s="170">
        <f>SUM(B13,B22,B26,B30,B35,B41,B51,B54,B56,B59,B61,B63,B65,B67)</f>
        <v>500731.77000000031</v>
      </c>
      <c r="C69" s="169">
        <f>SUM(C65,C63,C61,C59,C54,C51,C35,C30,C26,C22,C13)</f>
        <v>10731.439200000028</v>
      </c>
      <c r="D69" s="169">
        <v>497433.08999999968</v>
      </c>
      <c r="E69" s="171">
        <f>SUM(E67,E65,E63,E61,E59,E56,E54,E51,E41,E35,E30,E26,E22,E13)</f>
        <v>511463.20920000027</v>
      </c>
      <c r="F69" s="171">
        <f>SUM(F67,F65,F63,F61,F59,F56,F54,F51,F41,F35,F30,F26,F22,F13)</f>
        <v>600338</v>
      </c>
      <c r="G69" s="171">
        <f>SUM(G67,G65,G63,G61,G59,G56,G54,G51,G41,G35,G30,G26,G22,G13)</f>
        <v>611943</v>
      </c>
      <c r="H69" s="296">
        <f t="shared" si="15"/>
        <v>0.82858837854675149</v>
      </c>
      <c r="I69" s="296">
        <f t="shared" si="16"/>
        <v>0.83580204234708178</v>
      </c>
      <c r="J69" s="31">
        <f t="shared" si="9"/>
        <v>14030.119200000598</v>
      </c>
      <c r="K69" s="418">
        <f t="shared" si="17"/>
        <v>2.8205037988125348E-2</v>
      </c>
      <c r="L69" s="110"/>
    </row>
    <row r="70" spans="1:22" x14ac:dyDescent="0.35">
      <c r="J70" s="141"/>
      <c r="K70" s="141"/>
      <c r="L70" s="141"/>
    </row>
    <row r="71" spans="1:22" x14ac:dyDescent="0.35">
      <c r="H71" s="9"/>
    </row>
    <row r="73" spans="1:22" ht="15" x14ac:dyDescent="0.35">
      <c r="A73" s="284" t="s">
        <v>60</v>
      </c>
      <c r="B73" s="284"/>
      <c r="C73" s="284"/>
      <c r="D73" s="284"/>
      <c r="E73" s="284"/>
      <c r="F73" s="284"/>
      <c r="G73" s="284"/>
    </row>
    <row r="74" spans="1:22" ht="18.5" x14ac:dyDescent="0.35">
      <c r="A74" s="276" t="s">
        <v>212</v>
      </c>
      <c r="B74" s="276"/>
      <c r="C74" s="276"/>
      <c r="D74" s="276"/>
      <c r="E74" s="276"/>
      <c r="F74" s="276"/>
      <c r="G74" s="276"/>
      <c r="H74" s="220"/>
      <c r="I74" s="221"/>
      <c r="J74" s="220"/>
      <c r="K74" s="220"/>
      <c r="L74" s="220"/>
      <c r="M74" s="220"/>
    </row>
    <row r="75" spans="1:22" x14ac:dyDescent="0.35">
      <c r="M75" s="347" t="s">
        <v>225</v>
      </c>
      <c r="N75" s="345"/>
    </row>
    <row r="76" spans="1:22" ht="43" customHeight="1" x14ac:dyDescent="0.35">
      <c r="A76" s="675" t="s">
        <v>0</v>
      </c>
      <c r="B76" s="159" t="s">
        <v>1</v>
      </c>
      <c r="C76" s="298" t="s">
        <v>101</v>
      </c>
      <c r="D76" s="684" t="s">
        <v>1</v>
      </c>
      <c r="E76" s="685"/>
      <c r="F76" s="674" t="s">
        <v>217</v>
      </c>
      <c r="G76" s="674"/>
      <c r="H76" s="682" t="s">
        <v>218</v>
      </c>
      <c r="I76" s="682"/>
      <c r="J76" s="674" t="s">
        <v>2</v>
      </c>
      <c r="K76" s="674"/>
      <c r="N76" s="442" t="s">
        <v>228</v>
      </c>
      <c r="O76" s="442" t="s">
        <v>229</v>
      </c>
      <c r="P76" s="442" t="s">
        <v>282</v>
      </c>
      <c r="Q76" s="452" t="s">
        <v>285</v>
      </c>
      <c r="T76" s="331" t="s">
        <v>226</v>
      </c>
      <c r="U76" s="331" t="s">
        <v>228</v>
      </c>
      <c r="V76" s="348" t="s">
        <v>247</v>
      </c>
    </row>
    <row r="77" spans="1:22" ht="15" customHeight="1" x14ac:dyDescent="0.35">
      <c r="A77" s="676"/>
      <c r="B77" s="160">
        <v>2021</v>
      </c>
      <c r="C77" s="160">
        <v>2021</v>
      </c>
      <c r="D77" s="160">
        <v>2020</v>
      </c>
      <c r="E77" s="160">
        <v>2021</v>
      </c>
      <c r="F77" s="224">
        <v>2020</v>
      </c>
      <c r="G77" s="224">
        <v>2021</v>
      </c>
      <c r="H77" s="224">
        <v>2020</v>
      </c>
      <c r="I77" s="224">
        <v>2021</v>
      </c>
      <c r="J77" s="160" t="s">
        <v>3</v>
      </c>
      <c r="K77" s="160" t="s">
        <v>4</v>
      </c>
      <c r="M77" s="350" t="s">
        <v>5</v>
      </c>
      <c r="N77" s="141">
        <f>E78</f>
        <v>31217.0419</v>
      </c>
      <c r="O77" s="141">
        <f>G78</f>
        <v>34456</v>
      </c>
      <c r="P77" s="318">
        <f>N77/O77</f>
        <v>0.90599726898072908</v>
      </c>
      <c r="Q77" s="450">
        <f>H78</f>
        <v>0.85863691361012207</v>
      </c>
      <c r="S77" s="350" t="s">
        <v>5</v>
      </c>
      <c r="T77" s="141">
        <v>24837.79</v>
      </c>
      <c r="U77" s="141">
        <v>31217.0419</v>
      </c>
      <c r="V77" s="354">
        <f>U77/T77-1</f>
        <v>0.25683653416829744</v>
      </c>
    </row>
    <row r="78" spans="1:22" x14ac:dyDescent="0.35">
      <c r="A78" s="11" t="s">
        <v>5</v>
      </c>
      <c r="B78" s="154">
        <f>SUM(B79:B86)</f>
        <v>31191</v>
      </c>
      <c r="C78" s="154">
        <f>SUM(C79:C86)</f>
        <v>26.041900000000002</v>
      </c>
      <c r="D78" s="154">
        <v>24837.79</v>
      </c>
      <c r="E78" s="154">
        <f>SUM(B78+C78)</f>
        <v>31217.0419</v>
      </c>
      <c r="F78" s="14">
        <v>28927</v>
      </c>
      <c r="G78" s="14">
        <v>34456</v>
      </c>
      <c r="H78" s="297">
        <f t="shared" ref="H78:H109" si="19">IFERROR(D78/F78,"")</f>
        <v>0.85863691361012207</v>
      </c>
      <c r="I78" s="297">
        <f t="shared" ref="I78:I109" si="20">IFERROR(E78/G78,"")</f>
        <v>0.90599726898072908</v>
      </c>
      <c r="J78" s="28">
        <f t="shared" ref="J78" si="21">IFERROR(E78-D78,"")</f>
        <v>6379.2518999999993</v>
      </c>
      <c r="K78" s="439">
        <f t="shared" ref="K78:K109" si="22">IFERROR((E78/D78)-1,"")</f>
        <v>0.25683653416829744</v>
      </c>
      <c r="M78" s="350" t="s">
        <v>15</v>
      </c>
      <c r="N78" s="141">
        <f>E100</f>
        <v>21648.27</v>
      </c>
      <c r="O78" s="141">
        <f>G100</f>
        <v>26467</v>
      </c>
      <c r="P78" s="318">
        <f t="shared" ref="P78:P82" si="23">N78/O78</f>
        <v>0.81793440888653801</v>
      </c>
      <c r="Q78" s="450">
        <f>H100</f>
        <v>0.81551299062620419</v>
      </c>
      <c r="S78" s="350" t="s">
        <v>15</v>
      </c>
      <c r="T78" s="141">
        <v>19052.830000000009</v>
      </c>
      <c r="U78" s="141">
        <v>21648.27</v>
      </c>
      <c r="V78" s="354">
        <f t="shared" ref="V78:V82" si="24">U78/T78-1</f>
        <v>0.13622333270175568</v>
      </c>
    </row>
    <row r="79" spans="1:22" x14ac:dyDescent="0.35">
      <c r="A79" s="15" t="s">
        <v>6</v>
      </c>
      <c r="B79" s="20">
        <v>1052.3099999999997</v>
      </c>
      <c r="C79" s="25">
        <v>1.68</v>
      </c>
      <c r="D79" s="25">
        <v>962.81000000000063</v>
      </c>
      <c r="E79" s="25">
        <f>SUM(B79+C79)</f>
        <v>1053.9899999999998</v>
      </c>
      <c r="F79" s="25">
        <v>2031</v>
      </c>
      <c r="G79" s="25">
        <v>2013</v>
      </c>
      <c r="H79" s="22">
        <f t="shared" si="19"/>
        <v>0.47405711472181222</v>
      </c>
      <c r="I79" s="22">
        <f t="shared" si="20"/>
        <v>0.52359165424739185</v>
      </c>
      <c r="J79" s="12">
        <f>IFERROR(E79-D79,"")</f>
        <v>91.179999999999154</v>
      </c>
      <c r="K79" s="48">
        <f t="shared" si="22"/>
        <v>9.4701966120001924E-2</v>
      </c>
      <c r="M79" s="350" t="s">
        <v>12</v>
      </c>
      <c r="N79" s="346">
        <f>E87</f>
        <v>21715.670000000002</v>
      </c>
      <c r="O79" s="346">
        <f>G87</f>
        <v>22544</v>
      </c>
      <c r="P79" s="318">
        <f t="shared" si="23"/>
        <v>0.96325718594748055</v>
      </c>
      <c r="Q79" s="450">
        <f>H87</f>
        <v>0.93386634372991939</v>
      </c>
      <c r="S79" s="350" t="s">
        <v>12</v>
      </c>
      <c r="T79" s="346">
        <v>18893.05</v>
      </c>
      <c r="U79" s="346">
        <v>21715.670000000002</v>
      </c>
      <c r="V79" s="354">
        <f t="shared" si="24"/>
        <v>0.14939991160770782</v>
      </c>
    </row>
    <row r="80" spans="1:22" x14ac:dyDescent="0.35">
      <c r="A80" s="16" t="s">
        <v>7</v>
      </c>
      <c r="B80" s="20">
        <v>811.49000000000012</v>
      </c>
      <c r="C80" s="25"/>
      <c r="D80" s="25">
        <v>643.0200000000001</v>
      </c>
      <c r="E80" s="25">
        <f t="shared" ref="E80:E131" si="25">SUM(B80+C80)</f>
        <v>811.49000000000012</v>
      </c>
      <c r="F80" s="25">
        <v>685</v>
      </c>
      <c r="G80" s="25">
        <v>812</v>
      </c>
      <c r="H80" s="22">
        <f t="shared" si="19"/>
        <v>0.93871532846715344</v>
      </c>
      <c r="I80" s="22">
        <f t="shared" si="20"/>
        <v>0.99937192118226614</v>
      </c>
      <c r="J80" s="12">
        <f t="shared" ref="J80:J122" si="26">IFERROR(E80-D80,"")</f>
        <v>168.47000000000003</v>
      </c>
      <c r="K80" s="48">
        <f t="shared" si="22"/>
        <v>0.26199807159963928</v>
      </c>
      <c r="M80" s="350" t="s">
        <v>14</v>
      </c>
      <c r="N80" s="141">
        <f>E95</f>
        <v>11402.1</v>
      </c>
      <c r="O80" s="141">
        <f>G95</f>
        <v>12727</v>
      </c>
      <c r="P80" s="318">
        <f t="shared" si="23"/>
        <v>0.89589848353893298</v>
      </c>
      <c r="Q80" s="450">
        <f>H95</f>
        <v>1.0039860393436677</v>
      </c>
      <c r="S80" s="350" t="s">
        <v>14</v>
      </c>
      <c r="T80" s="141">
        <v>11074.97</v>
      </c>
      <c r="U80" s="141">
        <v>11402.1</v>
      </c>
      <c r="V80" s="354">
        <f t="shared" si="24"/>
        <v>2.9537777528968467E-2</v>
      </c>
    </row>
    <row r="81" spans="1:22" x14ac:dyDescent="0.35">
      <c r="A81" s="16" t="s">
        <v>8</v>
      </c>
      <c r="B81" s="20">
        <v>7678.66</v>
      </c>
      <c r="C81" s="25">
        <v>4.2699999999999996</v>
      </c>
      <c r="D81" s="25">
        <v>5783.8300000000027</v>
      </c>
      <c r="E81" s="25">
        <f t="shared" si="25"/>
        <v>7682.93</v>
      </c>
      <c r="F81" s="25">
        <v>5967</v>
      </c>
      <c r="G81" s="25">
        <v>7678</v>
      </c>
      <c r="H81" s="22">
        <f t="shared" si="19"/>
        <v>0.96930283224400915</v>
      </c>
      <c r="I81" s="22">
        <f t="shared" si="20"/>
        <v>1.0006420942953895</v>
      </c>
      <c r="J81" s="12">
        <f t="shared" si="26"/>
        <v>1899.0999999999976</v>
      </c>
      <c r="K81" s="48">
        <f t="shared" si="22"/>
        <v>0.32834644171768468</v>
      </c>
      <c r="M81" s="350" t="s">
        <v>13</v>
      </c>
      <c r="N81" s="141">
        <f>E91</f>
        <v>9095.32</v>
      </c>
      <c r="O81" s="141">
        <f>G91</f>
        <v>14989</v>
      </c>
      <c r="P81" s="318">
        <f t="shared" si="23"/>
        <v>0.60679965307892447</v>
      </c>
      <c r="Q81" s="450">
        <f>H91</f>
        <v>0.55604904632152552</v>
      </c>
      <c r="S81" s="350" t="s">
        <v>13</v>
      </c>
      <c r="T81" s="141">
        <v>8162.7999999999947</v>
      </c>
      <c r="U81" s="141">
        <v>9095.32</v>
      </c>
      <c r="V81" s="354">
        <f t="shared" si="24"/>
        <v>0.11424021169206711</v>
      </c>
    </row>
    <row r="82" spans="1:22" x14ac:dyDescent="0.35">
      <c r="A82" s="16" t="s">
        <v>26</v>
      </c>
      <c r="B82" s="20">
        <v>7157.0499999999993</v>
      </c>
      <c r="C82" s="25">
        <v>7.48</v>
      </c>
      <c r="D82" s="25">
        <v>6624.6700000000028</v>
      </c>
      <c r="E82" s="25">
        <f t="shared" si="25"/>
        <v>7164.5299999999988</v>
      </c>
      <c r="F82" s="25">
        <v>9160</v>
      </c>
      <c r="G82" s="25">
        <v>9459</v>
      </c>
      <c r="H82" s="22">
        <f t="shared" si="19"/>
        <v>0.72321724890829719</v>
      </c>
      <c r="I82" s="22">
        <f t="shared" si="20"/>
        <v>0.7574299608838142</v>
      </c>
      <c r="J82" s="12">
        <f t="shared" si="26"/>
        <v>539.85999999999603</v>
      </c>
      <c r="K82" s="48">
        <f t="shared" si="22"/>
        <v>8.1492361128931101E-2</v>
      </c>
      <c r="M82" s="350" t="s">
        <v>22</v>
      </c>
      <c r="N82" s="141">
        <f>E128</f>
        <v>6974.1200000000008</v>
      </c>
      <c r="O82" s="141">
        <f>G128</f>
        <v>7402</v>
      </c>
      <c r="P82" s="318">
        <f t="shared" si="23"/>
        <v>0.94219400162118361</v>
      </c>
      <c r="Q82" s="450">
        <f>H128</f>
        <v>0.96614301961899285</v>
      </c>
      <c r="S82" s="350" t="s">
        <v>22</v>
      </c>
      <c r="T82" s="141">
        <v>6795.8499999999958</v>
      </c>
      <c r="U82" s="141">
        <v>6974.1200000000008</v>
      </c>
      <c r="V82" s="354">
        <f t="shared" si="24"/>
        <v>2.6232185819287546E-2</v>
      </c>
    </row>
    <row r="83" spans="1:22" x14ac:dyDescent="0.35">
      <c r="A83" s="16" t="s">
        <v>27</v>
      </c>
      <c r="B83" s="20">
        <v>751.22</v>
      </c>
      <c r="C83" s="25"/>
      <c r="D83" s="25">
        <v>578.96999999999991</v>
      </c>
      <c r="E83" s="25">
        <f t="shared" si="25"/>
        <v>751.22</v>
      </c>
      <c r="F83" s="25">
        <v>596</v>
      </c>
      <c r="G83" s="25">
        <v>751</v>
      </c>
      <c r="H83" s="22">
        <f t="shared" si="19"/>
        <v>0.97142617449664415</v>
      </c>
      <c r="I83" s="22">
        <f t="shared" si="20"/>
        <v>1.0002929427430094</v>
      </c>
      <c r="J83" s="12">
        <f t="shared" si="26"/>
        <v>172.25000000000011</v>
      </c>
      <c r="K83" s="48">
        <f t="shared" si="22"/>
        <v>0.29751109729346958</v>
      </c>
    </row>
    <row r="84" spans="1:22" x14ac:dyDescent="0.35">
      <c r="A84" s="16" t="s">
        <v>28</v>
      </c>
      <c r="B84" s="20">
        <v>1899.5899999999997</v>
      </c>
      <c r="C84" s="25">
        <v>6.91</v>
      </c>
      <c r="D84" s="25">
        <v>1321.6500000000003</v>
      </c>
      <c r="E84" s="25">
        <f t="shared" si="25"/>
        <v>1906.4999999999998</v>
      </c>
      <c r="F84" s="25">
        <v>1351</v>
      </c>
      <c r="G84" s="25">
        <v>1943</v>
      </c>
      <c r="H84" s="22">
        <f t="shared" si="19"/>
        <v>0.97827535159141399</v>
      </c>
      <c r="I84" s="22">
        <f t="shared" si="20"/>
        <v>0.98121461657231079</v>
      </c>
      <c r="J84" s="12">
        <f t="shared" si="26"/>
        <v>584.84999999999945</v>
      </c>
      <c r="K84" s="48">
        <f t="shared" si="22"/>
        <v>0.4425150380206555</v>
      </c>
    </row>
    <row r="85" spans="1:22" x14ac:dyDescent="0.35">
      <c r="A85" s="16" t="s">
        <v>29</v>
      </c>
      <c r="B85" s="20">
        <v>385.97999999999996</v>
      </c>
      <c r="C85" s="25">
        <v>3.3519000000000001</v>
      </c>
      <c r="D85" s="25">
        <v>247.42000000000004</v>
      </c>
      <c r="E85" s="25">
        <f t="shared" si="25"/>
        <v>389.33189999999996</v>
      </c>
      <c r="F85" s="25">
        <v>371</v>
      </c>
      <c r="G85" s="25">
        <v>461</v>
      </c>
      <c r="H85" s="22">
        <f t="shared" si="19"/>
        <v>0.66690026954177906</v>
      </c>
      <c r="I85" s="22">
        <f t="shared" si="20"/>
        <v>0.84453774403470705</v>
      </c>
      <c r="J85" s="12">
        <f t="shared" si="26"/>
        <v>141.91189999999992</v>
      </c>
      <c r="K85" s="48">
        <f t="shared" si="22"/>
        <v>0.57356680947376892</v>
      </c>
    </row>
    <row r="86" spans="1:22" x14ac:dyDescent="0.35">
      <c r="A86" s="16" t="s">
        <v>30</v>
      </c>
      <c r="B86" s="20">
        <v>11454.700000000003</v>
      </c>
      <c r="C86" s="25">
        <v>2.35</v>
      </c>
      <c r="D86" s="165">
        <v>8675.4199999999983</v>
      </c>
      <c r="E86" s="166">
        <f t="shared" si="25"/>
        <v>11457.050000000003</v>
      </c>
      <c r="F86" s="25">
        <v>8766</v>
      </c>
      <c r="G86" s="25">
        <v>11339</v>
      </c>
      <c r="H86" s="22">
        <f t="shared" si="19"/>
        <v>0.98966689482089876</v>
      </c>
      <c r="I86" s="22">
        <f t="shared" si="20"/>
        <v>1.0104109709850959</v>
      </c>
      <c r="J86" s="12">
        <f t="shared" si="26"/>
        <v>2781.6300000000047</v>
      </c>
      <c r="K86" s="48">
        <f t="shared" si="22"/>
        <v>0.32063346788973957</v>
      </c>
    </row>
    <row r="87" spans="1:22" x14ac:dyDescent="0.35">
      <c r="A87" s="11" t="s">
        <v>12</v>
      </c>
      <c r="B87" s="18">
        <f>SUM(B88:B90)</f>
        <v>21715.670000000002</v>
      </c>
      <c r="C87" s="164"/>
      <c r="D87" s="154">
        <v>18893.05</v>
      </c>
      <c r="E87" s="154">
        <f t="shared" si="25"/>
        <v>21715.670000000002</v>
      </c>
      <c r="F87" s="14">
        <v>20231</v>
      </c>
      <c r="G87" s="14">
        <v>22544</v>
      </c>
      <c r="H87" s="297">
        <f t="shared" si="19"/>
        <v>0.93386634372991939</v>
      </c>
      <c r="I87" s="297">
        <f t="shared" si="20"/>
        <v>0.96325718594748055</v>
      </c>
      <c r="J87" s="28">
        <f t="shared" si="26"/>
        <v>2822.6200000000026</v>
      </c>
      <c r="K87" s="162">
        <f t="shared" si="22"/>
        <v>0.14939991160770782</v>
      </c>
    </row>
    <row r="88" spans="1:22" x14ac:dyDescent="0.35">
      <c r="A88" s="6" t="s">
        <v>31</v>
      </c>
      <c r="B88" s="13">
        <v>6928.84</v>
      </c>
      <c r="C88" s="25"/>
      <c r="D88" s="25">
        <v>5777.8399999999983</v>
      </c>
      <c r="E88" s="25">
        <f t="shared" si="25"/>
        <v>6928.84</v>
      </c>
      <c r="F88" s="25">
        <v>6940</v>
      </c>
      <c r="G88" s="25">
        <v>7838</v>
      </c>
      <c r="H88" s="22">
        <f t="shared" si="19"/>
        <v>0.83254178674351564</v>
      </c>
      <c r="I88" s="22">
        <f t="shared" si="20"/>
        <v>0.88400612401122736</v>
      </c>
      <c r="J88" s="12">
        <f t="shared" si="26"/>
        <v>1151.0000000000018</v>
      </c>
      <c r="K88" s="48">
        <f t="shared" si="22"/>
        <v>0.19920939312961283</v>
      </c>
    </row>
    <row r="89" spans="1:22" x14ac:dyDescent="0.35">
      <c r="A89" s="6" t="s">
        <v>32</v>
      </c>
      <c r="B89" s="13">
        <v>1812.6500000000005</v>
      </c>
      <c r="C89" s="25"/>
      <c r="D89" s="25">
        <v>1546.25</v>
      </c>
      <c r="E89" s="25">
        <f t="shared" si="25"/>
        <v>1812.6500000000005</v>
      </c>
      <c r="F89" s="25">
        <v>1774</v>
      </c>
      <c r="G89" s="25">
        <v>1909</v>
      </c>
      <c r="H89" s="22">
        <f t="shared" si="19"/>
        <v>0.87161781285231121</v>
      </c>
      <c r="I89" s="22">
        <f t="shared" si="20"/>
        <v>0.94952854897852312</v>
      </c>
      <c r="J89" s="12">
        <f t="shared" si="26"/>
        <v>266.40000000000055</v>
      </c>
      <c r="K89" s="48">
        <f t="shared" si="22"/>
        <v>0.17228779304769648</v>
      </c>
    </row>
    <row r="90" spans="1:22" x14ac:dyDescent="0.35">
      <c r="A90" s="6" t="s">
        <v>33</v>
      </c>
      <c r="B90" s="13">
        <v>12974.18</v>
      </c>
      <c r="C90" s="25"/>
      <c r="D90" s="25">
        <v>11568.960000000001</v>
      </c>
      <c r="E90" s="25">
        <f t="shared" si="25"/>
        <v>12974.18</v>
      </c>
      <c r="F90" s="25">
        <v>11517</v>
      </c>
      <c r="G90" s="25">
        <v>12797</v>
      </c>
      <c r="H90" s="22">
        <f t="shared" si="19"/>
        <v>1.0045115915603022</v>
      </c>
      <c r="I90" s="22">
        <f t="shared" si="20"/>
        <v>1.0138454325232478</v>
      </c>
      <c r="J90" s="12">
        <f t="shared" si="26"/>
        <v>1405.2199999999993</v>
      </c>
      <c r="K90" s="48">
        <f t="shared" si="22"/>
        <v>0.12146467789671656</v>
      </c>
    </row>
    <row r="91" spans="1:22" x14ac:dyDescent="0.35">
      <c r="A91" s="11" t="s">
        <v>13</v>
      </c>
      <c r="B91" s="14">
        <f>SUM(B92:B94)</f>
        <v>8992.7799999999988</v>
      </c>
      <c r="C91" s="17">
        <f>SUM(C92:C94)</f>
        <v>102.53999999999999</v>
      </c>
      <c r="D91" s="17">
        <v>8162.7999999999947</v>
      </c>
      <c r="E91" s="26">
        <f t="shared" si="25"/>
        <v>9095.32</v>
      </c>
      <c r="F91" s="14">
        <v>14680</v>
      </c>
      <c r="G91" s="14">
        <v>14989</v>
      </c>
      <c r="H91" s="297">
        <f t="shared" si="19"/>
        <v>0.55604904632152552</v>
      </c>
      <c r="I91" s="297">
        <f t="shared" si="20"/>
        <v>0.60679965307892447</v>
      </c>
      <c r="J91" s="28">
        <f t="shared" si="26"/>
        <v>932.52000000000498</v>
      </c>
      <c r="K91" s="162">
        <f t="shared" si="22"/>
        <v>0.11424021169206711</v>
      </c>
    </row>
    <row r="92" spans="1:22" x14ac:dyDescent="0.35">
      <c r="A92" s="6" t="s">
        <v>34</v>
      </c>
      <c r="B92" s="13">
        <v>4893.6000000000004</v>
      </c>
      <c r="C92" s="155">
        <v>41.569800000000001</v>
      </c>
      <c r="D92" s="155">
        <v>4548.4399999999969</v>
      </c>
      <c r="E92" s="25">
        <f t="shared" si="25"/>
        <v>4935.1698000000006</v>
      </c>
      <c r="F92" s="25">
        <v>6851</v>
      </c>
      <c r="G92" s="25">
        <v>6803</v>
      </c>
      <c r="H92" s="22">
        <f t="shared" si="19"/>
        <v>0.66390891840607169</v>
      </c>
      <c r="I92" s="22">
        <f t="shared" si="20"/>
        <v>0.72544021755108046</v>
      </c>
      <c r="J92" s="12">
        <f t="shared" si="26"/>
        <v>386.72980000000371</v>
      </c>
      <c r="K92" s="48">
        <f t="shared" si="22"/>
        <v>8.5024711769310812E-2</v>
      </c>
    </row>
    <row r="93" spans="1:22" x14ac:dyDescent="0.35">
      <c r="A93" s="6" t="s">
        <v>61</v>
      </c>
      <c r="B93" s="13">
        <v>1457.1099999999997</v>
      </c>
      <c r="C93" s="155">
        <v>15.085899999999999</v>
      </c>
      <c r="D93" s="155">
        <v>1280.2300000000005</v>
      </c>
      <c r="E93" s="25">
        <f t="shared" si="25"/>
        <v>1472.1958999999997</v>
      </c>
      <c r="F93" s="25">
        <v>2843</v>
      </c>
      <c r="G93" s="25">
        <v>2850</v>
      </c>
      <c r="H93" s="22">
        <f t="shared" si="19"/>
        <v>0.45030953218431252</v>
      </c>
      <c r="I93" s="22">
        <f t="shared" si="20"/>
        <v>0.51655996491228062</v>
      </c>
      <c r="J93" s="12">
        <f t="shared" si="26"/>
        <v>191.96589999999924</v>
      </c>
      <c r="K93" s="48">
        <f t="shared" si="22"/>
        <v>0.1499464158783963</v>
      </c>
    </row>
    <row r="94" spans="1:22" x14ac:dyDescent="0.35">
      <c r="A94" s="6" t="s">
        <v>36</v>
      </c>
      <c r="B94" s="13">
        <v>2642.0699999999997</v>
      </c>
      <c r="C94" s="155">
        <v>45.884300000000003</v>
      </c>
      <c r="D94" s="155">
        <v>2334.1299999999978</v>
      </c>
      <c r="E94" s="25">
        <f t="shared" si="25"/>
        <v>2687.9542999999999</v>
      </c>
      <c r="F94" s="25">
        <v>4986</v>
      </c>
      <c r="G94" s="25">
        <v>5336</v>
      </c>
      <c r="H94" s="22">
        <f t="shared" si="19"/>
        <v>0.46813678299237821</v>
      </c>
      <c r="I94" s="22">
        <f t="shared" si="20"/>
        <v>0.50373956146926535</v>
      </c>
      <c r="J94" s="12">
        <f t="shared" si="26"/>
        <v>353.82430000000204</v>
      </c>
      <c r="K94" s="48">
        <f t="shared" si="22"/>
        <v>0.15158722950307069</v>
      </c>
    </row>
    <row r="95" spans="1:22" x14ac:dyDescent="0.35">
      <c r="A95" s="11" t="s">
        <v>14</v>
      </c>
      <c r="B95" s="14">
        <f>SUM(B96:B99)</f>
        <v>11402.1</v>
      </c>
      <c r="C95" s="17"/>
      <c r="D95" s="17">
        <v>11074.969999999998</v>
      </c>
      <c r="E95" s="26">
        <f t="shared" si="25"/>
        <v>11402.1</v>
      </c>
      <c r="F95" s="14">
        <v>11031</v>
      </c>
      <c r="G95" s="14">
        <v>12727</v>
      </c>
      <c r="H95" s="297">
        <f t="shared" si="19"/>
        <v>1.0039860393436677</v>
      </c>
      <c r="I95" s="297">
        <f t="shared" si="20"/>
        <v>0.89589848353893298</v>
      </c>
      <c r="J95" s="28">
        <f t="shared" si="26"/>
        <v>327.13000000000284</v>
      </c>
      <c r="K95" s="162">
        <f t="shared" si="22"/>
        <v>2.9537777528968689E-2</v>
      </c>
    </row>
    <row r="96" spans="1:22" x14ac:dyDescent="0.35">
      <c r="A96" s="6" t="s">
        <v>37</v>
      </c>
      <c r="B96" s="13">
        <v>21.19</v>
      </c>
      <c r="C96" s="25"/>
      <c r="D96" s="25">
        <v>17.37</v>
      </c>
      <c r="E96" s="25">
        <f t="shared" si="25"/>
        <v>21.19</v>
      </c>
      <c r="F96" s="25">
        <v>15</v>
      </c>
      <c r="G96" s="25">
        <v>24</v>
      </c>
      <c r="H96" s="22">
        <f t="shared" si="19"/>
        <v>1.1580000000000001</v>
      </c>
      <c r="I96" s="22">
        <f t="shared" si="20"/>
        <v>0.88291666666666668</v>
      </c>
      <c r="J96" s="12">
        <f t="shared" si="26"/>
        <v>3.8200000000000003</v>
      </c>
      <c r="K96" s="48">
        <f t="shared" si="22"/>
        <v>0.21991940126655152</v>
      </c>
    </row>
    <row r="97" spans="1:11" x14ac:dyDescent="0.35">
      <c r="A97" s="6" t="s">
        <v>38</v>
      </c>
      <c r="B97" s="13">
        <v>32.72</v>
      </c>
      <c r="C97" s="25"/>
      <c r="D97" s="25">
        <v>31.060000000000006</v>
      </c>
      <c r="E97" s="25">
        <f t="shared" si="25"/>
        <v>32.72</v>
      </c>
      <c r="F97" s="25">
        <v>32</v>
      </c>
      <c r="G97" s="25">
        <v>34</v>
      </c>
      <c r="H97" s="22">
        <f t="shared" si="19"/>
        <v>0.97062500000000018</v>
      </c>
      <c r="I97" s="22">
        <f t="shared" si="20"/>
        <v>0.96235294117647052</v>
      </c>
      <c r="J97" s="12">
        <f t="shared" si="26"/>
        <v>1.659999999999993</v>
      </c>
      <c r="K97" s="48">
        <f t="shared" si="22"/>
        <v>5.3444945267224542E-2</v>
      </c>
    </row>
    <row r="98" spans="1:11" x14ac:dyDescent="0.35">
      <c r="A98" s="6" t="s">
        <v>39</v>
      </c>
      <c r="B98" s="13">
        <v>7500.0300000000025</v>
      </c>
      <c r="C98" s="25"/>
      <c r="D98" s="25">
        <v>7321.9099999999944</v>
      </c>
      <c r="E98" s="25">
        <f t="shared" si="25"/>
        <v>7500.0300000000025</v>
      </c>
      <c r="F98" s="25">
        <v>6908</v>
      </c>
      <c r="G98" s="25">
        <v>8294</v>
      </c>
      <c r="H98" s="22">
        <f t="shared" si="19"/>
        <v>1.0599174869716264</v>
      </c>
      <c r="I98" s="22">
        <f t="shared" si="20"/>
        <v>0.90427176272003884</v>
      </c>
      <c r="J98" s="12">
        <f t="shared" si="26"/>
        <v>178.12000000000808</v>
      </c>
      <c r="K98" s="48">
        <f t="shared" si="22"/>
        <v>2.432698571820846E-2</v>
      </c>
    </row>
    <row r="99" spans="1:11" x14ac:dyDescent="0.35">
      <c r="A99" s="6" t="s">
        <v>40</v>
      </c>
      <c r="B99" s="13">
        <v>3848.1599999999976</v>
      </c>
      <c r="C99" s="25"/>
      <c r="D99" s="25">
        <v>3704.6300000000037</v>
      </c>
      <c r="E99" s="25">
        <f t="shared" si="25"/>
        <v>3848.1599999999976</v>
      </c>
      <c r="F99" s="25">
        <v>4076</v>
      </c>
      <c r="G99" s="25">
        <v>4375</v>
      </c>
      <c r="H99" s="22">
        <f t="shared" si="19"/>
        <v>0.90888861629048179</v>
      </c>
      <c r="I99" s="22">
        <f t="shared" si="20"/>
        <v>0.87957942857142801</v>
      </c>
      <c r="J99" s="12">
        <f t="shared" si="26"/>
        <v>143.52999999999383</v>
      </c>
      <c r="K99" s="48">
        <f t="shared" si="22"/>
        <v>3.874341027308903E-2</v>
      </c>
    </row>
    <row r="100" spans="1:11" x14ac:dyDescent="0.35">
      <c r="A100" s="11" t="s">
        <v>15</v>
      </c>
      <c r="B100" s="27">
        <f>SUM(B101:B105)</f>
        <v>21639.45</v>
      </c>
      <c r="C100" s="17">
        <f>SUM(C101:C105)</f>
        <v>8.82</v>
      </c>
      <c r="D100" s="17">
        <v>19052.830000000009</v>
      </c>
      <c r="E100" s="26">
        <f t="shared" si="25"/>
        <v>21648.27</v>
      </c>
      <c r="F100" s="14">
        <v>23363</v>
      </c>
      <c r="G100" s="14">
        <v>26467</v>
      </c>
      <c r="H100" s="297">
        <f t="shared" si="19"/>
        <v>0.81551299062620419</v>
      </c>
      <c r="I100" s="297">
        <f t="shared" si="20"/>
        <v>0.81793440888653801</v>
      </c>
      <c r="J100" s="28">
        <f t="shared" si="26"/>
        <v>2595.4399999999914</v>
      </c>
      <c r="K100" s="162">
        <f t="shared" si="22"/>
        <v>0.13622333270175568</v>
      </c>
    </row>
    <row r="101" spans="1:11" x14ac:dyDescent="0.35">
      <c r="A101" s="6" t="s">
        <v>41</v>
      </c>
      <c r="B101" s="13">
        <v>13010.41</v>
      </c>
      <c r="C101" s="25">
        <v>1.34</v>
      </c>
      <c r="D101" s="25">
        <v>12121.160000000009</v>
      </c>
      <c r="E101" s="25">
        <f t="shared" si="25"/>
        <v>13011.75</v>
      </c>
      <c r="F101" s="25">
        <v>16400</v>
      </c>
      <c r="G101" s="25">
        <v>17809</v>
      </c>
      <c r="H101" s="22">
        <f t="shared" si="19"/>
        <v>0.73909512195122007</v>
      </c>
      <c r="I101" s="22">
        <f t="shared" si="20"/>
        <v>0.73062777247459154</v>
      </c>
      <c r="J101" s="12">
        <f t="shared" si="26"/>
        <v>890.58999999999105</v>
      </c>
      <c r="K101" s="48">
        <f t="shared" si="22"/>
        <v>7.3473990938160316E-2</v>
      </c>
    </row>
    <row r="102" spans="1:11" x14ac:dyDescent="0.35">
      <c r="A102" s="6" t="s">
        <v>42</v>
      </c>
      <c r="B102" s="13">
        <v>3866.2500000000009</v>
      </c>
      <c r="C102" s="25">
        <v>5.3</v>
      </c>
      <c r="D102" s="25">
        <v>3125.3500000000008</v>
      </c>
      <c r="E102" s="25">
        <f t="shared" si="25"/>
        <v>3871.5500000000011</v>
      </c>
      <c r="F102" s="25">
        <v>3120</v>
      </c>
      <c r="G102" s="25">
        <v>3882</v>
      </c>
      <c r="H102" s="22">
        <f t="shared" si="19"/>
        <v>1.0017147435897438</v>
      </c>
      <c r="I102" s="22">
        <f t="shared" si="20"/>
        <v>0.99730808861411668</v>
      </c>
      <c r="J102" s="12">
        <f t="shared" si="26"/>
        <v>746.20000000000027</v>
      </c>
      <c r="K102" s="48">
        <f t="shared" si="22"/>
        <v>0.2387572591869711</v>
      </c>
    </row>
    <row r="103" spans="1:11" x14ac:dyDescent="0.35">
      <c r="A103" s="6" t="s">
        <v>43</v>
      </c>
      <c r="B103" s="13">
        <v>1141.72</v>
      </c>
      <c r="C103" s="25">
        <v>0.17</v>
      </c>
      <c r="D103" s="25">
        <v>844.36999999999989</v>
      </c>
      <c r="E103" s="25">
        <f t="shared" si="25"/>
        <v>1141.8900000000001</v>
      </c>
      <c r="F103" s="25">
        <v>845</v>
      </c>
      <c r="G103" s="25">
        <v>1160</v>
      </c>
      <c r="H103" s="22">
        <f t="shared" si="19"/>
        <v>0.99925443786982238</v>
      </c>
      <c r="I103" s="22">
        <f t="shared" si="20"/>
        <v>0.98438793103448285</v>
      </c>
      <c r="J103" s="12">
        <f t="shared" si="26"/>
        <v>297.52000000000021</v>
      </c>
      <c r="K103" s="48">
        <f t="shared" si="22"/>
        <v>0.3523573788741905</v>
      </c>
    </row>
    <row r="104" spans="1:11" x14ac:dyDescent="0.35">
      <c r="A104" s="6" t="s">
        <v>44</v>
      </c>
      <c r="B104" s="13">
        <v>34.97</v>
      </c>
      <c r="C104" s="25">
        <v>0.09</v>
      </c>
      <c r="D104" s="25">
        <v>36.090000000000003</v>
      </c>
      <c r="E104" s="25">
        <f t="shared" si="25"/>
        <v>35.06</v>
      </c>
      <c r="F104" s="25">
        <v>36</v>
      </c>
      <c r="G104" s="25">
        <v>32</v>
      </c>
      <c r="H104" s="22">
        <f t="shared" si="19"/>
        <v>1.0025000000000002</v>
      </c>
      <c r="I104" s="22">
        <f t="shared" si="20"/>
        <v>1.0956250000000001</v>
      </c>
      <c r="J104" s="12">
        <f t="shared" si="26"/>
        <v>-1.0300000000000011</v>
      </c>
      <c r="K104" s="48">
        <f t="shared" si="22"/>
        <v>-2.8539761706844025E-2</v>
      </c>
    </row>
    <row r="105" spans="1:11" x14ac:dyDescent="0.35">
      <c r="A105" s="6" t="s">
        <v>45</v>
      </c>
      <c r="B105" s="13">
        <v>3586.1</v>
      </c>
      <c r="C105" s="25">
        <v>1.92</v>
      </c>
      <c r="D105" s="25">
        <v>2925.86</v>
      </c>
      <c r="E105" s="25">
        <f t="shared" si="25"/>
        <v>3588.02</v>
      </c>
      <c r="F105" s="25">
        <v>2962</v>
      </c>
      <c r="G105" s="25">
        <v>3584</v>
      </c>
      <c r="H105" s="22">
        <f t="shared" si="19"/>
        <v>0.9877987846049967</v>
      </c>
      <c r="I105" s="22">
        <f t="shared" si="20"/>
        <v>1.0011216517857142</v>
      </c>
      <c r="J105" s="12">
        <f t="shared" si="26"/>
        <v>662.15999999999985</v>
      </c>
      <c r="K105" s="48">
        <f t="shared" si="22"/>
        <v>0.22631294730438234</v>
      </c>
    </row>
    <row r="106" spans="1:11" x14ac:dyDescent="0.35">
      <c r="A106" s="11" t="s">
        <v>16</v>
      </c>
      <c r="B106" s="14">
        <f>SUM(B107:B115)</f>
        <v>688.47</v>
      </c>
      <c r="C106" s="17"/>
      <c r="D106" s="17">
        <v>597.80999999999995</v>
      </c>
      <c r="E106" s="26">
        <f t="shared" si="25"/>
        <v>688.47</v>
      </c>
      <c r="F106" s="14">
        <v>1365</v>
      </c>
      <c r="G106" s="14">
        <v>1767</v>
      </c>
      <c r="H106" s="297">
        <f t="shared" si="19"/>
        <v>0.43795604395604393</v>
      </c>
      <c r="I106" s="297">
        <f t="shared" si="20"/>
        <v>0.38962648556876062</v>
      </c>
      <c r="J106" s="28">
        <f t="shared" si="26"/>
        <v>90.660000000000082</v>
      </c>
      <c r="K106" s="162">
        <f t="shared" si="22"/>
        <v>0.15165353540422566</v>
      </c>
    </row>
    <row r="107" spans="1:11" x14ac:dyDescent="0.35">
      <c r="A107" s="6" t="s">
        <v>46</v>
      </c>
      <c r="B107" s="13">
        <v>12.34</v>
      </c>
      <c r="C107" s="25"/>
      <c r="D107" s="25">
        <v>15.309999999999999</v>
      </c>
      <c r="E107" s="25">
        <f t="shared" si="25"/>
        <v>12.34</v>
      </c>
      <c r="F107" s="25">
        <v>15</v>
      </c>
      <c r="G107" s="25">
        <v>15</v>
      </c>
      <c r="H107" s="22">
        <f t="shared" si="19"/>
        <v>1.0206666666666666</v>
      </c>
      <c r="I107" s="22">
        <f t="shared" si="20"/>
        <v>0.82266666666666666</v>
      </c>
      <c r="J107" s="12">
        <f t="shared" si="26"/>
        <v>-2.9699999999999989</v>
      </c>
      <c r="K107" s="48">
        <f t="shared" si="22"/>
        <v>-0.19399085564990193</v>
      </c>
    </row>
    <row r="108" spans="1:11" x14ac:dyDescent="0.35">
      <c r="A108" s="6" t="s">
        <v>47</v>
      </c>
      <c r="B108" s="13">
        <v>2.3200000000000003</v>
      </c>
      <c r="C108" s="25"/>
      <c r="D108" s="25">
        <v>2.02</v>
      </c>
      <c r="E108" s="25">
        <f t="shared" si="25"/>
        <v>2.3200000000000003</v>
      </c>
      <c r="F108" s="25">
        <v>5</v>
      </c>
      <c r="G108" s="25">
        <v>5</v>
      </c>
      <c r="H108" s="22">
        <f t="shared" si="19"/>
        <v>0.40400000000000003</v>
      </c>
      <c r="I108" s="22">
        <f t="shared" si="20"/>
        <v>0.46400000000000008</v>
      </c>
      <c r="J108" s="12">
        <f t="shared" si="26"/>
        <v>0.30000000000000027</v>
      </c>
      <c r="K108" s="48">
        <f t="shared" si="22"/>
        <v>0.14851485148514865</v>
      </c>
    </row>
    <row r="109" spans="1:11" x14ac:dyDescent="0.35">
      <c r="A109" s="6" t="s">
        <v>48</v>
      </c>
      <c r="B109" s="13">
        <v>59.31</v>
      </c>
      <c r="C109" s="25"/>
      <c r="D109" s="25">
        <v>27.82</v>
      </c>
      <c r="E109" s="25">
        <f t="shared" si="25"/>
        <v>59.31</v>
      </c>
      <c r="F109" s="25">
        <v>26</v>
      </c>
      <c r="G109" s="25">
        <v>55</v>
      </c>
      <c r="H109" s="22">
        <f t="shared" si="19"/>
        <v>1.07</v>
      </c>
      <c r="I109" s="22">
        <f t="shared" si="20"/>
        <v>1.0783636363636364</v>
      </c>
      <c r="J109" s="12">
        <f t="shared" si="26"/>
        <v>31.490000000000002</v>
      </c>
      <c r="K109" s="48">
        <f t="shared" si="22"/>
        <v>1.1319194823867722</v>
      </c>
    </row>
    <row r="110" spans="1:11" x14ac:dyDescent="0.35">
      <c r="A110" s="6" t="s">
        <v>49</v>
      </c>
      <c r="B110" s="13">
        <v>27.52</v>
      </c>
      <c r="C110" s="25"/>
      <c r="D110" s="25">
        <v>10.290000000000001</v>
      </c>
      <c r="E110" s="25">
        <f t="shared" si="25"/>
        <v>27.52</v>
      </c>
      <c r="F110" s="25">
        <v>10</v>
      </c>
      <c r="G110" s="25">
        <v>28</v>
      </c>
      <c r="H110" s="22">
        <f t="shared" ref="H110:H132" si="27">IFERROR(D110/F110,"")</f>
        <v>1.0290000000000001</v>
      </c>
      <c r="I110" s="22">
        <f t="shared" ref="I110:I132" si="28">IFERROR(E110/G110,"")</f>
        <v>0.98285714285714287</v>
      </c>
      <c r="J110" s="12">
        <f t="shared" si="26"/>
        <v>17.229999999999997</v>
      </c>
      <c r="K110" s="48">
        <f t="shared" ref="K110:K132" si="29">IFERROR((E110/D110)-1,"")</f>
        <v>1.6744412050534496</v>
      </c>
    </row>
    <row r="111" spans="1:11" x14ac:dyDescent="0.35">
      <c r="A111" s="6" t="s">
        <v>50</v>
      </c>
      <c r="B111" s="13">
        <v>62.73</v>
      </c>
      <c r="C111" s="25"/>
      <c r="D111" s="25">
        <v>62.73</v>
      </c>
      <c r="E111" s="25">
        <f t="shared" si="25"/>
        <v>62.73</v>
      </c>
      <c r="F111" s="25">
        <v>63</v>
      </c>
      <c r="G111" s="25">
        <v>63</v>
      </c>
      <c r="H111" s="22">
        <f t="shared" si="27"/>
        <v>0.99571428571428566</v>
      </c>
      <c r="I111" s="22">
        <f t="shared" si="28"/>
        <v>0.99571428571428566</v>
      </c>
      <c r="J111" s="12">
        <f t="shared" si="26"/>
        <v>0</v>
      </c>
      <c r="K111" s="48">
        <f t="shared" si="29"/>
        <v>0</v>
      </c>
    </row>
    <row r="112" spans="1:11" x14ac:dyDescent="0.35">
      <c r="A112" s="6" t="s">
        <v>51</v>
      </c>
      <c r="B112" s="13"/>
      <c r="C112" s="25"/>
      <c r="D112" s="25"/>
      <c r="E112" s="25">
        <f t="shared" si="25"/>
        <v>0</v>
      </c>
      <c r="F112" s="25"/>
      <c r="G112" s="25"/>
      <c r="H112" s="22" t="str">
        <f t="shared" si="27"/>
        <v/>
      </c>
      <c r="I112" s="22" t="str">
        <f t="shared" si="28"/>
        <v/>
      </c>
      <c r="J112" s="12">
        <f t="shared" si="26"/>
        <v>0</v>
      </c>
      <c r="K112" s="48" t="str">
        <f t="shared" si="29"/>
        <v/>
      </c>
    </row>
    <row r="113" spans="1:11" x14ac:dyDescent="0.35">
      <c r="A113" s="6" t="s">
        <v>52</v>
      </c>
      <c r="B113" s="13">
        <v>79.889999999999986</v>
      </c>
      <c r="C113" s="25"/>
      <c r="D113" s="25">
        <v>79.910000000000011</v>
      </c>
      <c r="E113" s="25">
        <f t="shared" si="25"/>
        <v>79.889999999999986</v>
      </c>
      <c r="F113" s="25">
        <v>80</v>
      </c>
      <c r="G113" s="25">
        <v>80</v>
      </c>
      <c r="H113" s="22">
        <f t="shared" si="27"/>
        <v>0.99887500000000018</v>
      </c>
      <c r="I113" s="22">
        <f t="shared" si="28"/>
        <v>0.99862499999999987</v>
      </c>
      <c r="J113" s="12">
        <f t="shared" si="26"/>
        <v>-2.0000000000024443E-2</v>
      </c>
      <c r="K113" s="48">
        <f t="shared" si="29"/>
        <v>-2.5028156676287772E-4</v>
      </c>
    </row>
    <row r="114" spans="1:11" x14ac:dyDescent="0.35">
      <c r="A114" s="6" t="s">
        <v>53</v>
      </c>
      <c r="B114" s="13">
        <v>394.85000000000008</v>
      </c>
      <c r="C114" s="25"/>
      <c r="D114" s="25">
        <v>369.24</v>
      </c>
      <c r="E114" s="25">
        <f t="shared" si="25"/>
        <v>394.85000000000008</v>
      </c>
      <c r="F114" s="25">
        <v>767</v>
      </c>
      <c r="G114" s="25">
        <v>1069</v>
      </c>
      <c r="H114" s="22">
        <f t="shared" si="27"/>
        <v>0.48140808344198177</v>
      </c>
      <c r="I114" s="22">
        <f t="shared" si="28"/>
        <v>0.36936389148737148</v>
      </c>
      <c r="J114" s="12">
        <f t="shared" si="26"/>
        <v>25.61000000000007</v>
      </c>
      <c r="K114" s="48">
        <f t="shared" si="29"/>
        <v>6.9358682699599328E-2</v>
      </c>
    </row>
    <row r="115" spans="1:11" x14ac:dyDescent="0.35">
      <c r="A115" s="6" t="s">
        <v>54</v>
      </c>
      <c r="B115" s="13">
        <v>49.510000000000005</v>
      </c>
      <c r="C115" s="25"/>
      <c r="D115" s="25">
        <v>30.490000000000002</v>
      </c>
      <c r="E115" s="25">
        <f t="shared" si="25"/>
        <v>49.510000000000005</v>
      </c>
      <c r="F115" s="25">
        <v>399</v>
      </c>
      <c r="G115" s="25">
        <v>452</v>
      </c>
      <c r="H115" s="22">
        <f t="shared" si="27"/>
        <v>7.6416040100250632E-2</v>
      </c>
      <c r="I115" s="22">
        <f t="shared" si="28"/>
        <v>0.10953539823008851</v>
      </c>
      <c r="J115" s="12">
        <f t="shared" si="26"/>
        <v>19.020000000000003</v>
      </c>
      <c r="K115" s="48">
        <f t="shared" si="29"/>
        <v>0.62381108560183662</v>
      </c>
    </row>
    <row r="116" spans="1:11" x14ac:dyDescent="0.35">
      <c r="A116" s="11" t="s">
        <v>17</v>
      </c>
      <c r="B116" s="14">
        <f>SUM(B117:B118)</f>
        <v>8452.8100000000013</v>
      </c>
      <c r="C116" s="161">
        <v>0.18</v>
      </c>
      <c r="D116" s="17">
        <v>6928.9599999999991</v>
      </c>
      <c r="E116" s="26">
        <f t="shared" si="25"/>
        <v>8452.9900000000016</v>
      </c>
      <c r="F116" s="14">
        <v>6708</v>
      </c>
      <c r="G116" s="14">
        <v>7649</v>
      </c>
      <c r="H116" s="297">
        <f t="shared" si="27"/>
        <v>1.0329397734048895</v>
      </c>
      <c r="I116" s="297">
        <f t="shared" si="28"/>
        <v>1.1051104719571188</v>
      </c>
      <c r="J116" s="28">
        <f t="shared" si="26"/>
        <v>1524.0300000000025</v>
      </c>
      <c r="K116" s="162">
        <f t="shared" si="29"/>
        <v>0.21995075740082237</v>
      </c>
    </row>
    <row r="117" spans="1:11" x14ac:dyDescent="0.35">
      <c r="A117" s="6" t="s">
        <v>55</v>
      </c>
      <c r="B117" s="13">
        <v>5825.6500000000015</v>
      </c>
      <c r="C117" s="25">
        <v>0.18</v>
      </c>
      <c r="D117" s="25">
        <v>4798.8099999999995</v>
      </c>
      <c r="E117" s="25">
        <f t="shared" si="25"/>
        <v>5825.8300000000017</v>
      </c>
      <c r="F117" s="25">
        <v>4782</v>
      </c>
      <c r="G117" s="25">
        <v>5302</v>
      </c>
      <c r="H117" s="22">
        <f t="shared" si="27"/>
        <v>1.0035152655792554</v>
      </c>
      <c r="I117" s="22">
        <f t="shared" si="28"/>
        <v>1.0987985665786499</v>
      </c>
      <c r="J117" s="12">
        <f t="shared" si="26"/>
        <v>1027.0200000000023</v>
      </c>
      <c r="K117" s="48">
        <f t="shared" si="29"/>
        <v>0.2140155580237606</v>
      </c>
    </row>
    <row r="118" spans="1:11" x14ac:dyDescent="0.35">
      <c r="A118" s="6" t="s">
        <v>56</v>
      </c>
      <c r="B118" s="13">
        <v>2627.16</v>
      </c>
      <c r="C118" s="25"/>
      <c r="D118" s="25">
        <v>2130.1499999999996</v>
      </c>
      <c r="E118" s="25">
        <f t="shared" si="25"/>
        <v>2627.16</v>
      </c>
      <c r="F118" s="25">
        <v>1926</v>
      </c>
      <c r="G118" s="25">
        <v>2347</v>
      </c>
      <c r="H118" s="22">
        <f t="shared" si="27"/>
        <v>1.1059968847352024</v>
      </c>
      <c r="I118" s="22">
        <f t="shared" si="28"/>
        <v>1.1193694077545802</v>
      </c>
      <c r="J118" s="12">
        <f t="shared" si="26"/>
        <v>497.01000000000022</v>
      </c>
      <c r="K118" s="48">
        <f t="shared" si="29"/>
        <v>0.23332159707062905</v>
      </c>
    </row>
    <row r="119" spans="1:11" x14ac:dyDescent="0.35">
      <c r="A119" s="11" t="s">
        <v>18</v>
      </c>
      <c r="B119" s="14">
        <v>509.73999999999995</v>
      </c>
      <c r="C119" s="17">
        <v>73.902699999999996</v>
      </c>
      <c r="D119" s="17">
        <v>605.86000000000013</v>
      </c>
      <c r="E119" s="26">
        <f t="shared" si="25"/>
        <v>583.64269999999999</v>
      </c>
      <c r="F119" s="14">
        <v>315</v>
      </c>
      <c r="G119" s="14">
        <v>330</v>
      </c>
      <c r="H119" s="297">
        <f t="shared" si="27"/>
        <v>1.9233650793650798</v>
      </c>
      <c r="I119" s="297">
        <f t="shared" si="28"/>
        <v>1.7686142424242424</v>
      </c>
      <c r="J119" s="28">
        <f t="shared" si="26"/>
        <v>-22.217300000000137</v>
      </c>
      <c r="K119" s="162">
        <f t="shared" si="29"/>
        <v>-3.6670682996071902E-2</v>
      </c>
    </row>
    <row r="120" spans="1:11" x14ac:dyDescent="0.35">
      <c r="A120" s="6" t="s">
        <v>18</v>
      </c>
      <c r="B120" s="13">
        <v>509.73999999999995</v>
      </c>
      <c r="C120" s="25">
        <v>73.902699999999996</v>
      </c>
      <c r="D120" s="25">
        <v>605.86000000000013</v>
      </c>
      <c r="E120" s="25">
        <f t="shared" si="25"/>
        <v>583.64269999999999</v>
      </c>
      <c r="F120" s="25">
        <v>315</v>
      </c>
      <c r="G120" s="25">
        <v>330</v>
      </c>
      <c r="H120" s="22">
        <f t="shared" si="27"/>
        <v>1.9233650793650798</v>
      </c>
      <c r="I120" s="22">
        <f t="shared" si="28"/>
        <v>1.7686142424242424</v>
      </c>
      <c r="J120" s="12">
        <f t="shared" si="26"/>
        <v>-22.217300000000137</v>
      </c>
      <c r="K120" s="48">
        <f t="shared" si="29"/>
        <v>-3.6670682996071902E-2</v>
      </c>
    </row>
    <row r="121" spans="1:11" x14ac:dyDescent="0.35">
      <c r="A121" s="11" t="s">
        <v>19</v>
      </c>
      <c r="B121" s="14"/>
      <c r="C121" s="17"/>
      <c r="D121" s="17"/>
      <c r="E121" s="26">
        <f t="shared" si="25"/>
        <v>0</v>
      </c>
      <c r="F121" s="14">
        <v>59</v>
      </c>
      <c r="G121" s="14">
        <v>60</v>
      </c>
      <c r="H121" s="297">
        <f t="shared" si="27"/>
        <v>0</v>
      </c>
      <c r="I121" s="297">
        <f t="shared" si="28"/>
        <v>0</v>
      </c>
      <c r="J121" s="28">
        <f t="shared" si="26"/>
        <v>0</v>
      </c>
      <c r="K121" s="162" t="str">
        <f t="shared" si="29"/>
        <v/>
      </c>
    </row>
    <row r="122" spans="1:11" x14ac:dyDescent="0.35">
      <c r="A122" s="6" t="s">
        <v>57</v>
      </c>
      <c r="B122" s="13"/>
      <c r="C122" s="25"/>
      <c r="D122" s="25"/>
      <c r="E122" s="25">
        <f t="shared" si="25"/>
        <v>0</v>
      </c>
      <c r="F122" s="25">
        <v>46</v>
      </c>
      <c r="G122" s="25">
        <v>46</v>
      </c>
      <c r="H122" s="22">
        <f t="shared" si="27"/>
        <v>0</v>
      </c>
      <c r="I122" s="22">
        <f t="shared" si="28"/>
        <v>0</v>
      </c>
      <c r="J122" s="12">
        <f t="shared" si="26"/>
        <v>0</v>
      </c>
      <c r="K122" s="48" t="str">
        <f t="shared" si="29"/>
        <v/>
      </c>
    </row>
    <row r="123" spans="1:11" x14ac:dyDescent="0.35">
      <c r="A123" s="10" t="s">
        <v>62</v>
      </c>
      <c r="B123" s="13"/>
      <c r="C123" s="25"/>
      <c r="D123" s="25"/>
      <c r="E123" s="25">
        <f t="shared" si="25"/>
        <v>0</v>
      </c>
      <c r="F123" s="25">
        <v>13</v>
      </c>
      <c r="G123" s="25">
        <v>14</v>
      </c>
      <c r="H123" s="22">
        <f t="shared" si="27"/>
        <v>0</v>
      </c>
      <c r="I123" s="22">
        <f t="shared" si="28"/>
        <v>0</v>
      </c>
      <c r="J123" s="12">
        <f t="shared" ref="J123" si="30">IFERROR(E123-D123,"")</f>
        <v>0</v>
      </c>
      <c r="K123" s="48" t="str">
        <f t="shared" si="29"/>
        <v/>
      </c>
    </row>
    <row r="124" spans="1:11" x14ac:dyDescent="0.35">
      <c r="A124" s="11" t="s">
        <v>20</v>
      </c>
      <c r="B124" s="14">
        <v>885.19000000000017</v>
      </c>
      <c r="C124" s="17"/>
      <c r="D124" s="17">
        <v>773.81000000000006</v>
      </c>
      <c r="E124" s="26">
        <f t="shared" si="25"/>
        <v>885.19000000000017</v>
      </c>
      <c r="F124" s="14">
        <v>1133</v>
      </c>
      <c r="G124" s="14">
        <v>1495</v>
      </c>
      <c r="H124" s="297">
        <f t="shared" si="27"/>
        <v>0.68297440423654021</v>
      </c>
      <c r="I124" s="297">
        <f t="shared" si="28"/>
        <v>0.59210033444816068</v>
      </c>
      <c r="J124" s="28">
        <f t="shared" ref="J124:J132" si="31">IFERROR(E124-D124,"")</f>
        <v>111.38000000000011</v>
      </c>
      <c r="K124" s="162">
        <f t="shared" si="29"/>
        <v>0.14393714219252796</v>
      </c>
    </row>
    <row r="125" spans="1:11" x14ac:dyDescent="0.35">
      <c r="A125" s="6" t="s">
        <v>20</v>
      </c>
      <c r="B125" s="13">
        <v>885.19000000000017</v>
      </c>
      <c r="C125" s="25"/>
      <c r="D125" s="25">
        <v>773.81000000000006</v>
      </c>
      <c r="E125" s="25">
        <f t="shared" si="25"/>
        <v>885.19000000000017</v>
      </c>
      <c r="F125" s="25">
        <v>1133</v>
      </c>
      <c r="G125" s="25">
        <v>1495</v>
      </c>
      <c r="H125" s="22">
        <f t="shared" si="27"/>
        <v>0.68297440423654021</v>
      </c>
      <c r="I125" s="22">
        <f t="shared" si="28"/>
        <v>0.59210033444816068</v>
      </c>
      <c r="J125" s="12">
        <f t="shared" ref="J125" si="32">IFERROR(E125-D125,"")</f>
        <v>111.38000000000011</v>
      </c>
      <c r="K125" s="48">
        <f t="shared" si="29"/>
        <v>0.14393714219252796</v>
      </c>
    </row>
    <row r="126" spans="1:11" x14ac:dyDescent="0.35">
      <c r="A126" s="11" t="s">
        <v>21</v>
      </c>
      <c r="B126" s="14">
        <v>132.88999999999999</v>
      </c>
      <c r="C126" s="17"/>
      <c r="D126" s="17">
        <v>59.330000000000005</v>
      </c>
      <c r="E126" s="26">
        <f t="shared" si="25"/>
        <v>132.88999999999999</v>
      </c>
      <c r="F126" s="14">
        <v>1156</v>
      </c>
      <c r="G126" s="14">
        <v>379</v>
      </c>
      <c r="H126" s="297">
        <f t="shared" si="27"/>
        <v>5.1323529411764712E-2</v>
      </c>
      <c r="I126" s="297">
        <f t="shared" si="28"/>
        <v>0.35063324538258572</v>
      </c>
      <c r="J126" s="28">
        <f t="shared" si="31"/>
        <v>73.559999999999974</v>
      </c>
      <c r="K126" s="162">
        <f t="shared" si="29"/>
        <v>1.2398449351087137</v>
      </c>
    </row>
    <row r="127" spans="1:11" x14ac:dyDescent="0.35">
      <c r="A127" s="6" t="s">
        <v>21</v>
      </c>
      <c r="B127" s="13">
        <v>132.88999999999999</v>
      </c>
      <c r="C127" s="25"/>
      <c r="D127" s="25">
        <v>59.330000000000005</v>
      </c>
      <c r="E127" s="25">
        <f t="shared" si="25"/>
        <v>132.88999999999999</v>
      </c>
      <c r="F127" s="25">
        <v>1156</v>
      </c>
      <c r="G127" s="25">
        <v>379</v>
      </c>
      <c r="H127" s="22">
        <f t="shared" si="27"/>
        <v>5.1323529411764712E-2</v>
      </c>
      <c r="I127" s="22">
        <f t="shared" si="28"/>
        <v>0.35063324538258572</v>
      </c>
      <c r="J127" s="12">
        <f t="shared" ref="J127" si="33">IFERROR(E127-D127,"")</f>
        <v>73.559999999999974</v>
      </c>
      <c r="K127" s="48">
        <f t="shared" si="29"/>
        <v>1.2398449351087137</v>
      </c>
    </row>
    <row r="128" spans="1:11" x14ac:dyDescent="0.35">
      <c r="A128" s="11" t="s">
        <v>22</v>
      </c>
      <c r="B128" s="14">
        <v>6972.7000000000007</v>
      </c>
      <c r="C128" s="17">
        <v>1.42</v>
      </c>
      <c r="D128" s="17">
        <v>6795.8499999999958</v>
      </c>
      <c r="E128" s="26">
        <f t="shared" si="25"/>
        <v>6974.1200000000008</v>
      </c>
      <c r="F128" s="14">
        <v>7034</v>
      </c>
      <c r="G128" s="14">
        <v>7402</v>
      </c>
      <c r="H128" s="297">
        <f t="shared" si="27"/>
        <v>0.96614301961899285</v>
      </c>
      <c r="I128" s="297">
        <f t="shared" si="28"/>
        <v>0.94219400162118361</v>
      </c>
      <c r="J128" s="28">
        <f t="shared" si="31"/>
        <v>178.27000000000498</v>
      </c>
      <c r="K128" s="162">
        <f t="shared" si="29"/>
        <v>2.6232185819287546E-2</v>
      </c>
    </row>
    <row r="129" spans="1:11" x14ac:dyDescent="0.35">
      <c r="A129" s="6" t="s">
        <v>22</v>
      </c>
      <c r="B129" s="13">
        <v>6972.7000000000007</v>
      </c>
      <c r="C129" s="25">
        <v>1.42</v>
      </c>
      <c r="D129" s="25">
        <v>6795.8499999999958</v>
      </c>
      <c r="E129" s="25">
        <f t="shared" si="25"/>
        <v>6974.1200000000008</v>
      </c>
      <c r="F129" s="25">
        <v>7034</v>
      </c>
      <c r="G129" s="25">
        <v>7402</v>
      </c>
      <c r="H129" s="22">
        <f t="shared" si="27"/>
        <v>0.96614301961899285</v>
      </c>
      <c r="I129" s="22">
        <f t="shared" si="28"/>
        <v>0.94219400162118361</v>
      </c>
      <c r="J129" s="12">
        <f t="shared" ref="J129" si="34">IFERROR(E129-D129,"")</f>
        <v>178.27000000000498</v>
      </c>
      <c r="K129" s="48">
        <f t="shared" si="29"/>
        <v>2.6232185819287546E-2</v>
      </c>
    </row>
    <row r="130" spans="1:11" x14ac:dyDescent="0.35">
      <c r="A130" s="11" t="s">
        <v>23</v>
      </c>
      <c r="B130" s="14">
        <v>1901.4700000000003</v>
      </c>
      <c r="C130" s="17">
        <v>0.59</v>
      </c>
      <c r="D130" s="17">
        <v>1694.9399999999989</v>
      </c>
      <c r="E130" s="26">
        <f t="shared" si="25"/>
        <v>1902.0600000000002</v>
      </c>
      <c r="F130" s="14">
        <v>2200</v>
      </c>
      <c r="G130" s="14">
        <v>2257</v>
      </c>
      <c r="H130" s="297">
        <f t="shared" si="27"/>
        <v>0.77042727272727218</v>
      </c>
      <c r="I130" s="297">
        <f t="shared" si="28"/>
        <v>0.84273814798404967</v>
      </c>
      <c r="J130" s="28">
        <f t="shared" si="31"/>
        <v>207.12000000000126</v>
      </c>
      <c r="K130" s="162">
        <f t="shared" si="29"/>
        <v>0.12219901589436866</v>
      </c>
    </row>
    <row r="131" spans="1:11" x14ac:dyDescent="0.35">
      <c r="A131" s="6" t="s">
        <v>23</v>
      </c>
      <c r="B131" s="13">
        <v>1901.4700000000003</v>
      </c>
      <c r="C131" s="25">
        <v>0.59</v>
      </c>
      <c r="D131" s="25">
        <v>1694.9399999999989</v>
      </c>
      <c r="E131" s="25">
        <f t="shared" si="25"/>
        <v>1902.0600000000002</v>
      </c>
      <c r="F131" s="25">
        <v>2200</v>
      </c>
      <c r="G131" s="25">
        <v>2257</v>
      </c>
      <c r="H131" s="22">
        <f t="shared" si="27"/>
        <v>0.77042727272727218</v>
      </c>
      <c r="I131" s="22">
        <f t="shared" si="28"/>
        <v>0.84273814798404967</v>
      </c>
      <c r="J131" s="12">
        <f t="shared" si="31"/>
        <v>207.12000000000126</v>
      </c>
      <c r="K131" s="48">
        <f t="shared" si="29"/>
        <v>0.12219901589436866</v>
      </c>
    </row>
    <row r="132" spans="1:11" x14ac:dyDescent="0.35">
      <c r="A132" s="43" t="s">
        <v>25</v>
      </c>
      <c r="B132" s="42">
        <f>SUM(B78,B87,B91,B95,B100,B106,B116,B119,B121,B124,B126,B128,B130)</f>
        <v>114484.27</v>
      </c>
      <c r="C132" s="156">
        <f>SUM(C130,C128,C119,C116,C100,C91,C78)</f>
        <v>213.49459999999999</v>
      </c>
      <c r="D132" s="156">
        <v>99478</v>
      </c>
      <c r="E132" s="156">
        <f>SUM(E130,E128,E126,E124,E121,E119,E116,E106,E100,E95,E91,E87,E78)</f>
        <v>114697.76459999999</v>
      </c>
      <c r="F132" s="42">
        <v>118202</v>
      </c>
      <c r="G132" s="42">
        <v>132522</v>
      </c>
      <c r="H132" s="163">
        <f t="shared" si="27"/>
        <v>0.84159320485270972</v>
      </c>
      <c r="I132" s="163">
        <f t="shared" si="28"/>
        <v>0.86549980078779365</v>
      </c>
      <c r="J132" s="29">
        <f t="shared" si="31"/>
        <v>15219.764599999995</v>
      </c>
      <c r="K132" s="163">
        <f t="shared" si="29"/>
        <v>0.15299628661613629</v>
      </c>
    </row>
    <row r="156" spans="4:4" x14ac:dyDescent="0.35">
      <c r="D156" s="141"/>
    </row>
  </sheetData>
  <mergeCells count="12">
    <mergeCell ref="J76:K76"/>
    <mergeCell ref="A76:A77"/>
    <mergeCell ref="A11:A12"/>
    <mergeCell ref="J11:K11"/>
    <mergeCell ref="C5:D5"/>
    <mergeCell ref="C6:D6"/>
    <mergeCell ref="F11:G11"/>
    <mergeCell ref="F76:G76"/>
    <mergeCell ref="H11:I11"/>
    <mergeCell ref="H76:I76"/>
    <mergeCell ref="D11:E11"/>
    <mergeCell ref="D76:E76"/>
  </mergeCells>
  <conditionalFormatting sqref="K14:K21">
    <cfRule type="cellIs" dxfId="261" priority="133" operator="lessThan">
      <formula>0</formula>
    </cfRule>
  </conditionalFormatting>
  <conditionalFormatting sqref="K67">
    <cfRule type="cellIs" dxfId="260" priority="135" operator="lessThan">
      <formula>0</formula>
    </cfRule>
  </conditionalFormatting>
  <conditionalFormatting sqref="J14:J21">
    <cfRule type="cellIs" dxfId="259" priority="151" operator="lessThan">
      <formula>0</formula>
    </cfRule>
  </conditionalFormatting>
  <conditionalFormatting sqref="J69 J67 J65 J63 J61 J59 J56 J54 J51 J41 J35 J30 J26">
    <cfRule type="cellIs" dxfId="258" priority="150" operator="lessThan">
      <formula>0</formula>
    </cfRule>
  </conditionalFormatting>
  <conditionalFormatting sqref="J132">
    <cfRule type="cellIs" dxfId="257" priority="115" operator="lessThan">
      <formula>0</formula>
    </cfRule>
  </conditionalFormatting>
  <conditionalFormatting sqref="K69">
    <cfRule type="cellIs" dxfId="256" priority="134" operator="lessThan">
      <formula>0</formula>
    </cfRule>
  </conditionalFormatting>
  <conditionalFormatting sqref="J79:J86 J88:J130">
    <cfRule type="cellIs" dxfId="255" priority="117" operator="lessThan">
      <formula>0</formula>
    </cfRule>
  </conditionalFormatting>
  <conditionalFormatting sqref="K79:K130">
    <cfRule type="cellIs" dxfId="254" priority="116" operator="lessThan">
      <formula>0</formula>
    </cfRule>
  </conditionalFormatting>
  <conditionalFormatting sqref="K132">
    <cfRule type="cellIs" dxfId="253" priority="114" operator="lessThan">
      <formula>0</formula>
    </cfRule>
  </conditionalFormatting>
  <conditionalFormatting sqref="H132:I132">
    <cfRule type="cellIs" dxfId="252" priority="93" operator="lessThan">
      <formula>0</formula>
    </cfRule>
  </conditionalFormatting>
  <conditionalFormatting sqref="C14:E21">
    <cfRule type="cellIs" dxfId="251" priority="92" operator="lessThan">
      <formula>0</formula>
    </cfRule>
  </conditionalFormatting>
  <conditionalFormatting sqref="C27:D29">
    <cfRule type="cellIs" dxfId="250" priority="90" operator="lessThan">
      <formula>0</formula>
    </cfRule>
  </conditionalFormatting>
  <conditionalFormatting sqref="B36:D40">
    <cfRule type="cellIs" dxfId="249" priority="88" operator="lessThan">
      <formula>0</formula>
    </cfRule>
  </conditionalFormatting>
  <conditionalFormatting sqref="C52:D53">
    <cfRule type="cellIs" dxfId="248" priority="86" operator="lessThan">
      <formula>0</formula>
    </cfRule>
  </conditionalFormatting>
  <conditionalFormatting sqref="C55:D55">
    <cfRule type="cellIs" dxfId="247" priority="84" operator="lessThan">
      <formula>0</formula>
    </cfRule>
  </conditionalFormatting>
  <conditionalFormatting sqref="H67:I67">
    <cfRule type="cellIs" dxfId="246" priority="95" operator="lessThan">
      <formula>0</formula>
    </cfRule>
  </conditionalFormatting>
  <conditionalFormatting sqref="C64:D64">
    <cfRule type="cellIs" dxfId="245" priority="81" operator="lessThan">
      <formula>0</formula>
    </cfRule>
  </conditionalFormatting>
  <conditionalFormatting sqref="K13">
    <cfRule type="cellIs" dxfId="244" priority="25" operator="lessThan">
      <formula>0</formula>
    </cfRule>
  </conditionalFormatting>
  <conditionalFormatting sqref="C23:E25 E27:E29 E31:E34 E36:E40 E42:E50 E52:E68">
    <cfRule type="cellIs" dxfId="243" priority="91" operator="lessThan">
      <formula>0</formula>
    </cfRule>
  </conditionalFormatting>
  <conditionalFormatting sqref="C31:D34">
    <cfRule type="cellIs" dxfId="242" priority="89" operator="lessThan">
      <formula>0</formula>
    </cfRule>
  </conditionalFormatting>
  <conditionalFormatting sqref="B42:D50">
    <cfRule type="cellIs" dxfId="241" priority="87" operator="lessThan">
      <formula>0</formula>
    </cfRule>
  </conditionalFormatting>
  <conditionalFormatting sqref="C57:D58">
    <cfRule type="cellIs" dxfId="240" priority="85" operator="lessThan">
      <formula>0</formula>
    </cfRule>
  </conditionalFormatting>
  <conditionalFormatting sqref="C60:D60">
    <cfRule type="cellIs" dxfId="239" priority="83" operator="lessThan">
      <formula>0</formula>
    </cfRule>
  </conditionalFormatting>
  <conditionalFormatting sqref="C62:D62">
    <cfRule type="cellIs" dxfId="238" priority="82" operator="lessThan">
      <formula>0</formula>
    </cfRule>
  </conditionalFormatting>
  <conditionalFormatting sqref="C66:D66">
    <cfRule type="cellIs" dxfId="237" priority="80" operator="lessThan">
      <formula>0</formula>
    </cfRule>
  </conditionalFormatting>
  <conditionalFormatting sqref="C68:D68">
    <cfRule type="cellIs" dxfId="236" priority="79" operator="lessThan">
      <formula>0</formula>
    </cfRule>
  </conditionalFormatting>
  <conditionalFormatting sqref="J23">
    <cfRule type="cellIs" dxfId="235" priority="76" operator="lessThan">
      <formula>0</formula>
    </cfRule>
  </conditionalFormatting>
  <conditionalFormatting sqref="J24">
    <cfRule type="cellIs" dxfId="234" priority="75" operator="lessThan">
      <formula>0</formula>
    </cfRule>
  </conditionalFormatting>
  <conditionalFormatting sqref="J25">
    <cfRule type="cellIs" dxfId="233" priority="74" operator="lessThan">
      <formula>0</formula>
    </cfRule>
  </conditionalFormatting>
  <conditionalFormatting sqref="J27:J29">
    <cfRule type="cellIs" dxfId="232" priority="73" operator="lessThan">
      <formula>0</formula>
    </cfRule>
  </conditionalFormatting>
  <conditionalFormatting sqref="J31:J33">
    <cfRule type="cellIs" dxfId="231" priority="72" operator="lessThan">
      <formula>0</formula>
    </cfRule>
  </conditionalFormatting>
  <conditionalFormatting sqref="J34">
    <cfRule type="cellIs" dxfId="230" priority="71" operator="lessThan">
      <formula>0</formula>
    </cfRule>
  </conditionalFormatting>
  <conditionalFormatting sqref="J36:J40">
    <cfRule type="cellIs" dxfId="229" priority="70" operator="lessThan">
      <formula>0</formula>
    </cfRule>
  </conditionalFormatting>
  <conditionalFormatting sqref="J42:J50">
    <cfRule type="cellIs" dxfId="228" priority="69" operator="lessThan">
      <formula>0</formula>
    </cfRule>
  </conditionalFormatting>
  <conditionalFormatting sqref="J52">
    <cfRule type="cellIs" dxfId="227" priority="68" operator="lessThan">
      <formula>0</formula>
    </cfRule>
  </conditionalFormatting>
  <conditionalFormatting sqref="J53">
    <cfRule type="cellIs" dxfId="226" priority="67" operator="lessThan">
      <formula>0</formula>
    </cfRule>
  </conditionalFormatting>
  <conditionalFormatting sqref="J55">
    <cfRule type="cellIs" dxfId="225" priority="66" operator="lessThan">
      <formula>0</formula>
    </cfRule>
  </conditionalFormatting>
  <conditionalFormatting sqref="J57">
    <cfRule type="cellIs" dxfId="224" priority="65" operator="lessThan">
      <formula>0</formula>
    </cfRule>
  </conditionalFormatting>
  <conditionalFormatting sqref="J58">
    <cfRule type="cellIs" dxfId="223" priority="64" operator="lessThan">
      <formula>0</formula>
    </cfRule>
  </conditionalFormatting>
  <conditionalFormatting sqref="J68">
    <cfRule type="cellIs" dxfId="222" priority="63" operator="lessThan">
      <formula>0</formula>
    </cfRule>
  </conditionalFormatting>
  <conditionalFormatting sqref="J66">
    <cfRule type="cellIs" dxfId="221" priority="62" operator="lessThan">
      <formula>0</formula>
    </cfRule>
  </conditionalFormatting>
  <conditionalFormatting sqref="J64">
    <cfRule type="cellIs" dxfId="220" priority="61" operator="lessThan">
      <formula>0</formula>
    </cfRule>
  </conditionalFormatting>
  <conditionalFormatting sqref="J62">
    <cfRule type="cellIs" dxfId="219" priority="60" operator="lessThan">
      <formula>0</formula>
    </cfRule>
  </conditionalFormatting>
  <conditionalFormatting sqref="J60">
    <cfRule type="cellIs" dxfId="218" priority="59" operator="lessThan">
      <formula>0</formula>
    </cfRule>
  </conditionalFormatting>
  <conditionalFormatting sqref="J22">
    <cfRule type="cellIs" dxfId="217" priority="58" operator="lessThan">
      <formula>0</formula>
    </cfRule>
  </conditionalFormatting>
  <conditionalFormatting sqref="J13">
    <cfRule type="cellIs" dxfId="216" priority="57" operator="lessThan">
      <formula>0</formula>
    </cfRule>
  </conditionalFormatting>
  <conditionalFormatting sqref="K24">
    <cfRule type="cellIs" dxfId="215" priority="54" operator="lessThan">
      <formula>0</formula>
    </cfRule>
  </conditionalFormatting>
  <conditionalFormatting sqref="K23">
    <cfRule type="cellIs" dxfId="214" priority="55" operator="lessThan">
      <formula>0</formula>
    </cfRule>
  </conditionalFormatting>
  <conditionalFormatting sqref="K25">
    <cfRule type="cellIs" dxfId="213" priority="53" operator="lessThan">
      <formula>0</formula>
    </cfRule>
  </conditionalFormatting>
  <conditionalFormatting sqref="K27:K29">
    <cfRule type="cellIs" dxfId="212" priority="52" operator="lessThan">
      <formula>0</formula>
    </cfRule>
  </conditionalFormatting>
  <conditionalFormatting sqref="K31:K34">
    <cfRule type="cellIs" dxfId="211" priority="51" operator="lessThan">
      <formula>0</formula>
    </cfRule>
  </conditionalFormatting>
  <conditionalFormatting sqref="K36:K40">
    <cfRule type="cellIs" dxfId="210" priority="50" operator="lessThan">
      <formula>0</formula>
    </cfRule>
  </conditionalFormatting>
  <conditionalFormatting sqref="K42:K50">
    <cfRule type="cellIs" dxfId="209" priority="49" operator="lessThan">
      <formula>0</formula>
    </cfRule>
  </conditionalFormatting>
  <conditionalFormatting sqref="K52">
    <cfRule type="cellIs" dxfId="208" priority="48" operator="lessThan">
      <formula>0</formula>
    </cfRule>
  </conditionalFormatting>
  <conditionalFormatting sqref="K53">
    <cfRule type="cellIs" dxfId="207" priority="47" operator="lessThan">
      <formula>0</formula>
    </cfRule>
  </conditionalFormatting>
  <conditionalFormatting sqref="K55">
    <cfRule type="cellIs" dxfId="206" priority="46" operator="lessThan">
      <formula>0</formula>
    </cfRule>
  </conditionalFormatting>
  <conditionalFormatting sqref="K57">
    <cfRule type="cellIs" dxfId="205" priority="45" operator="lessThan">
      <formula>0</formula>
    </cfRule>
  </conditionalFormatting>
  <conditionalFormatting sqref="K58">
    <cfRule type="cellIs" dxfId="204" priority="44" operator="lessThan">
      <formula>0</formula>
    </cfRule>
  </conditionalFormatting>
  <conditionalFormatting sqref="K60">
    <cfRule type="cellIs" dxfId="203" priority="43" operator="lessThan">
      <formula>0</formula>
    </cfRule>
  </conditionalFormatting>
  <conditionalFormatting sqref="K62">
    <cfRule type="cellIs" dxfId="202" priority="42" operator="lessThan">
      <formula>0</formula>
    </cfRule>
  </conditionalFormatting>
  <conditionalFormatting sqref="K64">
    <cfRule type="cellIs" dxfId="201" priority="41" operator="lessThan">
      <formula>0</formula>
    </cfRule>
  </conditionalFormatting>
  <conditionalFormatting sqref="K66">
    <cfRule type="cellIs" dxfId="200" priority="40" operator="lessThan">
      <formula>0</formula>
    </cfRule>
  </conditionalFormatting>
  <conditionalFormatting sqref="K68">
    <cfRule type="cellIs" dxfId="199" priority="39" operator="lessThan">
      <formula>0</formula>
    </cfRule>
  </conditionalFormatting>
  <conditionalFormatting sqref="K65">
    <cfRule type="cellIs" dxfId="198" priority="37" operator="lessThan">
      <formula>0</formula>
    </cfRule>
  </conditionalFormatting>
  <conditionalFormatting sqref="K63">
    <cfRule type="cellIs" dxfId="197" priority="36" operator="lessThan">
      <formula>0</formula>
    </cfRule>
  </conditionalFormatting>
  <conditionalFormatting sqref="K61">
    <cfRule type="cellIs" dxfId="196" priority="35" operator="lessThan">
      <formula>0</formula>
    </cfRule>
  </conditionalFormatting>
  <conditionalFormatting sqref="K59">
    <cfRule type="cellIs" dxfId="195" priority="34" operator="lessThan">
      <formula>0</formula>
    </cfRule>
  </conditionalFormatting>
  <conditionalFormatting sqref="K56">
    <cfRule type="cellIs" dxfId="194" priority="33" operator="lessThan">
      <formula>0</formula>
    </cfRule>
  </conditionalFormatting>
  <conditionalFormatting sqref="K54">
    <cfRule type="cellIs" dxfId="193" priority="32" operator="lessThan">
      <formula>0</formula>
    </cfRule>
  </conditionalFormatting>
  <conditionalFormatting sqref="K51">
    <cfRule type="cellIs" dxfId="192" priority="31" operator="lessThan">
      <formula>0</formula>
    </cfRule>
  </conditionalFormatting>
  <conditionalFormatting sqref="K41">
    <cfRule type="cellIs" dxfId="191" priority="30" operator="lessThan">
      <formula>0</formula>
    </cfRule>
  </conditionalFormatting>
  <conditionalFormatting sqref="K35">
    <cfRule type="cellIs" dxfId="190" priority="29" operator="lessThan">
      <formula>0</formula>
    </cfRule>
  </conditionalFormatting>
  <conditionalFormatting sqref="K30">
    <cfRule type="cellIs" dxfId="189" priority="28" operator="lessThan">
      <formula>0</formula>
    </cfRule>
  </conditionalFormatting>
  <conditionalFormatting sqref="K26">
    <cfRule type="cellIs" dxfId="188" priority="27" operator="lessThan">
      <formula>0</formula>
    </cfRule>
  </conditionalFormatting>
  <conditionalFormatting sqref="K22">
    <cfRule type="cellIs" dxfId="187" priority="26" operator="lessThan">
      <formula>0</formula>
    </cfRule>
  </conditionalFormatting>
  <conditionalFormatting sqref="J131">
    <cfRule type="cellIs" dxfId="186" priority="24" operator="lessThan">
      <formula>0</formula>
    </cfRule>
  </conditionalFormatting>
  <conditionalFormatting sqref="K78">
    <cfRule type="cellIs" dxfId="185" priority="20" operator="lessThan">
      <formula>0</formula>
    </cfRule>
  </conditionalFormatting>
  <conditionalFormatting sqref="J87">
    <cfRule type="cellIs" dxfId="184" priority="23" operator="lessThan">
      <formula>0</formula>
    </cfRule>
  </conditionalFormatting>
  <conditionalFormatting sqref="J78">
    <cfRule type="cellIs" dxfId="183" priority="22" operator="lessThan">
      <formula>0</formula>
    </cfRule>
  </conditionalFormatting>
  <conditionalFormatting sqref="K131">
    <cfRule type="cellIs" dxfId="182" priority="21" operator="lessThan">
      <formula>0</formula>
    </cfRule>
  </conditionalFormatting>
  <conditionalFormatting sqref="H65:I65">
    <cfRule type="cellIs" dxfId="181" priority="19" operator="lessThan">
      <formula>0</formula>
    </cfRule>
  </conditionalFormatting>
  <conditionalFormatting sqref="H63:I63">
    <cfRule type="cellIs" dxfId="180" priority="18" operator="lessThan">
      <formula>0</formula>
    </cfRule>
  </conditionalFormatting>
  <conditionalFormatting sqref="H61:I61">
    <cfRule type="cellIs" dxfId="179" priority="17" operator="lessThan">
      <formula>0</formula>
    </cfRule>
  </conditionalFormatting>
  <conditionalFormatting sqref="H59:I59">
    <cfRule type="cellIs" dxfId="178" priority="16" operator="lessThan">
      <formula>0</formula>
    </cfRule>
  </conditionalFormatting>
  <conditionalFormatting sqref="H56:I56">
    <cfRule type="cellIs" dxfId="177" priority="15" operator="lessThan">
      <formula>0</formula>
    </cfRule>
  </conditionalFormatting>
  <conditionalFormatting sqref="H54:I54">
    <cfRule type="cellIs" dxfId="176" priority="14" operator="lessThan">
      <formula>0</formula>
    </cfRule>
  </conditionalFormatting>
  <conditionalFormatting sqref="H51:I51">
    <cfRule type="cellIs" dxfId="175" priority="13" operator="lessThan">
      <formula>0</formula>
    </cfRule>
  </conditionalFormatting>
  <conditionalFormatting sqref="H41:I41">
    <cfRule type="cellIs" dxfId="174" priority="12" operator="lessThan">
      <formula>0</formula>
    </cfRule>
  </conditionalFormatting>
  <conditionalFormatting sqref="H35:I35">
    <cfRule type="cellIs" dxfId="173" priority="11" operator="lessThan">
      <formula>0</formula>
    </cfRule>
  </conditionalFormatting>
  <conditionalFormatting sqref="H22:I22">
    <cfRule type="cellIs" dxfId="172" priority="10" operator="lessThan">
      <formula>0</formula>
    </cfRule>
  </conditionalFormatting>
  <conditionalFormatting sqref="H26:I26">
    <cfRule type="cellIs" dxfId="171" priority="9" operator="lessThan">
      <formula>0</formula>
    </cfRule>
  </conditionalFormatting>
  <conditionalFormatting sqref="H30:I30">
    <cfRule type="cellIs" dxfId="170" priority="8" operator="lessThan">
      <formula>0</formula>
    </cfRule>
  </conditionalFormatting>
  <conditionalFormatting sqref="H13:I13">
    <cfRule type="cellIs" dxfId="169" priority="7" operator="lessThan">
      <formula>0</formula>
    </cfRule>
  </conditionalFormatting>
  <conditionalFormatting sqref="I14:I21">
    <cfRule type="cellIs" dxfId="168" priority="6" operator="lessThan">
      <formula>0</formula>
    </cfRule>
  </conditionalFormatting>
  <conditionalFormatting sqref="N12:O17">
    <cfRule type="cellIs" dxfId="167" priority="5" operator="lessThan">
      <formula>0</formula>
    </cfRule>
  </conditionalFormatting>
  <conditionalFormatting sqref="T12:T17">
    <cfRule type="cellIs" dxfId="166" priority="4" operator="lessThan">
      <formula>0</formula>
    </cfRule>
  </conditionalFormatting>
  <conditionalFormatting sqref="U12:U17">
    <cfRule type="cellIs" dxfId="165" priority="1" operator="lessThan">
      <formula>0</formula>
    </cfRule>
  </conditionalFormatting>
  <conditionalFormatting sqref="V12:V17">
    <cfRule type="cellIs" dxfId="164" priority="2" operator="lessThan">
      <formula>0</formula>
    </cfRule>
  </conditionalFormatting>
  <hyperlinks>
    <hyperlink ref="B1" r:id="rId1" xr:uid="{00000000-0004-0000-0200-000000000000}"/>
    <hyperlink ref="L1" location="ÍNDICE!A1" display="ÍNDICE!A1" xr:uid="{00000000-0004-0000-0200-000001000000}"/>
    <hyperlink ref="B2" r:id="rId2" xr:uid="{00000000-0004-0000-0200-000002000000}"/>
    <hyperlink ref="C5" location="'ALM-REPR'!A7" display="ECOLÓGICO + CONVENCIONAL" xr:uid="{00000000-0004-0000-0200-000003000000}"/>
    <hyperlink ref="C6" location="'ALM-REPR'!A107" display="ECOLÓGICO + CONVENCIONAL" xr:uid="{00000000-0004-0000-0200-000004000000}"/>
    <hyperlink ref="C6:D6" location="'ALM-REPR'!A73" display="ECOLÓGICO + CONVENCIONAL" xr:uid="{8BD81661-D8C4-4B77-8B77-4BDBA557E4C6}"/>
  </hyperlinks>
  <pageMargins left="0.7" right="0.7" top="0.75" bottom="0.75" header="0.3" footer="0.3"/>
  <pageSetup paperSize="9" orientation="portrait" r:id="rId3"/>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T127"/>
  <sheetViews>
    <sheetView workbookViewId="0"/>
  </sheetViews>
  <sheetFormatPr baseColWidth="10" defaultRowHeight="14.5" x14ac:dyDescent="0.35"/>
  <cols>
    <col min="1" max="1" width="21.54296875" bestFit="1" customWidth="1"/>
    <col min="2" max="9" width="15.81640625" customWidth="1"/>
    <col min="11" max="11" width="17.81640625" bestFit="1" customWidth="1"/>
    <col min="12" max="12" width="16.54296875" bestFit="1" customWidth="1"/>
    <col min="13" max="13" width="18" bestFit="1" customWidth="1"/>
    <col min="14" max="15" width="18.54296875" customWidth="1"/>
    <col min="16" max="16" width="17.81640625" customWidth="1"/>
    <col min="17" max="17" width="15" customWidth="1"/>
    <col min="18" max="19" width="12.453125" customWidth="1"/>
  </cols>
  <sheetData>
    <row r="1" spans="1:20" x14ac:dyDescent="0.35">
      <c r="A1" s="240" t="s">
        <v>10</v>
      </c>
      <c r="B1" s="2" t="s">
        <v>9</v>
      </c>
      <c r="C1" s="3"/>
      <c r="D1" s="3"/>
      <c r="E1" s="3"/>
      <c r="F1" s="3"/>
      <c r="G1" s="3"/>
      <c r="H1" s="3"/>
      <c r="K1" s="286" t="s">
        <v>143</v>
      </c>
      <c r="L1" s="2" t="s">
        <v>144</v>
      </c>
    </row>
    <row r="2" spans="1:20" x14ac:dyDescent="0.35">
      <c r="B2" s="304" t="s">
        <v>221</v>
      </c>
    </row>
    <row r="3" spans="1:20" x14ac:dyDescent="0.35">
      <c r="B3" s="304"/>
    </row>
    <row r="4" spans="1:20" x14ac:dyDescent="0.35">
      <c r="C4" t="s">
        <v>243</v>
      </c>
      <c r="G4" s="463" t="s">
        <v>293</v>
      </c>
    </row>
    <row r="5" spans="1:20" ht="15.5" x14ac:dyDescent="0.35">
      <c r="A5" s="283" t="s">
        <v>236</v>
      </c>
      <c r="C5" s="680" t="s">
        <v>212</v>
      </c>
      <c r="D5" s="680"/>
      <c r="F5" s="461" t="s">
        <v>287</v>
      </c>
      <c r="G5" s="462">
        <f>C67</f>
        <v>44022.01</v>
      </c>
      <c r="H5" s="318">
        <f>G5/G7</f>
        <v>0.73790400578763882</v>
      </c>
    </row>
    <row r="6" spans="1:20" ht="15.5" x14ac:dyDescent="0.35">
      <c r="A6" s="284" t="s">
        <v>237</v>
      </c>
      <c r="C6" s="681" t="s">
        <v>212</v>
      </c>
      <c r="D6" s="681"/>
      <c r="F6" s="461" t="s">
        <v>288</v>
      </c>
      <c r="G6" s="462">
        <f>C127</f>
        <v>15636.170000000002</v>
      </c>
      <c r="H6" s="318">
        <f>G6/G7</f>
        <v>0.26209599421236113</v>
      </c>
    </row>
    <row r="7" spans="1:20" x14ac:dyDescent="0.35">
      <c r="F7" s="465" t="s">
        <v>289</v>
      </c>
      <c r="G7" s="466">
        <f>G6+G5</f>
        <v>59658.180000000008</v>
      </c>
    </row>
    <row r="8" spans="1:20" ht="15" customHeight="1" x14ac:dyDescent="0.35">
      <c r="A8" s="283" t="s">
        <v>63</v>
      </c>
    </row>
    <row r="9" spans="1:20" ht="15" customHeight="1" x14ac:dyDescent="0.35">
      <c r="A9" s="285" t="s">
        <v>212</v>
      </c>
      <c r="B9" s="222"/>
      <c r="C9" s="221"/>
      <c r="D9" s="221"/>
      <c r="E9" s="221"/>
      <c r="F9" s="221"/>
      <c r="G9" s="221"/>
    </row>
    <row r="10" spans="1:20" x14ac:dyDescent="0.35">
      <c r="K10" s="319" t="s">
        <v>225</v>
      </c>
      <c r="Q10" s="319" t="s">
        <v>227</v>
      </c>
    </row>
    <row r="11" spans="1:20" ht="43" customHeight="1" x14ac:dyDescent="0.35">
      <c r="A11" s="677" t="s">
        <v>0</v>
      </c>
      <c r="B11" s="686" t="s">
        <v>1</v>
      </c>
      <c r="C11" s="687"/>
      <c r="D11" s="679" t="s">
        <v>217</v>
      </c>
      <c r="E11" s="679"/>
      <c r="F11" s="679" t="s">
        <v>218</v>
      </c>
      <c r="G11" s="679"/>
      <c r="H11" s="688" t="s">
        <v>2</v>
      </c>
      <c r="I11" s="688"/>
      <c r="K11" s="321"/>
      <c r="L11" s="157" t="s">
        <v>228</v>
      </c>
      <c r="M11" s="157" t="s">
        <v>229</v>
      </c>
      <c r="N11" s="322" t="s">
        <v>282</v>
      </c>
      <c r="O11" s="448" t="s">
        <v>285</v>
      </c>
      <c r="R11" s="157" t="s">
        <v>226</v>
      </c>
      <c r="S11" s="157" t="s">
        <v>228</v>
      </c>
      <c r="T11" s="322" t="s">
        <v>230</v>
      </c>
    </row>
    <row r="12" spans="1:20" x14ac:dyDescent="0.35">
      <c r="A12" s="678"/>
      <c r="B12" s="225">
        <v>2020</v>
      </c>
      <c r="C12" s="225">
        <v>2021</v>
      </c>
      <c r="D12" s="225">
        <v>2020</v>
      </c>
      <c r="E12" s="225">
        <v>2021</v>
      </c>
      <c r="F12" s="225">
        <v>2020</v>
      </c>
      <c r="G12" s="225">
        <v>2021</v>
      </c>
      <c r="H12" s="225" t="s">
        <v>3</v>
      </c>
      <c r="I12" s="225" t="s">
        <v>4</v>
      </c>
      <c r="K12" s="324" t="s">
        <v>15</v>
      </c>
      <c r="L12" s="456">
        <v>34604.449999999997</v>
      </c>
      <c r="M12" s="456">
        <v>33546</v>
      </c>
      <c r="N12" s="454">
        <f>L12/M12</f>
        <v>1.0315521969832468</v>
      </c>
      <c r="O12" s="454">
        <f>F35</f>
        <v>1.0338550171420495</v>
      </c>
      <c r="Q12" s="324" t="s">
        <v>15</v>
      </c>
      <c r="R12" s="320">
        <v>29250.860000000008</v>
      </c>
      <c r="S12" s="457">
        <v>34604.449999999997</v>
      </c>
      <c r="T12" s="458">
        <f>S12/R12-1</f>
        <v>0.18302333674975668</v>
      </c>
    </row>
    <row r="13" spans="1:20" x14ac:dyDescent="0.35">
      <c r="A13" s="32" t="s">
        <v>5</v>
      </c>
      <c r="B13" s="21">
        <f>SUM(B14:B21)</f>
        <v>2889.32</v>
      </c>
      <c r="C13" s="21">
        <f t="shared" ref="C13:E13" si="0">SUM(C14:C21)</f>
        <v>4141.8799999999974</v>
      </c>
      <c r="D13" s="21">
        <f t="shared" si="0"/>
        <v>2909</v>
      </c>
      <c r="E13" s="21">
        <f t="shared" si="0"/>
        <v>4097</v>
      </c>
      <c r="F13" s="35">
        <f t="shared" ref="F13" si="1">IFERROR(B13/D13,"")</f>
        <v>0.99323478858714342</v>
      </c>
      <c r="G13" s="35">
        <f t="shared" ref="G13" si="2">IFERROR(C13/E13,"")</f>
        <v>1.0109543568464723</v>
      </c>
      <c r="H13" s="34">
        <f>IFERROR(C13-B13,"")</f>
        <v>1252.5599999999972</v>
      </c>
      <c r="I13" s="35">
        <f>IFERROR((C13/B13)-1,"")</f>
        <v>0.43351376794539798</v>
      </c>
      <c r="K13" s="324" t="s">
        <v>5</v>
      </c>
      <c r="L13" s="456">
        <v>4141.8799999999974</v>
      </c>
      <c r="M13" s="456">
        <v>4097</v>
      </c>
      <c r="N13" s="454">
        <f t="shared" ref="N13:N16" si="3">L13/M13</f>
        <v>1.0109543568464723</v>
      </c>
      <c r="O13" s="454">
        <f>F13</f>
        <v>0.99323478858714342</v>
      </c>
      <c r="Q13" s="324" t="s">
        <v>5</v>
      </c>
      <c r="R13" s="320">
        <v>2889.32</v>
      </c>
      <c r="S13" s="457">
        <v>4141.8799999999974</v>
      </c>
      <c r="T13" s="458">
        <f t="shared" ref="T13:T16" si="4">S13/R13-1</f>
        <v>0.43351376794539798</v>
      </c>
    </row>
    <row r="14" spans="1:20" x14ac:dyDescent="0.35">
      <c r="A14" s="5" t="s">
        <v>6</v>
      </c>
      <c r="B14" s="12">
        <v>77.789999999999992</v>
      </c>
      <c r="C14" s="12">
        <v>121.53999999999999</v>
      </c>
      <c r="D14" s="12">
        <v>86</v>
      </c>
      <c r="E14" s="12">
        <v>122</v>
      </c>
      <c r="F14" s="22">
        <f>IFERROR(B14/D14,"")</f>
        <v>0.90453488372093016</v>
      </c>
      <c r="G14" s="22">
        <f>IFERROR(C14/E14,"")</f>
        <v>0.99622950819672129</v>
      </c>
      <c r="H14" s="12">
        <f t="shared" ref="H14:H67" si="5">IFERROR(C14-B14,"")</f>
        <v>43.75</v>
      </c>
      <c r="I14" s="48">
        <f t="shared" ref="I14:I67" si="6">IFERROR((C14/B14)-1,"")</f>
        <v>0.56241162103098086</v>
      </c>
      <c r="K14" s="324" t="s">
        <v>231</v>
      </c>
      <c r="L14" s="456">
        <v>1955.57</v>
      </c>
      <c r="M14" s="456">
        <v>464</v>
      </c>
      <c r="N14" s="454">
        <f t="shared" si="3"/>
        <v>4.2145905172413789</v>
      </c>
      <c r="O14" s="454">
        <f>F41</f>
        <v>3.8888962472406172</v>
      </c>
      <c r="Q14" s="324" t="s">
        <v>231</v>
      </c>
      <c r="R14" s="320">
        <v>1761.6699999999996</v>
      </c>
      <c r="S14" s="457">
        <v>1955.57</v>
      </c>
      <c r="T14" s="458">
        <f t="shared" si="4"/>
        <v>0.11006601690441475</v>
      </c>
    </row>
    <row r="15" spans="1:20" x14ac:dyDescent="0.35">
      <c r="A15" s="6" t="s">
        <v>7</v>
      </c>
      <c r="B15" s="12">
        <v>170.53</v>
      </c>
      <c r="C15" s="12">
        <v>219.78</v>
      </c>
      <c r="D15" s="12">
        <v>171</v>
      </c>
      <c r="E15" s="12">
        <v>220</v>
      </c>
      <c r="F15" s="22">
        <f t="shared" ref="F15:G26" si="7">IFERROR(B15/D15,"")</f>
        <v>0.99725146198830406</v>
      </c>
      <c r="G15" s="22">
        <f t="shared" si="7"/>
        <v>0.999</v>
      </c>
      <c r="H15" s="12">
        <f t="shared" si="5"/>
        <v>49.25</v>
      </c>
      <c r="I15" s="48">
        <f t="shared" si="6"/>
        <v>0.28880548877030443</v>
      </c>
      <c r="K15" s="324" t="s">
        <v>17</v>
      </c>
      <c r="L15" s="456">
        <v>1435.12</v>
      </c>
      <c r="M15" s="456">
        <v>1218</v>
      </c>
      <c r="N15" s="454">
        <f t="shared" si="3"/>
        <v>1.1782594417077175</v>
      </c>
      <c r="O15" s="454">
        <f>F51</f>
        <v>2.9179283887468026</v>
      </c>
      <c r="Q15" s="324" t="s">
        <v>17</v>
      </c>
      <c r="R15" s="320">
        <v>1140.9099999999999</v>
      </c>
      <c r="S15" s="457">
        <v>1435.12</v>
      </c>
      <c r="T15" s="458">
        <f t="shared" si="4"/>
        <v>0.25787310129633378</v>
      </c>
    </row>
    <row r="16" spans="1:20" x14ac:dyDescent="0.35">
      <c r="A16" s="6" t="s">
        <v>8</v>
      </c>
      <c r="B16" s="12">
        <v>291.76</v>
      </c>
      <c r="C16" s="12">
        <v>339.93</v>
      </c>
      <c r="D16" s="12">
        <v>292</v>
      </c>
      <c r="E16" s="12">
        <v>340</v>
      </c>
      <c r="F16" s="22">
        <f t="shared" si="7"/>
        <v>0.99917808219178084</v>
      </c>
      <c r="G16" s="22">
        <f t="shared" si="7"/>
        <v>0.99979411764705883</v>
      </c>
      <c r="H16" s="12">
        <f t="shared" si="5"/>
        <v>48.170000000000016</v>
      </c>
      <c r="I16" s="48">
        <f t="shared" si="6"/>
        <v>0.16510145324924608</v>
      </c>
      <c r="K16" s="324" t="s">
        <v>12</v>
      </c>
      <c r="L16" s="456">
        <v>440.16</v>
      </c>
      <c r="M16" s="456">
        <v>460</v>
      </c>
      <c r="N16" s="454">
        <f t="shared" si="3"/>
        <v>0.9568695652173913</v>
      </c>
      <c r="O16" s="454">
        <f>F22</f>
        <v>0.92306024096385553</v>
      </c>
      <c r="Q16" s="324" t="s">
        <v>12</v>
      </c>
      <c r="R16" s="320">
        <v>383.07000000000005</v>
      </c>
      <c r="S16" s="457">
        <v>440.16</v>
      </c>
      <c r="T16" s="458">
        <f t="shared" si="4"/>
        <v>0.14903281384603329</v>
      </c>
    </row>
    <row r="17" spans="1:14" x14ac:dyDescent="0.35">
      <c r="A17" s="6" t="s">
        <v>26</v>
      </c>
      <c r="B17" s="12">
        <v>1078.49</v>
      </c>
      <c r="C17" s="12">
        <v>1925.3199999999983</v>
      </c>
      <c r="D17" s="12">
        <v>975</v>
      </c>
      <c r="E17" s="12">
        <v>1858</v>
      </c>
      <c r="F17" s="22">
        <f t="shared" si="7"/>
        <v>1.1061435897435898</v>
      </c>
      <c r="G17" s="22">
        <f t="shared" si="7"/>
        <v>1.036232508073196</v>
      </c>
      <c r="H17" s="12">
        <f t="shared" si="5"/>
        <v>846.82999999999834</v>
      </c>
      <c r="I17" s="48">
        <f t="shared" si="6"/>
        <v>0.78519967732663098</v>
      </c>
      <c r="N17" s="318"/>
    </row>
    <row r="18" spans="1:14" x14ac:dyDescent="0.35">
      <c r="A18" s="6" t="s">
        <v>27</v>
      </c>
      <c r="B18" s="12">
        <v>45.9</v>
      </c>
      <c r="C18" s="12">
        <v>50.679999999999993</v>
      </c>
      <c r="D18" s="12">
        <v>60</v>
      </c>
      <c r="E18" s="12">
        <v>85</v>
      </c>
      <c r="F18" s="22">
        <f t="shared" si="7"/>
        <v>0.76500000000000001</v>
      </c>
      <c r="G18" s="22">
        <f t="shared" si="7"/>
        <v>0.59623529411764697</v>
      </c>
      <c r="H18" s="12">
        <f t="shared" si="5"/>
        <v>4.779999999999994</v>
      </c>
      <c r="I18" s="48">
        <f t="shared" si="6"/>
        <v>0.10413943355119804</v>
      </c>
    </row>
    <row r="19" spans="1:14" x14ac:dyDescent="0.35">
      <c r="A19" s="6" t="s">
        <v>28</v>
      </c>
      <c r="B19" s="12">
        <v>474.95</v>
      </c>
      <c r="C19" s="12">
        <v>573.18999999999983</v>
      </c>
      <c r="D19" s="12">
        <v>553</v>
      </c>
      <c r="E19" s="12">
        <v>558</v>
      </c>
      <c r="F19" s="22">
        <f t="shared" si="7"/>
        <v>0.85886075949367091</v>
      </c>
      <c r="G19" s="22">
        <f t="shared" si="7"/>
        <v>1.0272222222222218</v>
      </c>
      <c r="H19" s="12">
        <f t="shared" si="5"/>
        <v>98.239999999999839</v>
      </c>
      <c r="I19" s="48">
        <f t="shared" si="6"/>
        <v>0.20684282556058498</v>
      </c>
    </row>
    <row r="20" spans="1:14" x14ac:dyDescent="0.35">
      <c r="A20" s="6" t="s">
        <v>29</v>
      </c>
      <c r="B20" s="12">
        <v>363.01999999999992</v>
      </c>
      <c r="C20" s="12">
        <v>479.68999999999988</v>
      </c>
      <c r="D20" s="12">
        <v>377</v>
      </c>
      <c r="E20" s="12">
        <v>482</v>
      </c>
      <c r="F20" s="22">
        <f t="shared" si="7"/>
        <v>0.96291777188328898</v>
      </c>
      <c r="G20" s="22">
        <f t="shared" si="7"/>
        <v>0.99520746887966782</v>
      </c>
      <c r="H20" s="12">
        <f t="shared" si="5"/>
        <v>116.66999999999996</v>
      </c>
      <c r="I20" s="48">
        <f t="shared" si="6"/>
        <v>0.3213872513911078</v>
      </c>
    </row>
    <row r="21" spans="1:14" x14ac:dyDescent="0.35">
      <c r="A21" s="6" t="s">
        <v>30</v>
      </c>
      <c r="B21" s="12">
        <v>386.87999999999994</v>
      </c>
      <c r="C21" s="12">
        <v>431.75</v>
      </c>
      <c r="D21" s="12">
        <v>395</v>
      </c>
      <c r="E21" s="12">
        <v>432</v>
      </c>
      <c r="F21" s="22">
        <f t="shared" si="7"/>
        <v>0.97944303797468335</v>
      </c>
      <c r="G21" s="22">
        <f t="shared" si="7"/>
        <v>0.99942129629629628</v>
      </c>
      <c r="H21" s="12">
        <f t="shared" si="5"/>
        <v>44.870000000000061</v>
      </c>
      <c r="I21" s="48">
        <f t="shared" si="6"/>
        <v>0.11597911497105073</v>
      </c>
    </row>
    <row r="22" spans="1:14" x14ac:dyDescent="0.35">
      <c r="A22" s="4" t="s">
        <v>12</v>
      </c>
      <c r="B22" s="21">
        <f>SUM(B23:B25)</f>
        <v>383.07000000000005</v>
      </c>
      <c r="C22" s="21">
        <f t="shared" ref="C22:E22" si="8">SUM(C23:C25)</f>
        <v>440.16</v>
      </c>
      <c r="D22" s="21">
        <f t="shared" si="8"/>
        <v>415</v>
      </c>
      <c r="E22" s="21">
        <f t="shared" si="8"/>
        <v>460</v>
      </c>
      <c r="F22" s="35">
        <f t="shared" si="7"/>
        <v>0.92306024096385553</v>
      </c>
      <c r="G22" s="35">
        <f t="shared" si="7"/>
        <v>0.9568695652173913</v>
      </c>
      <c r="H22" s="34">
        <f t="shared" si="5"/>
        <v>57.089999999999975</v>
      </c>
      <c r="I22" s="35">
        <f t="shared" si="6"/>
        <v>0.14903281384603329</v>
      </c>
    </row>
    <row r="23" spans="1:14" x14ac:dyDescent="0.35">
      <c r="A23" s="6" t="s">
        <v>31</v>
      </c>
      <c r="B23" s="12">
        <v>29.15</v>
      </c>
      <c r="C23" s="12">
        <v>38.46</v>
      </c>
      <c r="D23" s="12">
        <v>29</v>
      </c>
      <c r="E23" s="12">
        <v>38</v>
      </c>
      <c r="F23" s="22">
        <f t="shared" si="7"/>
        <v>1.0051724137931033</v>
      </c>
      <c r="G23" s="22">
        <f t="shared" si="7"/>
        <v>1.0121052631578948</v>
      </c>
      <c r="H23" s="46">
        <f t="shared" si="5"/>
        <v>9.3100000000000023</v>
      </c>
      <c r="I23" s="48">
        <f t="shared" si="6"/>
        <v>0.31938250428816484</v>
      </c>
    </row>
    <row r="24" spans="1:14" x14ac:dyDescent="0.35">
      <c r="A24" s="6" t="s">
        <v>32</v>
      </c>
      <c r="B24" s="12">
        <v>130.69000000000003</v>
      </c>
      <c r="C24" s="12">
        <v>146.85</v>
      </c>
      <c r="D24" s="12">
        <v>163</v>
      </c>
      <c r="E24" s="12">
        <v>166</v>
      </c>
      <c r="F24" s="22">
        <f t="shared" si="7"/>
        <v>0.8017791411042946</v>
      </c>
      <c r="G24" s="22">
        <f t="shared" si="7"/>
        <v>0.88463855421686743</v>
      </c>
      <c r="H24" s="46">
        <f t="shared" si="5"/>
        <v>16.159999999999968</v>
      </c>
      <c r="I24" s="48">
        <f t="shared" si="6"/>
        <v>0.12365138878261517</v>
      </c>
    </row>
    <row r="25" spans="1:14" x14ac:dyDescent="0.35">
      <c r="A25" s="6" t="s">
        <v>33</v>
      </c>
      <c r="B25" s="12">
        <v>223.23000000000002</v>
      </c>
      <c r="C25" s="12">
        <v>254.85000000000002</v>
      </c>
      <c r="D25" s="12">
        <v>223</v>
      </c>
      <c r="E25" s="12">
        <v>256</v>
      </c>
      <c r="F25" s="22">
        <f t="shared" si="7"/>
        <v>1.0010313901345291</v>
      </c>
      <c r="G25" s="22">
        <f t="shared" si="7"/>
        <v>0.99550781250000009</v>
      </c>
      <c r="H25" s="46">
        <f t="shared" si="5"/>
        <v>31.620000000000005</v>
      </c>
      <c r="I25" s="48">
        <f t="shared" si="6"/>
        <v>0.14164762800698827</v>
      </c>
    </row>
    <row r="26" spans="1:14" x14ac:dyDescent="0.35">
      <c r="A26" s="4" t="s">
        <v>13</v>
      </c>
      <c r="B26" s="21">
        <v>164.30999999999997</v>
      </c>
      <c r="C26" s="21">
        <f>SUM(C27:C29)</f>
        <v>244.41999999999996</v>
      </c>
      <c r="D26" s="21">
        <f t="shared" ref="D26:E26" si="9">SUM(D27:D29)</f>
        <v>148</v>
      </c>
      <c r="E26" s="21">
        <f t="shared" si="9"/>
        <v>234</v>
      </c>
      <c r="F26" s="35">
        <f t="shared" si="7"/>
        <v>1.1102027027027026</v>
      </c>
      <c r="G26" s="35">
        <f t="shared" si="7"/>
        <v>1.0445299145299143</v>
      </c>
      <c r="H26" s="34">
        <f t="shared" si="5"/>
        <v>80.109999999999985</v>
      </c>
      <c r="I26" s="35">
        <f t="shared" si="6"/>
        <v>0.48755401375448848</v>
      </c>
    </row>
    <row r="27" spans="1:14" x14ac:dyDescent="0.35">
      <c r="A27" s="6" t="s">
        <v>34</v>
      </c>
      <c r="B27" s="12">
        <v>2.21</v>
      </c>
      <c r="C27" s="12">
        <v>2.4</v>
      </c>
      <c r="D27" s="12"/>
      <c r="E27" s="12">
        <v>0</v>
      </c>
      <c r="F27" s="22" t="str">
        <f t="shared" ref="F27:F30" si="10">IFERROR(B27/D27,"")</f>
        <v/>
      </c>
      <c r="G27" s="22" t="str">
        <f t="shared" ref="G27:G30" si="11">IFERROR(C27/E27,"")</f>
        <v/>
      </c>
      <c r="H27" s="46">
        <f t="shared" si="5"/>
        <v>0.18999999999999995</v>
      </c>
      <c r="I27" s="48">
        <f t="shared" si="6"/>
        <v>8.5972850678732948E-2</v>
      </c>
    </row>
    <row r="28" spans="1:14" x14ac:dyDescent="0.35">
      <c r="A28" s="6" t="s">
        <v>35</v>
      </c>
      <c r="B28" s="12">
        <v>2.2199999999999998</v>
      </c>
      <c r="C28" s="12">
        <v>8.11</v>
      </c>
      <c r="D28" s="12">
        <v>2</v>
      </c>
      <c r="E28" s="12">
        <v>9</v>
      </c>
      <c r="F28" s="22">
        <f t="shared" si="10"/>
        <v>1.1099999999999999</v>
      </c>
      <c r="G28" s="22">
        <f t="shared" si="11"/>
        <v>0.90111111111111108</v>
      </c>
      <c r="H28" s="46">
        <f t="shared" si="5"/>
        <v>5.89</v>
      </c>
      <c r="I28" s="48">
        <f t="shared" si="6"/>
        <v>2.6531531531531534</v>
      </c>
    </row>
    <row r="29" spans="1:14" x14ac:dyDescent="0.35">
      <c r="A29" s="6" t="s">
        <v>36</v>
      </c>
      <c r="B29" s="12">
        <v>159.88</v>
      </c>
      <c r="C29" s="12">
        <v>233.90999999999997</v>
      </c>
      <c r="D29" s="12">
        <v>146</v>
      </c>
      <c r="E29" s="12">
        <v>225</v>
      </c>
      <c r="F29" s="22">
        <f t="shared" si="10"/>
        <v>1.0950684931506849</v>
      </c>
      <c r="G29" s="22">
        <f t="shared" si="11"/>
        <v>1.0395999999999999</v>
      </c>
      <c r="H29" s="46">
        <f t="shared" si="5"/>
        <v>74.029999999999973</v>
      </c>
      <c r="I29" s="48">
        <f t="shared" si="6"/>
        <v>0.46303477608206145</v>
      </c>
    </row>
    <row r="30" spans="1:14" x14ac:dyDescent="0.35">
      <c r="A30" s="4" t="s">
        <v>14</v>
      </c>
      <c r="B30" s="21">
        <f>SUM(B31:B34)</f>
        <v>231.85000000000002</v>
      </c>
      <c r="C30" s="21">
        <f t="shared" ref="C30:E30" si="12">SUM(C31:C34)</f>
        <v>231.96000000000006</v>
      </c>
      <c r="D30" s="21">
        <f t="shared" si="12"/>
        <v>233</v>
      </c>
      <c r="E30" s="21">
        <f t="shared" si="12"/>
        <v>234</v>
      </c>
      <c r="F30" s="295">
        <f t="shared" si="10"/>
        <v>0.99506437768240352</v>
      </c>
      <c r="G30" s="295">
        <f t="shared" si="11"/>
        <v>0.9912820512820516</v>
      </c>
      <c r="H30" s="34">
        <f t="shared" si="5"/>
        <v>0.11000000000004206</v>
      </c>
      <c r="I30" s="35">
        <f t="shared" si="6"/>
        <v>4.7444468406321327E-4</v>
      </c>
    </row>
    <row r="31" spans="1:14" x14ac:dyDescent="0.35">
      <c r="A31" s="6" t="s">
        <v>37</v>
      </c>
      <c r="B31" s="12">
        <v>2.23</v>
      </c>
      <c r="C31" s="12">
        <v>3.3699999999999997</v>
      </c>
      <c r="D31" s="93">
        <v>4</v>
      </c>
      <c r="E31" s="12">
        <v>4</v>
      </c>
      <c r="F31" s="22">
        <f t="shared" ref="F31:F33" si="13">IFERROR(B31/D31,"")</f>
        <v>0.5575</v>
      </c>
      <c r="G31" s="22">
        <f t="shared" ref="G31:G33" si="14">IFERROR(C31/E31,"")</f>
        <v>0.84249999999999992</v>
      </c>
      <c r="H31" s="12">
        <f t="shared" si="5"/>
        <v>1.1399999999999997</v>
      </c>
      <c r="I31" s="48">
        <f t="shared" si="6"/>
        <v>0.51121076233183849</v>
      </c>
    </row>
    <row r="32" spans="1:14" x14ac:dyDescent="0.35">
      <c r="A32" s="6" t="s">
        <v>38</v>
      </c>
      <c r="B32" s="12">
        <v>2.54</v>
      </c>
      <c r="C32" s="12">
        <v>2.54</v>
      </c>
      <c r="D32" s="93">
        <v>3</v>
      </c>
      <c r="E32" s="12">
        <v>0</v>
      </c>
      <c r="F32" s="22">
        <f t="shared" si="13"/>
        <v>0.84666666666666668</v>
      </c>
      <c r="G32" s="22" t="str">
        <f t="shared" si="14"/>
        <v/>
      </c>
      <c r="H32" s="12">
        <f t="shared" si="5"/>
        <v>0</v>
      </c>
      <c r="I32" s="48">
        <f t="shared" si="6"/>
        <v>0</v>
      </c>
    </row>
    <row r="33" spans="1:9" x14ac:dyDescent="0.35">
      <c r="A33" s="6" t="s">
        <v>39</v>
      </c>
      <c r="B33" s="12">
        <v>220.71</v>
      </c>
      <c r="C33" s="12">
        <v>222.22000000000006</v>
      </c>
      <c r="D33" s="93">
        <v>220</v>
      </c>
      <c r="E33" s="12">
        <v>227</v>
      </c>
      <c r="F33" s="22">
        <f t="shared" si="13"/>
        <v>1.0032272727272729</v>
      </c>
      <c r="G33" s="22">
        <f t="shared" si="14"/>
        <v>0.97894273127753328</v>
      </c>
      <c r="H33" s="12">
        <f t="shared" si="5"/>
        <v>1.5100000000000477</v>
      </c>
      <c r="I33" s="48">
        <f t="shared" si="6"/>
        <v>6.8415567939832389E-3</v>
      </c>
    </row>
    <row r="34" spans="1:9" x14ac:dyDescent="0.35">
      <c r="A34" s="6" t="s">
        <v>40</v>
      </c>
      <c r="B34" s="12">
        <v>6.3699999999999992</v>
      </c>
      <c r="C34" s="12">
        <v>3.83</v>
      </c>
      <c r="D34" s="93">
        <v>6</v>
      </c>
      <c r="E34" s="12">
        <v>3</v>
      </c>
      <c r="F34" s="22">
        <f t="shared" ref="F34:F35" si="15">IFERROR(B34/D34,"")</f>
        <v>1.0616666666666665</v>
      </c>
      <c r="G34" s="22">
        <f t="shared" ref="G34:G35" si="16">IFERROR(C34/E34,"")</f>
        <v>1.2766666666666666</v>
      </c>
      <c r="H34" s="12">
        <f t="shared" si="5"/>
        <v>-2.5399999999999991</v>
      </c>
      <c r="I34" s="48">
        <f t="shared" si="6"/>
        <v>-0.39874411302982726</v>
      </c>
    </row>
    <row r="35" spans="1:9" x14ac:dyDescent="0.35">
      <c r="A35" s="4" t="s">
        <v>15</v>
      </c>
      <c r="B35" s="21">
        <v>29250.860000000008</v>
      </c>
      <c r="C35" s="21">
        <f>SUM(C36:C40)</f>
        <v>34604.449999999997</v>
      </c>
      <c r="D35" s="21">
        <f t="shared" ref="D35:E35" si="17">SUM(D36:D40)</f>
        <v>28293</v>
      </c>
      <c r="E35" s="21">
        <f t="shared" si="17"/>
        <v>33546</v>
      </c>
      <c r="F35" s="295">
        <f t="shared" si="15"/>
        <v>1.0338550171420495</v>
      </c>
      <c r="G35" s="295">
        <f t="shared" si="16"/>
        <v>1.0315521969832468</v>
      </c>
      <c r="H35" s="21">
        <f t="shared" si="5"/>
        <v>5353.5899999999892</v>
      </c>
      <c r="I35" s="35">
        <f t="shared" si="6"/>
        <v>0.18302333674975668</v>
      </c>
    </row>
    <row r="36" spans="1:9" x14ac:dyDescent="0.35">
      <c r="A36" s="6" t="s">
        <v>41</v>
      </c>
      <c r="B36" s="12">
        <v>6881.8600000000024</v>
      </c>
      <c r="C36" s="12">
        <v>8331.9300000000039</v>
      </c>
      <c r="D36" s="12">
        <v>5845</v>
      </c>
      <c r="E36" s="12">
        <v>7155</v>
      </c>
      <c r="F36" s="22">
        <f t="shared" ref="F36:F39" si="18">IFERROR(B36/D36,"")</f>
        <v>1.1773926432848594</v>
      </c>
      <c r="G36" s="22">
        <f t="shared" ref="G36:G39" si="19">IFERROR(C36/E36,"")</f>
        <v>1.1644905660377365</v>
      </c>
      <c r="H36" s="12">
        <f t="shared" si="5"/>
        <v>1450.0700000000015</v>
      </c>
      <c r="I36" s="48">
        <f t="shared" si="6"/>
        <v>0.21070902343261855</v>
      </c>
    </row>
    <row r="37" spans="1:9" x14ac:dyDescent="0.35">
      <c r="A37" s="6" t="s">
        <v>42</v>
      </c>
      <c r="B37" s="12">
        <v>8969.9300000000021</v>
      </c>
      <c r="C37" s="12">
        <v>10496.229999999996</v>
      </c>
      <c r="D37" s="12">
        <v>8965</v>
      </c>
      <c r="E37" s="12">
        <v>10487</v>
      </c>
      <c r="F37" s="22">
        <f t="shared" si="18"/>
        <v>1.0005499163413276</v>
      </c>
      <c r="G37" s="22">
        <f t="shared" si="19"/>
        <v>1.0008801373128631</v>
      </c>
      <c r="H37" s="12">
        <f t="shared" si="5"/>
        <v>1526.2999999999938</v>
      </c>
      <c r="I37" s="48">
        <f t="shared" si="6"/>
        <v>0.17015740368096455</v>
      </c>
    </row>
    <row r="38" spans="1:9" x14ac:dyDescent="0.35">
      <c r="A38" s="6" t="s">
        <v>43</v>
      </c>
      <c r="B38" s="12">
        <v>4882.4400000000014</v>
      </c>
      <c r="C38" s="12">
        <v>5933.7999999999975</v>
      </c>
      <c r="D38" s="12">
        <v>4866</v>
      </c>
      <c r="E38" s="12">
        <v>5937</v>
      </c>
      <c r="F38" s="22">
        <f t="shared" si="18"/>
        <v>1.0033785450061654</v>
      </c>
      <c r="G38" s="22">
        <f t="shared" si="19"/>
        <v>0.99946100724271469</v>
      </c>
      <c r="H38" s="12">
        <f t="shared" si="5"/>
        <v>1051.359999999996</v>
      </c>
      <c r="I38" s="48">
        <f t="shared" si="6"/>
        <v>0.21533495547308235</v>
      </c>
    </row>
    <row r="39" spans="1:9" x14ac:dyDescent="0.35">
      <c r="A39" s="6" t="s">
        <v>44</v>
      </c>
      <c r="B39" s="12">
        <v>197.85999999999996</v>
      </c>
      <c r="C39" s="12">
        <v>291.65999999999997</v>
      </c>
      <c r="D39" s="12">
        <v>198</v>
      </c>
      <c r="E39" s="12">
        <v>288</v>
      </c>
      <c r="F39" s="22">
        <f t="shared" si="18"/>
        <v>0.99929292929292912</v>
      </c>
      <c r="G39" s="22">
        <f t="shared" si="19"/>
        <v>1.0127083333333333</v>
      </c>
      <c r="H39" s="12">
        <f t="shared" si="5"/>
        <v>93.800000000000011</v>
      </c>
      <c r="I39" s="48">
        <f t="shared" si="6"/>
        <v>0.47407257656929147</v>
      </c>
    </row>
    <row r="40" spans="1:9" x14ac:dyDescent="0.35">
      <c r="A40" s="6" t="s">
        <v>45</v>
      </c>
      <c r="B40" s="12">
        <v>8318.77</v>
      </c>
      <c r="C40" s="12">
        <v>9550.8300000000017</v>
      </c>
      <c r="D40" s="12">
        <v>8419</v>
      </c>
      <c r="E40" s="12">
        <v>9679</v>
      </c>
      <c r="F40" s="22">
        <f t="shared" ref="F40:F41" si="20">IFERROR(B40/D40,"")</f>
        <v>0.988094785603991</v>
      </c>
      <c r="G40" s="22">
        <f t="shared" ref="G40:G41" si="21">IFERROR(C40/E40,"")</f>
        <v>0.98675792953817565</v>
      </c>
      <c r="H40" s="12">
        <f t="shared" si="5"/>
        <v>1232.0600000000013</v>
      </c>
      <c r="I40" s="48">
        <f t="shared" si="6"/>
        <v>0.14810603009819978</v>
      </c>
    </row>
    <row r="41" spans="1:9" x14ac:dyDescent="0.35">
      <c r="A41" s="4" t="s">
        <v>16</v>
      </c>
      <c r="B41" s="21">
        <v>1761.6699999999996</v>
      </c>
      <c r="C41" s="21">
        <f>SUM(C42:C50)</f>
        <v>1955.57</v>
      </c>
      <c r="D41" s="21">
        <f t="shared" ref="D41:E41" si="22">SUM(D42:D50)</f>
        <v>453</v>
      </c>
      <c r="E41" s="21">
        <f t="shared" si="22"/>
        <v>464</v>
      </c>
      <c r="F41" s="295">
        <f t="shared" si="20"/>
        <v>3.8888962472406172</v>
      </c>
      <c r="G41" s="295">
        <f t="shared" si="21"/>
        <v>4.2145905172413789</v>
      </c>
      <c r="H41" s="21">
        <f t="shared" si="5"/>
        <v>193.90000000000032</v>
      </c>
      <c r="I41" s="35">
        <f t="shared" si="6"/>
        <v>0.11006601690441475</v>
      </c>
    </row>
    <row r="42" spans="1:9" x14ac:dyDescent="0.35">
      <c r="A42" s="6" t="s">
        <v>46</v>
      </c>
      <c r="B42" s="12">
        <v>101.94000000000001</v>
      </c>
      <c r="C42" s="12">
        <v>98.45999999999998</v>
      </c>
      <c r="D42" s="12">
        <v>90</v>
      </c>
      <c r="E42" s="12">
        <v>99</v>
      </c>
      <c r="F42" s="22">
        <f t="shared" ref="F42:F46" si="23">IFERROR(B42/D42,"")</f>
        <v>1.1326666666666667</v>
      </c>
      <c r="G42" s="22">
        <f t="shared" ref="G42:G46" si="24">IFERROR(C42/E42,"")</f>
        <v>0.99454545454545429</v>
      </c>
      <c r="H42" s="12">
        <f t="shared" si="5"/>
        <v>-3.4800000000000324</v>
      </c>
      <c r="I42" s="48">
        <f t="shared" si="6"/>
        <v>-3.4137728075338769E-2</v>
      </c>
    </row>
    <row r="43" spans="1:9" x14ac:dyDescent="0.35">
      <c r="A43" s="6" t="s">
        <v>47</v>
      </c>
      <c r="B43" s="12">
        <v>75.479999999999976</v>
      </c>
      <c r="C43" s="12">
        <v>72.79000000000002</v>
      </c>
      <c r="D43" s="12">
        <v>72</v>
      </c>
      <c r="E43" s="12">
        <v>74</v>
      </c>
      <c r="F43" s="22">
        <f t="shared" si="23"/>
        <v>1.0483333333333329</v>
      </c>
      <c r="G43" s="22">
        <f t="shared" si="24"/>
        <v>0.98364864864864887</v>
      </c>
      <c r="H43" s="12">
        <f t="shared" si="5"/>
        <v>-2.6899999999999551</v>
      </c>
      <c r="I43" s="48">
        <f t="shared" si="6"/>
        <v>-3.5638579756226196E-2</v>
      </c>
    </row>
    <row r="44" spans="1:9" x14ac:dyDescent="0.35">
      <c r="A44" s="6" t="s">
        <v>48</v>
      </c>
      <c r="B44" s="12">
        <v>7.6899999999999995</v>
      </c>
      <c r="C44" s="12">
        <v>13.969999999999999</v>
      </c>
      <c r="D44" s="12">
        <v>15</v>
      </c>
      <c r="E44" s="12">
        <v>19</v>
      </c>
      <c r="F44" s="22">
        <f t="shared" si="23"/>
        <v>0.5126666666666666</v>
      </c>
      <c r="G44" s="22">
        <f t="shared" si="24"/>
        <v>0.73526315789473673</v>
      </c>
      <c r="H44" s="12">
        <f t="shared" si="5"/>
        <v>6.2799999999999994</v>
      </c>
      <c r="I44" s="48">
        <f t="shared" si="6"/>
        <v>0.81664499349804931</v>
      </c>
    </row>
    <row r="45" spans="1:9" x14ac:dyDescent="0.35">
      <c r="A45" s="6" t="s">
        <v>49</v>
      </c>
      <c r="B45" s="12">
        <v>72.87</v>
      </c>
      <c r="C45" s="12">
        <v>62.400000000000006</v>
      </c>
      <c r="D45" s="12">
        <v>75</v>
      </c>
      <c r="E45" s="12">
        <v>62</v>
      </c>
      <c r="F45" s="22">
        <f t="shared" si="23"/>
        <v>0.97160000000000002</v>
      </c>
      <c r="G45" s="22">
        <f t="shared" si="24"/>
        <v>1.0064516129032259</v>
      </c>
      <c r="H45" s="12">
        <f t="shared" si="5"/>
        <v>-10.469999999999999</v>
      </c>
      <c r="I45" s="48">
        <f t="shared" si="6"/>
        <v>-0.14368052696582956</v>
      </c>
    </row>
    <row r="46" spans="1:9" x14ac:dyDescent="0.35">
      <c r="A46" s="6" t="s">
        <v>50</v>
      </c>
      <c r="B46" s="12">
        <v>104.77</v>
      </c>
      <c r="C46" s="12">
        <v>111.00999999999998</v>
      </c>
      <c r="D46" s="12">
        <v>105</v>
      </c>
      <c r="E46" s="12">
        <v>112</v>
      </c>
      <c r="F46" s="22">
        <f t="shared" si="23"/>
        <v>0.99780952380952381</v>
      </c>
      <c r="G46" s="22">
        <f t="shared" si="24"/>
        <v>0.99116071428571406</v>
      </c>
      <c r="H46" s="12">
        <f t="shared" si="5"/>
        <v>6.2399999999999807</v>
      </c>
      <c r="I46" s="48">
        <f t="shared" si="6"/>
        <v>5.9559034074639472E-2</v>
      </c>
    </row>
    <row r="47" spans="1:9" x14ac:dyDescent="0.35">
      <c r="A47" s="6" t="s">
        <v>51</v>
      </c>
      <c r="B47" s="12">
        <v>162.79999999999998</v>
      </c>
      <c r="C47" s="12">
        <v>188.23999999999995</v>
      </c>
      <c r="D47" s="12"/>
      <c r="E47" s="12">
        <v>0</v>
      </c>
      <c r="F47" s="22" t="str">
        <f t="shared" ref="F47:F51" si="25">IFERROR(B47/D47,"")</f>
        <v/>
      </c>
      <c r="G47" s="22" t="str">
        <f t="shared" ref="G47:G51" si="26">IFERROR(C47/E47,"")</f>
        <v/>
      </c>
      <c r="H47" s="12">
        <f t="shared" si="5"/>
        <v>25.439999999999969</v>
      </c>
      <c r="I47" s="48">
        <f t="shared" si="6"/>
        <v>0.1562653562653562</v>
      </c>
    </row>
    <row r="48" spans="1:9" x14ac:dyDescent="0.35">
      <c r="A48" s="6" t="s">
        <v>52</v>
      </c>
      <c r="B48" s="12">
        <v>33.03</v>
      </c>
      <c r="C48" s="12">
        <v>33.03</v>
      </c>
      <c r="D48" s="12">
        <v>28</v>
      </c>
      <c r="E48" s="12">
        <v>30</v>
      </c>
      <c r="F48" s="22">
        <f t="shared" si="25"/>
        <v>1.1796428571428572</v>
      </c>
      <c r="G48" s="22">
        <f t="shared" si="26"/>
        <v>1.101</v>
      </c>
      <c r="H48" s="12">
        <f t="shared" si="5"/>
        <v>0</v>
      </c>
      <c r="I48" s="48">
        <f t="shared" si="6"/>
        <v>0</v>
      </c>
    </row>
    <row r="49" spans="1:9" x14ac:dyDescent="0.35">
      <c r="A49" s="6" t="s">
        <v>53</v>
      </c>
      <c r="B49" s="12">
        <v>629.00999999999988</v>
      </c>
      <c r="C49" s="12">
        <v>780.00999999999988</v>
      </c>
      <c r="D49" s="12"/>
      <c r="E49" s="12">
        <v>0</v>
      </c>
      <c r="F49" s="22" t="str">
        <f t="shared" si="25"/>
        <v/>
      </c>
      <c r="G49" s="22" t="str">
        <f t="shared" si="26"/>
        <v/>
      </c>
      <c r="H49" s="12">
        <f t="shared" si="5"/>
        <v>151</v>
      </c>
      <c r="I49" s="48">
        <f t="shared" si="6"/>
        <v>0.24005977647414189</v>
      </c>
    </row>
    <row r="50" spans="1:9" x14ac:dyDescent="0.35">
      <c r="A50" s="6" t="s">
        <v>54</v>
      </c>
      <c r="B50" s="12">
        <v>574.08000000000004</v>
      </c>
      <c r="C50" s="12">
        <v>595.66000000000008</v>
      </c>
      <c r="D50" s="12">
        <v>68</v>
      </c>
      <c r="E50" s="12">
        <v>68</v>
      </c>
      <c r="F50" s="22">
        <f t="shared" si="25"/>
        <v>8.4423529411764715</v>
      </c>
      <c r="G50" s="22">
        <f t="shared" si="26"/>
        <v>8.759705882352943</v>
      </c>
      <c r="H50" s="12">
        <f t="shared" si="5"/>
        <v>21.580000000000041</v>
      </c>
      <c r="I50" s="48">
        <f t="shared" si="6"/>
        <v>3.7590579710145011E-2</v>
      </c>
    </row>
    <row r="51" spans="1:9" x14ac:dyDescent="0.35">
      <c r="A51" s="4" t="s">
        <v>17</v>
      </c>
      <c r="B51" s="21">
        <v>1140.9099999999999</v>
      </c>
      <c r="C51" s="21">
        <f>SUM(C52:C53)</f>
        <v>1435.12</v>
      </c>
      <c r="D51" s="21">
        <f t="shared" ref="D51:E51" si="27">SUM(D52:D53)</f>
        <v>391</v>
      </c>
      <c r="E51" s="21">
        <f t="shared" si="27"/>
        <v>1218</v>
      </c>
      <c r="F51" s="295">
        <f t="shared" si="25"/>
        <v>2.9179283887468026</v>
      </c>
      <c r="G51" s="295">
        <f t="shared" si="26"/>
        <v>1.1782594417077175</v>
      </c>
      <c r="H51" s="21">
        <f t="shared" si="5"/>
        <v>294.21000000000004</v>
      </c>
      <c r="I51" s="35">
        <f t="shared" si="6"/>
        <v>0.25787310129633378</v>
      </c>
    </row>
    <row r="52" spans="1:9" x14ac:dyDescent="0.35">
      <c r="A52" s="6" t="s">
        <v>55</v>
      </c>
      <c r="B52" s="12">
        <v>1048.1699999999994</v>
      </c>
      <c r="C52" s="12">
        <v>1266.2199999999998</v>
      </c>
      <c r="D52" s="12">
        <v>354</v>
      </c>
      <c r="E52" s="12">
        <v>1087</v>
      </c>
      <c r="F52" s="22">
        <f t="shared" ref="F52:F54" si="28">IFERROR(B52/D52,"")</f>
        <v>2.9609322033898287</v>
      </c>
      <c r="G52" s="22">
        <f t="shared" ref="G52:G54" si="29">IFERROR(C52/E52,"")</f>
        <v>1.1648758049678012</v>
      </c>
      <c r="H52" s="12">
        <f t="shared" si="5"/>
        <v>218.05000000000041</v>
      </c>
      <c r="I52" s="48">
        <f t="shared" si="6"/>
        <v>0.20802923189940614</v>
      </c>
    </row>
    <row r="53" spans="1:9" x14ac:dyDescent="0.35">
      <c r="A53" s="6" t="s">
        <v>56</v>
      </c>
      <c r="B53" s="12">
        <v>92.74</v>
      </c>
      <c r="C53" s="12">
        <v>168.89999999999998</v>
      </c>
      <c r="D53" s="12">
        <v>37</v>
      </c>
      <c r="E53" s="12">
        <v>131</v>
      </c>
      <c r="F53" s="22">
        <f t="shared" si="28"/>
        <v>2.5064864864864864</v>
      </c>
      <c r="G53" s="22">
        <f t="shared" si="29"/>
        <v>1.2893129770992364</v>
      </c>
      <c r="H53" s="12">
        <f t="shared" si="5"/>
        <v>76.159999999999982</v>
      </c>
      <c r="I53" s="48">
        <f t="shared" si="6"/>
        <v>0.82122061677808911</v>
      </c>
    </row>
    <row r="54" spans="1:9" x14ac:dyDescent="0.35">
      <c r="A54" s="4" t="s">
        <v>64</v>
      </c>
      <c r="B54" s="21">
        <v>0.3</v>
      </c>
      <c r="C54" s="21">
        <f>SUM(C55:C56)</f>
        <v>2.69</v>
      </c>
      <c r="D54" s="21"/>
      <c r="E54" s="21"/>
      <c r="F54" s="295" t="str">
        <f t="shared" si="28"/>
        <v/>
      </c>
      <c r="G54" s="295" t="str">
        <f t="shared" si="29"/>
        <v/>
      </c>
      <c r="H54" s="21">
        <f t="shared" si="5"/>
        <v>2.39</v>
      </c>
      <c r="I54" s="35">
        <f t="shared" si="6"/>
        <v>7.9666666666666668</v>
      </c>
    </row>
    <row r="55" spans="1:9" x14ac:dyDescent="0.35">
      <c r="A55" s="6" t="s">
        <v>65</v>
      </c>
      <c r="B55" s="12">
        <v>0.3</v>
      </c>
      <c r="C55" s="12">
        <v>0.3</v>
      </c>
      <c r="D55" s="12"/>
      <c r="E55" s="12"/>
      <c r="F55" s="22" t="str">
        <f t="shared" ref="F55:F56" si="30">IFERROR(B55/D55,"")</f>
        <v/>
      </c>
      <c r="G55" s="22" t="str">
        <f t="shared" ref="G55:G56" si="31">IFERROR(C55/E55,"")</f>
        <v/>
      </c>
      <c r="H55" s="12">
        <f t="shared" si="5"/>
        <v>0</v>
      </c>
      <c r="I55" s="48">
        <f t="shared" si="6"/>
        <v>0</v>
      </c>
    </row>
    <row r="56" spans="1:9" x14ac:dyDescent="0.35">
      <c r="A56" s="7" t="s">
        <v>66</v>
      </c>
      <c r="B56" s="12">
        <v>2.5</v>
      </c>
      <c r="C56" s="12">
        <v>2.39</v>
      </c>
      <c r="D56" s="12"/>
      <c r="E56" s="12"/>
      <c r="F56" s="22" t="str">
        <f t="shared" si="30"/>
        <v/>
      </c>
      <c r="G56" s="22" t="str">
        <f t="shared" si="31"/>
        <v/>
      </c>
      <c r="H56" s="12">
        <f t="shared" si="5"/>
        <v>-0.10999999999999988</v>
      </c>
      <c r="I56" s="48">
        <f t="shared" si="6"/>
        <v>-4.3999999999999928E-2</v>
      </c>
    </row>
    <row r="57" spans="1:9" x14ac:dyDescent="0.35">
      <c r="A57" s="4" t="s">
        <v>18</v>
      </c>
      <c r="B57" s="21">
        <v>0.96000000000000008</v>
      </c>
      <c r="C57" s="21">
        <v>0.15</v>
      </c>
      <c r="D57" s="21"/>
      <c r="E57" s="21">
        <v>0</v>
      </c>
      <c r="F57" s="21"/>
      <c r="G57" s="21"/>
      <c r="H57" s="21">
        <f t="shared" si="5"/>
        <v>-0.81</v>
      </c>
      <c r="I57" s="35">
        <f t="shared" si="6"/>
        <v>-0.84375</v>
      </c>
    </row>
    <row r="58" spans="1:9" x14ac:dyDescent="0.35">
      <c r="A58" s="6" t="s">
        <v>18</v>
      </c>
      <c r="B58" s="12">
        <v>0.96000000000000008</v>
      </c>
      <c r="C58" s="12">
        <v>0.15</v>
      </c>
      <c r="D58" s="12"/>
      <c r="E58" s="12">
        <v>0</v>
      </c>
      <c r="F58" s="22" t="str">
        <f t="shared" ref="F58:F59" si="32">IFERROR(B58/D58,"")</f>
        <v/>
      </c>
      <c r="G58" s="22" t="str">
        <f t="shared" ref="G58:G59" si="33">IFERROR(C58/E58,"")</f>
        <v/>
      </c>
      <c r="H58" s="12">
        <f t="shared" si="5"/>
        <v>-0.81</v>
      </c>
      <c r="I58" s="48">
        <f t="shared" si="6"/>
        <v>-0.84375</v>
      </c>
    </row>
    <row r="59" spans="1:9" x14ac:dyDescent="0.35">
      <c r="A59" s="4" t="s">
        <v>20</v>
      </c>
      <c r="B59" s="21">
        <v>46.049999999999983</v>
      </c>
      <c r="C59" s="21">
        <v>59.73</v>
      </c>
      <c r="D59" s="21">
        <v>33</v>
      </c>
      <c r="E59" s="21">
        <v>46</v>
      </c>
      <c r="F59" s="295">
        <f t="shared" si="32"/>
        <v>1.3954545454545448</v>
      </c>
      <c r="G59" s="295">
        <f t="shared" si="33"/>
        <v>1.2984782608695651</v>
      </c>
      <c r="H59" s="21">
        <f t="shared" si="5"/>
        <v>13.680000000000014</v>
      </c>
      <c r="I59" s="35">
        <f t="shared" si="6"/>
        <v>0.29706840390879519</v>
      </c>
    </row>
    <row r="60" spans="1:9" x14ac:dyDescent="0.35">
      <c r="A60" s="6" t="s">
        <v>20</v>
      </c>
      <c r="B60" s="12">
        <v>46.049999999999983</v>
      </c>
      <c r="C60" s="12">
        <v>59.73</v>
      </c>
      <c r="D60" s="12">
        <v>33</v>
      </c>
      <c r="E60" s="12">
        <v>46</v>
      </c>
      <c r="F60" s="22">
        <f t="shared" ref="F60:F61" si="34">IFERROR(B60/D60,"")</f>
        <v>1.3954545454545448</v>
      </c>
      <c r="G60" s="22">
        <f t="shared" ref="G60:G61" si="35">IFERROR(C60/E60,"")</f>
        <v>1.2984782608695651</v>
      </c>
      <c r="H60" s="12">
        <f t="shared" si="5"/>
        <v>13.680000000000014</v>
      </c>
      <c r="I60" s="48">
        <f t="shared" si="6"/>
        <v>0.29706840390879519</v>
      </c>
    </row>
    <row r="61" spans="1:9" x14ac:dyDescent="0.35">
      <c r="A61" s="4" t="s">
        <v>21</v>
      </c>
      <c r="B61" s="21">
        <v>259.12</v>
      </c>
      <c r="C61" s="21">
        <v>342.89</v>
      </c>
      <c r="D61" s="21">
        <v>573</v>
      </c>
      <c r="E61" s="21">
        <v>898</v>
      </c>
      <c r="F61" s="295">
        <f t="shared" si="34"/>
        <v>0.45221640488656195</v>
      </c>
      <c r="G61" s="295">
        <f t="shared" si="35"/>
        <v>0.381837416481069</v>
      </c>
      <c r="H61" s="21">
        <f t="shared" si="5"/>
        <v>83.769999999999982</v>
      </c>
      <c r="I61" s="35">
        <f t="shared" si="6"/>
        <v>0.32328650818153748</v>
      </c>
    </row>
    <row r="62" spans="1:9" x14ac:dyDescent="0.35">
      <c r="A62" s="6" t="s">
        <v>21</v>
      </c>
      <c r="B62" s="12">
        <v>259.12000000000006</v>
      </c>
      <c r="C62" s="12">
        <v>342.89</v>
      </c>
      <c r="D62" s="12">
        <v>573</v>
      </c>
      <c r="E62" s="12">
        <v>898</v>
      </c>
      <c r="F62" s="22">
        <f t="shared" ref="F62:F63" si="36">IFERROR(B62/D62,"")</f>
        <v>0.45221640488656206</v>
      </c>
      <c r="G62" s="22">
        <f t="shared" ref="G62:G63" si="37">IFERROR(C62/E62,"")</f>
        <v>0.381837416481069</v>
      </c>
      <c r="H62" s="12">
        <f t="shared" si="5"/>
        <v>83.769999999999925</v>
      </c>
      <c r="I62" s="48">
        <f t="shared" si="6"/>
        <v>0.32328650818153704</v>
      </c>
    </row>
    <row r="63" spans="1:9" x14ac:dyDescent="0.35">
      <c r="A63" s="4" t="s">
        <v>22</v>
      </c>
      <c r="B63" s="21">
        <v>366.9899999999999</v>
      </c>
      <c r="C63" s="21">
        <v>547.88000000000011</v>
      </c>
      <c r="D63" s="21">
        <v>375</v>
      </c>
      <c r="E63" s="21">
        <v>464</v>
      </c>
      <c r="F63" s="295">
        <f t="shared" si="36"/>
        <v>0.97863999999999973</v>
      </c>
      <c r="G63" s="295">
        <f t="shared" si="37"/>
        <v>1.1807758620689657</v>
      </c>
      <c r="H63" s="21">
        <f t="shared" si="5"/>
        <v>180.89000000000021</v>
      </c>
      <c r="I63" s="35">
        <f t="shared" si="6"/>
        <v>0.49290171394315996</v>
      </c>
    </row>
    <row r="64" spans="1:9" x14ac:dyDescent="0.35">
      <c r="A64" s="6" t="s">
        <v>22</v>
      </c>
      <c r="B64" s="12">
        <v>366.9899999999999</v>
      </c>
      <c r="C64" s="12">
        <v>547.88000000000011</v>
      </c>
      <c r="D64" s="12">
        <v>375</v>
      </c>
      <c r="E64" s="12">
        <v>464</v>
      </c>
      <c r="F64" s="22">
        <f t="shared" ref="F64:F65" si="38">IFERROR(B64/D64,"")</f>
        <v>0.97863999999999973</v>
      </c>
      <c r="G64" s="22">
        <f t="shared" ref="G64:G65" si="39">IFERROR(C64/E64,"")</f>
        <v>1.1807758620689657</v>
      </c>
      <c r="H64" s="12">
        <f t="shared" si="5"/>
        <v>180.89000000000021</v>
      </c>
      <c r="I64" s="48">
        <f t="shared" si="6"/>
        <v>0.49290171394315996</v>
      </c>
    </row>
    <row r="65" spans="1:20" x14ac:dyDescent="0.35">
      <c r="A65" s="4" t="s">
        <v>23</v>
      </c>
      <c r="B65" s="21">
        <v>14.629999999999999</v>
      </c>
      <c r="C65" s="21">
        <v>15.11</v>
      </c>
      <c r="D65" s="21">
        <v>12</v>
      </c>
      <c r="E65" s="21">
        <v>14</v>
      </c>
      <c r="F65" s="295">
        <f t="shared" si="38"/>
        <v>1.2191666666666665</v>
      </c>
      <c r="G65" s="295">
        <f t="shared" si="39"/>
        <v>1.0792857142857142</v>
      </c>
      <c r="H65" s="21">
        <f t="shared" si="5"/>
        <v>0.48000000000000043</v>
      </c>
      <c r="I65" s="35">
        <f t="shared" si="6"/>
        <v>3.2809295967190844E-2</v>
      </c>
    </row>
    <row r="66" spans="1:20" x14ac:dyDescent="0.35">
      <c r="A66" s="6" t="s">
        <v>23</v>
      </c>
      <c r="B66" s="12">
        <v>14.629999999999999</v>
      </c>
      <c r="C66" s="12">
        <v>15.11</v>
      </c>
      <c r="D66" s="12">
        <v>12</v>
      </c>
      <c r="E66" s="12">
        <v>14</v>
      </c>
      <c r="F66" s="22">
        <f t="shared" ref="F66:F67" si="40">IFERROR(B66/D66,"")</f>
        <v>1.2191666666666665</v>
      </c>
      <c r="G66" s="22">
        <f t="shared" ref="G66:G67" si="41">IFERROR(C66/E66,"")</f>
        <v>1.0792857142857142</v>
      </c>
      <c r="H66" s="12">
        <f t="shared" si="5"/>
        <v>0.48000000000000043</v>
      </c>
      <c r="I66" s="48">
        <f t="shared" si="6"/>
        <v>3.2809295967190844E-2</v>
      </c>
    </row>
    <row r="67" spans="1:20" x14ac:dyDescent="0.35">
      <c r="A67" s="40" t="s">
        <v>25</v>
      </c>
      <c r="B67" s="44">
        <f>SUM(B65,B63,B61,B59,B57,B54,B51,B41,B35,B30,B26,B22,B13)</f>
        <v>36510.04</v>
      </c>
      <c r="C67" s="44">
        <f>SUM(C13,C22,C26,C30,C35,C41,C51,C54,C57,C59,C61,C63,C65)</f>
        <v>44022.01</v>
      </c>
      <c r="D67" s="44">
        <f>SUM(D13,D22,D26,D30,D35,D41,D51,D54,D57,D59,D61,D63,D65)</f>
        <v>33835</v>
      </c>
      <c r="E67" s="44">
        <f>SUM(E13,E22,E26,E30,E35,E41,E51,E54,E57,E59,E61,E63,E65)</f>
        <v>41675</v>
      </c>
      <c r="F67" s="299">
        <f t="shared" si="40"/>
        <v>1.0790613270282252</v>
      </c>
      <c r="G67" s="299">
        <f t="shared" si="41"/>
        <v>1.0563169766046792</v>
      </c>
      <c r="H67" s="31">
        <f t="shared" si="5"/>
        <v>7511.9700000000012</v>
      </c>
      <c r="I67" s="50">
        <f t="shared" si="6"/>
        <v>0.20575080169728666</v>
      </c>
    </row>
    <row r="71" spans="1:20" ht="15" x14ac:dyDescent="0.35">
      <c r="A71" s="284" t="s">
        <v>67</v>
      </c>
    </row>
    <row r="72" spans="1:20" ht="15" customHeight="1" x14ac:dyDescent="0.35">
      <c r="A72" s="276" t="s">
        <v>212</v>
      </c>
      <c r="B72" s="220"/>
      <c r="C72" s="221"/>
      <c r="D72" s="221"/>
      <c r="E72" s="221"/>
      <c r="F72" s="221"/>
      <c r="G72" s="221"/>
    </row>
    <row r="73" spans="1:20" x14ac:dyDescent="0.35">
      <c r="K73" s="347" t="s">
        <v>225</v>
      </c>
      <c r="L73" s="351"/>
      <c r="M73" s="342"/>
      <c r="N73" s="342"/>
      <c r="O73" s="342"/>
      <c r="P73" s="342"/>
      <c r="Q73" s="342"/>
      <c r="R73" s="342"/>
      <c r="S73" s="342"/>
    </row>
    <row r="74" spans="1:20" ht="43" customHeight="1" x14ac:dyDescent="0.35">
      <c r="A74" s="675" t="s">
        <v>0</v>
      </c>
      <c r="B74" s="684" t="s">
        <v>1</v>
      </c>
      <c r="C74" s="685"/>
      <c r="D74" s="674" t="s">
        <v>217</v>
      </c>
      <c r="E74" s="674"/>
      <c r="F74" s="682" t="s">
        <v>218</v>
      </c>
      <c r="G74" s="682"/>
      <c r="H74" s="674" t="s">
        <v>2</v>
      </c>
      <c r="I74" s="674"/>
      <c r="L74" s="331" t="s">
        <v>228</v>
      </c>
      <c r="M74" s="331" t="s">
        <v>229</v>
      </c>
      <c r="N74" s="442" t="s">
        <v>282</v>
      </c>
      <c r="O74" s="442" t="s">
        <v>285</v>
      </c>
      <c r="R74" s="331" t="s">
        <v>226</v>
      </c>
      <c r="S74" s="331" t="s">
        <v>228</v>
      </c>
      <c r="T74" s="327" t="s">
        <v>247</v>
      </c>
    </row>
    <row r="75" spans="1:20" x14ac:dyDescent="0.35">
      <c r="A75" s="676"/>
      <c r="B75" s="224">
        <v>2020</v>
      </c>
      <c r="C75" s="224">
        <v>2021</v>
      </c>
      <c r="D75" s="224">
        <v>2020</v>
      </c>
      <c r="E75" s="224">
        <v>2021</v>
      </c>
      <c r="F75" s="224">
        <v>2020</v>
      </c>
      <c r="G75" s="224">
        <v>2021</v>
      </c>
      <c r="H75" s="224" t="s">
        <v>3</v>
      </c>
      <c r="I75" s="224" t="s">
        <v>4</v>
      </c>
      <c r="K75" s="350" t="s">
        <v>15</v>
      </c>
      <c r="L75" s="453">
        <f>C98</f>
        <v>11399.790000000003</v>
      </c>
      <c r="M75" s="455">
        <f>E98</f>
        <v>12699</v>
      </c>
      <c r="N75" s="459">
        <f>L75/M75</f>
        <v>0.89769194424757881</v>
      </c>
      <c r="O75" s="460">
        <f>F98</f>
        <v>0.88644693200663371</v>
      </c>
      <c r="Q75" s="350" t="s">
        <v>15</v>
      </c>
      <c r="R75" s="455">
        <v>8552.4400000000023</v>
      </c>
      <c r="S75" s="455">
        <v>11399.790000000003</v>
      </c>
      <c r="T75" s="459">
        <f>S75/R75-1</f>
        <v>0.33292838067265018</v>
      </c>
    </row>
    <row r="76" spans="1:20" x14ac:dyDescent="0.35">
      <c r="A76" s="11" t="s">
        <v>5</v>
      </c>
      <c r="B76" s="17">
        <v>1015.4000000000001</v>
      </c>
      <c r="C76" s="17">
        <f>SUM(C77:C84)</f>
        <v>1385.08</v>
      </c>
      <c r="D76" s="14">
        <v>1335</v>
      </c>
      <c r="E76" s="14">
        <v>1923</v>
      </c>
      <c r="F76" s="301">
        <f t="shared" ref="F76" si="42">IFERROR(B76/D76,"")</f>
        <v>0.76059925093632963</v>
      </c>
      <c r="G76" s="301">
        <f t="shared" ref="G76" si="43">IFERROR(C76/E76,"")</f>
        <v>0.72027041081643262</v>
      </c>
      <c r="H76" s="45">
        <f>IFERROR(C76-B76,"")</f>
        <v>369.67999999999984</v>
      </c>
      <c r="I76" s="23">
        <f>IFERROR((C76/B76)-1,"")</f>
        <v>0.36407327161709646</v>
      </c>
      <c r="K76" s="350" t="s">
        <v>248</v>
      </c>
      <c r="L76" s="453">
        <f>C76</f>
        <v>1385.08</v>
      </c>
      <c r="M76" s="455">
        <f>E76</f>
        <v>1923</v>
      </c>
      <c r="N76" s="459">
        <f t="shared" ref="N76:N79" si="44">L76/M76</f>
        <v>0.72027041081643262</v>
      </c>
      <c r="O76" s="460">
        <f>F76</f>
        <v>0.76059925093632963</v>
      </c>
      <c r="Q76" s="350" t="s">
        <v>248</v>
      </c>
      <c r="R76" s="455">
        <v>1015.4000000000001</v>
      </c>
      <c r="S76" s="455">
        <v>1385.08</v>
      </c>
      <c r="T76" s="459">
        <f t="shared" ref="T76:T79" si="45">S76/R76-1</f>
        <v>0.36407327161709646</v>
      </c>
    </row>
    <row r="77" spans="1:20" x14ac:dyDescent="0.35">
      <c r="A77" s="15" t="s">
        <v>6</v>
      </c>
      <c r="B77" s="19">
        <v>4.1899999999999995</v>
      </c>
      <c r="C77" s="20">
        <v>8.6199999999999992</v>
      </c>
      <c r="D77" s="20">
        <v>71</v>
      </c>
      <c r="E77" s="20">
        <v>40</v>
      </c>
      <c r="F77" s="22">
        <f t="shared" ref="F77:G85" si="46">IFERROR(B77/D77,"")</f>
        <v>5.901408450704225E-2</v>
      </c>
      <c r="G77" s="22">
        <f t="shared" si="46"/>
        <v>0.21549999999999997</v>
      </c>
      <c r="H77" s="12">
        <f t="shared" ref="H77:H127" si="47">IFERROR(C77-B77,"")</f>
        <v>4.43</v>
      </c>
      <c r="I77" s="24">
        <f t="shared" ref="I77:I127" si="48">IFERROR((C77/B77)-1,"")</f>
        <v>1.0572792362768495</v>
      </c>
      <c r="K77" s="350" t="s">
        <v>231</v>
      </c>
      <c r="L77" s="453">
        <f>C104</f>
        <v>589.13</v>
      </c>
      <c r="M77" s="455">
        <f>E104</f>
        <v>2085</v>
      </c>
      <c r="N77" s="459">
        <f t="shared" si="44"/>
        <v>0.28255635491606712</v>
      </c>
      <c r="O77" s="460">
        <f>F104</f>
        <v>0.27336889387984276</v>
      </c>
      <c r="Q77" s="350" t="s">
        <v>231</v>
      </c>
      <c r="R77" s="455">
        <v>486.86999999999995</v>
      </c>
      <c r="S77" s="455">
        <v>589.13</v>
      </c>
      <c r="T77" s="459">
        <f t="shared" si="45"/>
        <v>0.21003553309918477</v>
      </c>
    </row>
    <row r="78" spans="1:20" x14ac:dyDescent="0.35">
      <c r="A78" s="16" t="s">
        <v>7</v>
      </c>
      <c r="B78" s="19">
        <v>1.97</v>
      </c>
      <c r="C78" s="20">
        <v>10</v>
      </c>
      <c r="D78" s="20">
        <v>2</v>
      </c>
      <c r="E78" s="20">
        <v>117</v>
      </c>
      <c r="F78" s="22">
        <f t="shared" si="46"/>
        <v>0.98499999999999999</v>
      </c>
      <c r="G78" s="22">
        <f t="shared" si="46"/>
        <v>8.5470085470085472E-2</v>
      </c>
      <c r="H78" s="12">
        <f t="shared" si="47"/>
        <v>8.0299999999999994</v>
      </c>
      <c r="I78" s="24">
        <f t="shared" si="48"/>
        <v>4.0761421319796955</v>
      </c>
      <c r="K78" s="350" t="s">
        <v>17</v>
      </c>
      <c r="L78" s="453">
        <f>C116</f>
        <v>565.08000000000004</v>
      </c>
      <c r="M78" s="455">
        <f>E116</f>
        <v>528</v>
      </c>
      <c r="N78" s="459">
        <f t="shared" si="44"/>
        <v>1.0702272727272728</v>
      </c>
      <c r="O78" s="460">
        <f>F116</f>
        <v>0.35479933110367895</v>
      </c>
      <c r="Q78" s="350" t="s">
        <v>17</v>
      </c>
      <c r="R78" s="455">
        <v>424.34000000000003</v>
      </c>
      <c r="S78" s="455">
        <v>565.08000000000004</v>
      </c>
      <c r="T78" s="459">
        <f t="shared" si="45"/>
        <v>0.33166800207380875</v>
      </c>
    </row>
    <row r="79" spans="1:20" x14ac:dyDescent="0.35">
      <c r="A79" s="16" t="s">
        <v>8</v>
      </c>
      <c r="B79" s="19">
        <v>313.05999999999995</v>
      </c>
      <c r="C79" s="20">
        <v>411.29</v>
      </c>
      <c r="D79" s="20">
        <v>320</v>
      </c>
      <c r="E79" s="20">
        <v>85</v>
      </c>
      <c r="F79" s="22">
        <f t="shared" si="46"/>
        <v>0.97831249999999981</v>
      </c>
      <c r="G79" s="22">
        <f t="shared" si="46"/>
        <v>4.8387058823529419</v>
      </c>
      <c r="H79" s="12">
        <f t="shared" si="47"/>
        <v>98.230000000000075</v>
      </c>
      <c r="I79" s="24">
        <f t="shared" si="48"/>
        <v>0.31377371749824334</v>
      </c>
      <c r="K79" s="350" t="s">
        <v>12</v>
      </c>
      <c r="L79" s="453">
        <f>C85</f>
        <v>488.42000000000007</v>
      </c>
      <c r="M79" s="455">
        <f>E85</f>
        <v>484</v>
      </c>
      <c r="N79" s="459">
        <f t="shared" si="44"/>
        <v>1.0091322314049589</v>
      </c>
      <c r="O79" s="460">
        <f>F85</f>
        <v>1.0080661577608141</v>
      </c>
      <c r="Q79" s="350" t="s">
        <v>12</v>
      </c>
      <c r="R79" s="455">
        <v>396.16999999999996</v>
      </c>
      <c r="S79" s="455">
        <v>488.42000000000007</v>
      </c>
      <c r="T79" s="459">
        <f t="shared" si="45"/>
        <v>0.23285458262866987</v>
      </c>
    </row>
    <row r="80" spans="1:20" x14ac:dyDescent="0.35">
      <c r="A80" s="16" t="s">
        <v>26</v>
      </c>
      <c r="B80" s="19">
        <v>373.22000000000008</v>
      </c>
      <c r="C80" s="20">
        <v>510.95999999999987</v>
      </c>
      <c r="D80" s="20">
        <v>604</v>
      </c>
      <c r="E80" s="20">
        <v>504</v>
      </c>
      <c r="F80" s="22">
        <f t="shared" si="46"/>
        <v>0.61791390728476836</v>
      </c>
      <c r="G80" s="22">
        <f t="shared" si="46"/>
        <v>1.0138095238095235</v>
      </c>
      <c r="H80" s="12">
        <f t="shared" si="47"/>
        <v>137.73999999999978</v>
      </c>
      <c r="I80" s="24">
        <f t="shared" si="48"/>
        <v>0.36905846417662436</v>
      </c>
    </row>
    <row r="81" spans="1:9" x14ac:dyDescent="0.35">
      <c r="A81" s="16" t="s">
        <v>27</v>
      </c>
      <c r="B81" s="19"/>
      <c r="C81" s="20">
        <v>11.219999999999999</v>
      </c>
      <c r="D81" s="20"/>
      <c r="E81" s="20">
        <v>33</v>
      </c>
      <c r="F81" s="22" t="str">
        <f t="shared" si="46"/>
        <v/>
      </c>
      <c r="G81" s="22">
        <f t="shared" si="46"/>
        <v>0.33999999999999997</v>
      </c>
      <c r="H81" s="12">
        <f t="shared" si="47"/>
        <v>11.219999999999999</v>
      </c>
      <c r="I81" s="24" t="str">
        <f t="shared" si="48"/>
        <v/>
      </c>
    </row>
    <row r="82" spans="1:9" x14ac:dyDescent="0.35">
      <c r="A82" s="16" t="s">
        <v>28</v>
      </c>
      <c r="B82" s="19">
        <v>168.32000000000002</v>
      </c>
      <c r="C82" s="20">
        <v>226.48</v>
      </c>
      <c r="D82" s="20">
        <v>181</v>
      </c>
      <c r="E82" s="20">
        <v>372</v>
      </c>
      <c r="F82" s="22">
        <f t="shared" si="46"/>
        <v>0.92994475138121557</v>
      </c>
      <c r="G82" s="22">
        <f t="shared" si="46"/>
        <v>0.60881720430107522</v>
      </c>
      <c r="H82" s="12">
        <f t="shared" si="47"/>
        <v>58.159999999999968</v>
      </c>
      <c r="I82" s="24">
        <f t="shared" si="48"/>
        <v>0.34553231939163465</v>
      </c>
    </row>
    <row r="83" spans="1:9" x14ac:dyDescent="0.35">
      <c r="A83" s="16" t="s">
        <v>29</v>
      </c>
      <c r="B83" s="19">
        <v>69.58</v>
      </c>
      <c r="C83" s="20">
        <v>75.429999999999993</v>
      </c>
      <c r="D83" s="20">
        <v>70</v>
      </c>
      <c r="E83" s="20">
        <v>377</v>
      </c>
      <c r="F83" s="22">
        <f t="shared" si="46"/>
        <v>0.99399999999999999</v>
      </c>
      <c r="G83" s="22">
        <f t="shared" si="46"/>
        <v>0.20007957559681697</v>
      </c>
      <c r="H83" s="12">
        <f t="shared" si="47"/>
        <v>5.8499999999999943</v>
      </c>
      <c r="I83" s="24">
        <f t="shared" si="48"/>
        <v>8.407588387467646E-2</v>
      </c>
    </row>
    <row r="84" spans="1:9" x14ac:dyDescent="0.35">
      <c r="A84" s="16" t="s">
        <v>30</v>
      </c>
      <c r="B84" s="19">
        <v>85.06</v>
      </c>
      <c r="C84" s="20">
        <v>131.07999999999998</v>
      </c>
      <c r="D84" s="20">
        <v>87</v>
      </c>
      <c r="E84" s="20">
        <v>395</v>
      </c>
      <c r="F84" s="22">
        <f t="shared" si="46"/>
        <v>0.97770114942528741</v>
      </c>
      <c r="G84" s="22">
        <f t="shared" si="46"/>
        <v>0.33184810126582276</v>
      </c>
      <c r="H84" s="12">
        <f t="shared" si="47"/>
        <v>46.019999999999982</v>
      </c>
      <c r="I84" s="24">
        <f t="shared" si="48"/>
        <v>0.54102986127439423</v>
      </c>
    </row>
    <row r="85" spans="1:9" x14ac:dyDescent="0.35">
      <c r="A85" s="11" t="s">
        <v>12</v>
      </c>
      <c r="B85" s="18">
        <v>396.16999999999996</v>
      </c>
      <c r="C85" s="18">
        <f>SUM(C86:C88)</f>
        <v>488.42000000000007</v>
      </c>
      <c r="D85" s="14">
        <v>393</v>
      </c>
      <c r="E85" s="14">
        <v>484</v>
      </c>
      <c r="F85" s="301">
        <f t="shared" si="46"/>
        <v>1.0080661577608141</v>
      </c>
      <c r="G85" s="301">
        <f t="shared" si="46"/>
        <v>1.0091322314049589</v>
      </c>
      <c r="H85" s="45">
        <f t="shared" si="47"/>
        <v>92.250000000000114</v>
      </c>
      <c r="I85" s="23">
        <f t="shared" si="48"/>
        <v>0.23285458262866987</v>
      </c>
    </row>
    <row r="86" spans="1:9" x14ac:dyDescent="0.35">
      <c r="A86" s="6" t="s">
        <v>31</v>
      </c>
      <c r="B86" s="13">
        <v>100.98999999999998</v>
      </c>
      <c r="C86" s="13">
        <v>123.08000000000004</v>
      </c>
      <c r="D86" s="20">
        <v>101</v>
      </c>
      <c r="E86" s="20">
        <v>123</v>
      </c>
      <c r="F86" s="22">
        <f t="shared" ref="F86:F89" si="49">IFERROR(B86/D86,"")</f>
        <v>0.99990099009900968</v>
      </c>
      <c r="G86" s="22">
        <f t="shared" ref="G86:G89" si="50">IFERROR(C86/E86,"")</f>
        <v>1.0006504065040653</v>
      </c>
      <c r="H86" s="46">
        <f t="shared" si="47"/>
        <v>22.09000000000006</v>
      </c>
      <c r="I86" s="24">
        <f t="shared" si="48"/>
        <v>0.21873452817110661</v>
      </c>
    </row>
    <row r="87" spans="1:9" x14ac:dyDescent="0.35">
      <c r="A87" s="6" t="s">
        <v>32</v>
      </c>
      <c r="B87" s="13">
        <v>35.910000000000004</v>
      </c>
      <c r="C87" s="13">
        <v>53.550000000000011</v>
      </c>
      <c r="D87" s="20">
        <v>44</v>
      </c>
      <c r="E87" s="20">
        <v>49</v>
      </c>
      <c r="F87" s="22">
        <f t="shared" si="49"/>
        <v>0.81613636363636377</v>
      </c>
      <c r="G87" s="22">
        <f t="shared" si="50"/>
        <v>1.0928571428571432</v>
      </c>
      <c r="H87" s="46">
        <f t="shared" si="47"/>
        <v>17.640000000000008</v>
      </c>
      <c r="I87" s="24">
        <f t="shared" si="48"/>
        <v>0.49122807017543879</v>
      </c>
    </row>
    <row r="88" spans="1:9" x14ac:dyDescent="0.35">
      <c r="A88" s="6" t="s">
        <v>33</v>
      </c>
      <c r="B88" s="13">
        <v>259.27</v>
      </c>
      <c r="C88" s="13">
        <v>311.79000000000002</v>
      </c>
      <c r="D88" s="20">
        <v>248</v>
      </c>
      <c r="E88" s="20">
        <v>312</v>
      </c>
      <c r="F88" s="22">
        <f t="shared" si="49"/>
        <v>1.0454435483870967</v>
      </c>
      <c r="G88" s="22">
        <f t="shared" si="50"/>
        <v>0.99932692307692317</v>
      </c>
      <c r="H88" s="46">
        <f t="shared" si="47"/>
        <v>52.520000000000039</v>
      </c>
      <c r="I88" s="24">
        <f t="shared" si="48"/>
        <v>0.20256875072318459</v>
      </c>
    </row>
    <row r="89" spans="1:9" x14ac:dyDescent="0.35">
      <c r="A89" s="11" t="s">
        <v>13</v>
      </c>
      <c r="B89" s="14">
        <v>32.97</v>
      </c>
      <c r="C89" s="14">
        <f>SUM(C90:C92)</f>
        <v>43.95</v>
      </c>
      <c r="D89" s="14">
        <v>47</v>
      </c>
      <c r="E89" s="14">
        <v>48</v>
      </c>
      <c r="F89" s="301">
        <f t="shared" si="49"/>
        <v>0.70148936170212761</v>
      </c>
      <c r="G89" s="301">
        <f t="shared" si="50"/>
        <v>0.91562500000000002</v>
      </c>
      <c r="H89" s="45">
        <f t="shared" si="47"/>
        <v>10.980000000000004</v>
      </c>
      <c r="I89" s="23">
        <f t="shared" si="48"/>
        <v>0.33303002729754327</v>
      </c>
    </row>
    <row r="90" spans="1:9" x14ac:dyDescent="0.35">
      <c r="A90" s="6" t="s">
        <v>34</v>
      </c>
      <c r="B90" s="13">
        <v>13.479999999999999</v>
      </c>
      <c r="C90" s="13">
        <v>16.14</v>
      </c>
      <c r="D90" s="20">
        <v>19</v>
      </c>
      <c r="E90" s="20">
        <v>19</v>
      </c>
      <c r="F90" s="22">
        <f t="shared" ref="F90:F93" si="51">IFERROR(B90/D90,"")</f>
        <v>0.70947368421052626</v>
      </c>
      <c r="G90" s="22">
        <f t="shared" ref="G90:G93" si="52">IFERROR(C90/E90,"")</f>
        <v>0.84947368421052638</v>
      </c>
      <c r="H90" s="46">
        <f t="shared" si="47"/>
        <v>2.6600000000000019</v>
      </c>
      <c r="I90" s="24">
        <f t="shared" si="48"/>
        <v>0.19732937685459961</v>
      </c>
    </row>
    <row r="91" spans="1:9" x14ac:dyDescent="0.35">
      <c r="A91" s="6" t="s">
        <v>61</v>
      </c>
      <c r="B91" s="13">
        <v>0.05</v>
      </c>
      <c r="C91" s="13">
        <v>0.98000000000000009</v>
      </c>
      <c r="D91" s="20">
        <v>9</v>
      </c>
      <c r="E91" s="20">
        <v>2</v>
      </c>
      <c r="F91" s="22">
        <f t="shared" si="51"/>
        <v>5.5555555555555558E-3</v>
      </c>
      <c r="G91" s="22">
        <f t="shared" si="52"/>
        <v>0.49000000000000005</v>
      </c>
      <c r="H91" s="46">
        <f t="shared" si="47"/>
        <v>0.93</v>
      </c>
      <c r="I91" s="24">
        <f t="shared" si="48"/>
        <v>18.600000000000001</v>
      </c>
    </row>
    <row r="92" spans="1:9" x14ac:dyDescent="0.35">
      <c r="A92" s="6" t="s">
        <v>36</v>
      </c>
      <c r="B92" s="13">
        <v>19.440000000000001</v>
      </c>
      <c r="C92" s="13">
        <v>26.83</v>
      </c>
      <c r="D92" s="20">
        <v>19</v>
      </c>
      <c r="E92" s="20">
        <v>27</v>
      </c>
      <c r="F92" s="22">
        <f t="shared" si="51"/>
        <v>1.0231578947368423</v>
      </c>
      <c r="G92" s="22">
        <f t="shared" si="52"/>
        <v>0.99370370370370364</v>
      </c>
      <c r="H92" s="46">
        <f t="shared" si="47"/>
        <v>7.389999999999997</v>
      </c>
      <c r="I92" s="24">
        <f t="shared" si="48"/>
        <v>0.38014403292181043</v>
      </c>
    </row>
    <row r="93" spans="1:9" x14ac:dyDescent="0.35">
      <c r="A93" s="11" t="s">
        <v>14</v>
      </c>
      <c r="B93" s="14">
        <v>323.34999999999997</v>
      </c>
      <c r="C93" s="14">
        <f>SUM(C94:C97)</f>
        <v>457.09000000000003</v>
      </c>
      <c r="D93" s="14">
        <v>319</v>
      </c>
      <c r="E93" s="14">
        <v>463</v>
      </c>
      <c r="F93" s="301">
        <f t="shared" si="51"/>
        <v>1.0136363636363634</v>
      </c>
      <c r="G93" s="301">
        <f t="shared" si="52"/>
        <v>0.9872354211663068</v>
      </c>
      <c r="H93" s="45">
        <f t="shared" si="47"/>
        <v>133.74000000000007</v>
      </c>
      <c r="I93" s="23">
        <f t="shared" si="48"/>
        <v>0.41360754600278371</v>
      </c>
    </row>
    <row r="94" spans="1:9" x14ac:dyDescent="0.35">
      <c r="A94" s="6" t="s">
        <v>37</v>
      </c>
      <c r="B94" s="13"/>
      <c r="C94" s="13">
        <v>2.64</v>
      </c>
      <c r="D94" s="20">
        <v>2</v>
      </c>
      <c r="E94" s="20">
        <v>3</v>
      </c>
      <c r="F94" s="22">
        <f t="shared" ref="F94:F96" si="53">IFERROR(B94/D94,"")</f>
        <v>0</v>
      </c>
      <c r="G94" s="22">
        <f t="shared" ref="G94:G96" si="54">IFERROR(C94/E94,"")</f>
        <v>0.88</v>
      </c>
      <c r="H94" s="12">
        <f t="shared" si="47"/>
        <v>2.64</v>
      </c>
      <c r="I94" s="24" t="str">
        <f t="shared" si="48"/>
        <v/>
      </c>
    </row>
    <row r="95" spans="1:9" x14ac:dyDescent="0.35">
      <c r="A95" s="6" t="s">
        <v>38</v>
      </c>
      <c r="B95" s="13">
        <v>1.07</v>
      </c>
      <c r="C95" s="13">
        <v>1.07</v>
      </c>
      <c r="D95" s="20">
        <v>1</v>
      </c>
      <c r="E95" s="20">
        <v>4</v>
      </c>
      <c r="F95" s="22">
        <f t="shared" si="53"/>
        <v>1.07</v>
      </c>
      <c r="G95" s="22">
        <f t="shared" si="54"/>
        <v>0.26750000000000002</v>
      </c>
      <c r="H95" s="12">
        <f t="shared" si="47"/>
        <v>0</v>
      </c>
      <c r="I95" s="24">
        <f t="shared" si="48"/>
        <v>0</v>
      </c>
    </row>
    <row r="96" spans="1:9" x14ac:dyDescent="0.35">
      <c r="A96" s="6" t="s">
        <v>39</v>
      </c>
      <c r="B96" s="13">
        <v>297.82</v>
      </c>
      <c r="C96" s="13">
        <v>429.41</v>
      </c>
      <c r="D96" s="20">
        <v>295</v>
      </c>
      <c r="E96" s="20">
        <v>433</v>
      </c>
      <c r="F96" s="22">
        <f t="shared" si="53"/>
        <v>1.0095593220338983</v>
      </c>
      <c r="G96" s="22">
        <f t="shared" si="54"/>
        <v>0.99170900692840658</v>
      </c>
      <c r="H96" s="12">
        <f t="shared" si="47"/>
        <v>131.59000000000003</v>
      </c>
      <c r="I96" s="24">
        <f t="shared" si="48"/>
        <v>0.44184406688603861</v>
      </c>
    </row>
    <row r="97" spans="1:10" x14ac:dyDescent="0.35">
      <c r="A97" s="6" t="s">
        <v>40</v>
      </c>
      <c r="B97" s="13">
        <v>24.459999999999997</v>
      </c>
      <c r="C97" s="13">
        <v>23.97</v>
      </c>
      <c r="D97" s="20">
        <v>23</v>
      </c>
      <c r="E97" s="20">
        <v>23</v>
      </c>
      <c r="F97" s="22">
        <f t="shared" ref="F97:F98" si="55">IFERROR(B97/D97,"")</f>
        <v>1.0634782608695652</v>
      </c>
      <c r="G97" s="22">
        <f t="shared" ref="G97:G98" si="56">IFERROR(C97/E97,"")</f>
        <v>1.0421739130434782</v>
      </c>
      <c r="H97" s="12">
        <f t="shared" si="47"/>
        <v>-0.48999999999999844</v>
      </c>
      <c r="I97" s="24">
        <f t="shared" si="48"/>
        <v>-2.0032706459525706E-2</v>
      </c>
    </row>
    <row r="98" spans="1:10" x14ac:dyDescent="0.35">
      <c r="A98" s="11" t="s">
        <v>15</v>
      </c>
      <c r="B98" s="41">
        <v>8552.4400000000023</v>
      </c>
      <c r="C98" s="27">
        <f>SUM(C99:C103)</f>
        <v>11399.790000000003</v>
      </c>
      <c r="D98" s="14">
        <v>9648</v>
      </c>
      <c r="E98" s="14">
        <v>12699</v>
      </c>
      <c r="F98" s="301">
        <f t="shared" si="55"/>
        <v>0.88644693200663371</v>
      </c>
      <c r="G98" s="301">
        <f t="shared" si="56"/>
        <v>0.89769194424757881</v>
      </c>
      <c r="H98" s="45">
        <f t="shared" si="47"/>
        <v>2847.3500000000004</v>
      </c>
      <c r="I98" s="23">
        <f t="shared" si="48"/>
        <v>0.33292838067265018</v>
      </c>
      <c r="J98">
        <f>C98/C127</f>
        <v>0.72906536575133174</v>
      </c>
    </row>
    <row r="99" spans="1:10" x14ac:dyDescent="0.35">
      <c r="A99" s="6" t="s">
        <v>41</v>
      </c>
      <c r="B99" s="13">
        <v>1997.6600000000005</v>
      </c>
      <c r="C99" s="13">
        <v>2708.44</v>
      </c>
      <c r="D99" s="20">
        <v>3146</v>
      </c>
      <c r="E99" s="20">
        <v>4020</v>
      </c>
      <c r="F99" s="22">
        <f t="shared" ref="F99:F102" si="57">IFERROR(B99/D99,"")</f>
        <v>0.63498410680228878</v>
      </c>
      <c r="G99" s="22">
        <f t="shared" ref="G99:G102" si="58">IFERROR(C99/E99,"")</f>
        <v>0.67374129353233836</v>
      </c>
      <c r="H99" s="46">
        <f t="shared" si="47"/>
        <v>710.77999999999952</v>
      </c>
      <c r="I99" s="24">
        <f t="shared" si="48"/>
        <v>0.35580629336323466</v>
      </c>
    </row>
    <row r="100" spans="1:10" x14ac:dyDescent="0.35">
      <c r="A100" s="6" t="s">
        <v>42</v>
      </c>
      <c r="B100" s="13">
        <v>3326.09</v>
      </c>
      <c r="C100" s="13">
        <v>4242.6600000000017</v>
      </c>
      <c r="D100" s="20">
        <v>3324</v>
      </c>
      <c r="E100" s="20">
        <v>4249</v>
      </c>
      <c r="F100" s="22">
        <f t="shared" si="57"/>
        <v>1.0006287605294826</v>
      </c>
      <c r="G100" s="22">
        <f t="shared" si="58"/>
        <v>0.99850788420804937</v>
      </c>
      <c r="H100" s="46">
        <f t="shared" si="47"/>
        <v>916.57000000000153</v>
      </c>
      <c r="I100" s="24">
        <f t="shared" si="48"/>
        <v>0.27556981320409291</v>
      </c>
    </row>
    <row r="101" spans="1:10" x14ac:dyDescent="0.35">
      <c r="A101" s="6" t="s">
        <v>43</v>
      </c>
      <c r="B101" s="13">
        <v>668.1099999999999</v>
      </c>
      <c r="C101" s="13">
        <v>994.76</v>
      </c>
      <c r="D101" s="20">
        <v>668</v>
      </c>
      <c r="E101" s="20">
        <v>6958</v>
      </c>
      <c r="F101" s="22">
        <f t="shared" si="57"/>
        <v>1.0001646706586824</v>
      </c>
      <c r="G101" s="22">
        <f t="shared" si="58"/>
        <v>0.14296636964645013</v>
      </c>
      <c r="H101" s="46">
        <f t="shared" si="47"/>
        <v>326.65000000000009</v>
      </c>
      <c r="I101" s="24">
        <f t="shared" si="48"/>
        <v>0.48891649578662211</v>
      </c>
    </row>
    <row r="102" spans="1:10" x14ac:dyDescent="0.35">
      <c r="A102" s="6" t="s">
        <v>44</v>
      </c>
      <c r="B102" s="13">
        <v>130.97</v>
      </c>
      <c r="C102" s="13">
        <v>147.25</v>
      </c>
      <c r="D102" s="20">
        <v>181</v>
      </c>
      <c r="E102" s="20">
        <v>145</v>
      </c>
      <c r="F102" s="22">
        <f t="shared" si="57"/>
        <v>0.72359116022099446</v>
      </c>
      <c r="G102" s="22">
        <f t="shared" si="58"/>
        <v>1.0155172413793103</v>
      </c>
      <c r="H102" s="46">
        <f t="shared" si="47"/>
        <v>16.28</v>
      </c>
      <c r="I102" s="24">
        <f t="shared" si="48"/>
        <v>0.12430327555928833</v>
      </c>
    </row>
    <row r="103" spans="1:10" x14ac:dyDescent="0.35">
      <c r="A103" s="6" t="s">
        <v>45</v>
      </c>
      <c r="B103" s="13">
        <v>2429.610000000001</v>
      </c>
      <c r="C103" s="13">
        <v>3306.6800000000007</v>
      </c>
      <c r="D103" s="20">
        <v>2329</v>
      </c>
      <c r="E103" s="20">
        <v>3264</v>
      </c>
      <c r="F103" s="22">
        <f t="shared" ref="F103:F104" si="59">IFERROR(B103/D103,"")</f>
        <v>1.0431987977672825</v>
      </c>
      <c r="G103" s="22">
        <f t="shared" ref="G103:G104" si="60">IFERROR(C103/E103,"")</f>
        <v>1.0130759803921572</v>
      </c>
      <c r="H103" s="46">
        <f t="shared" si="47"/>
        <v>877.06999999999971</v>
      </c>
      <c r="I103" s="24">
        <f t="shared" si="48"/>
        <v>0.36099209338124205</v>
      </c>
    </row>
    <row r="104" spans="1:10" x14ac:dyDescent="0.35">
      <c r="A104" s="11" t="s">
        <v>16</v>
      </c>
      <c r="B104" s="14">
        <v>486.86999999999995</v>
      </c>
      <c r="C104" s="14">
        <f>SUM(C105:C113)</f>
        <v>589.13</v>
      </c>
      <c r="D104" s="14">
        <v>1781</v>
      </c>
      <c r="E104" s="14">
        <v>2085</v>
      </c>
      <c r="F104" s="301">
        <f t="shared" si="59"/>
        <v>0.27336889387984276</v>
      </c>
      <c r="G104" s="301">
        <f t="shared" si="60"/>
        <v>0.28255635491606712</v>
      </c>
      <c r="H104" s="45">
        <f t="shared" si="47"/>
        <v>102.26000000000005</v>
      </c>
      <c r="I104" s="23">
        <f t="shared" si="48"/>
        <v>0.21003553309918477</v>
      </c>
    </row>
    <row r="105" spans="1:10" x14ac:dyDescent="0.35">
      <c r="A105" s="6" t="s">
        <v>46</v>
      </c>
      <c r="B105" s="13">
        <v>11.18</v>
      </c>
      <c r="C105" s="13">
        <v>13.350000000000001</v>
      </c>
      <c r="D105" s="20">
        <v>21</v>
      </c>
      <c r="E105" s="20">
        <v>112</v>
      </c>
      <c r="F105" s="22">
        <f t="shared" ref="F105:F109" si="61">IFERROR(B105/D105,"")</f>
        <v>0.5323809523809524</v>
      </c>
      <c r="G105" s="22">
        <f t="shared" ref="G105:G109" si="62">IFERROR(C105/E105,"")</f>
        <v>0.11919642857142858</v>
      </c>
      <c r="H105" s="12">
        <f t="shared" si="47"/>
        <v>2.1700000000000017</v>
      </c>
      <c r="I105" s="24">
        <f t="shared" si="48"/>
        <v>0.19409660107334537</v>
      </c>
    </row>
    <row r="106" spans="1:10" x14ac:dyDescent="0.35">
      <c r="A106" s="6" t="s">
        <v>47</v>
      </c>
      <c r="B106" s="13">
        <v>4.1500000000000004</v>
      </c>
      <c r="C106" s="13">
        <v>11.14</v>
      </c>
      <c r="D106" s="20">
        <v>4</v>
      </c>
      <c r="E106" s="20">
        <v>11</v>
      </c>
      <c r="F106" s="22">
        <f t="shared" si="61"/>
        <v>1.0375000000000001</v>
      </c>
      <c r="G106" s="22">
        <f t="shared" si="62"/>
        <v>1.0127272727272727</v>
      </c>
      <c r="H106" s="12">
        <f t="shared" si="47"/>
        <v>6.99</v>
      </c>
      <c r="I106" s="24">
        <f t="shared" si="48"/>
        <v>1.6843373493975902</v>
      </c>
    </row>
    <row r="107" spans="1:10" x14ac:dyDescent="0.35">
      <c r="A107" s="6" t="s">
        <v>48</v>
      </c>
      <c r="B107" s="13">
        <v>17.700000000000003</v>
      </c>
      <c r="C107" s="13">
        <v>16.79</v>
      </c>
      <c r="D107" s="20">
        <v>12</v>
      </c>
      <c r="E107" s="20">
        <v>32</v>
      </c>
      <c r="F107" s="22">
        <f t="shared" si="61"/>
        <v>1.4750000000000003</v>
      </c>
      <c r="G107" s="22">
        <f t="shared" si="62"/>
        <v>0.52468749999999997</v>
      </c>
      <c r="H107" s="12">
        <f t="shared" si="47"/>
        <v>-0.91000000000000369</v>
      </c>
      <c r="I107" s="24">
        <f t="shared" si="48"/>
        <v>-5.1412429378531299E-2</v>
      </c>
    </row>
    <row r="108" spans="1:10" x14ac:dyDescent="0.35">
      <c r="A108" s="6" t="s">
        <v>49</v>
      </c>
      <c r="B108" s="13">
        <v>5.53</v>
      </c>
      <c r="C108" s="13">
        <v>7.5600000000000005</v>
      </c>
      <c r="D108" s="20">
        <v>6</v>
      </c>
      <c r="E108" s="20">
        <v>8</v>
      </c>
      <c r="F108" s="22">
        <f t="shared" si="61"/>
        <v>0.92166666666666675</v>
      </c>
      <c r="G108" s="22">
        <f t="shared" si="62"/>
        <v>0.94500000000000006</v>
      </c>
      <c r="H108" s="12">
        <f t="shared" si="47"/>
        <v>2.0300000000000002</v>
      </c>
      <c r="I108" s="24">
        <f t="shared" si="48"/>
        <v>0.36708860759493667</v>
      </c>
    </row>
    <row r="109" spans="1:10" x14ac:dyDescent="0.35">
      <c r="A109" s="6" t="s">
        <v>50</v>
      </c>
      <c r="B109" s="13">
        <v>58.209999999999994</v>
      </c>
      <c r="C109" s="13">
        <v>58.849999999999994</v>
      </c>
      <c r="D109" s="20">
        <v>57</v>
      </c>
      <c r="E109" s="20">
        <v>60</v>
      </c>
      <c r="F109" s="22">
        <f t="shared" si="61"/>
        <v>1.0212280701754386</v>
      </c>
      <c r="G109" s="22">
        <f t="shared" si="62"/>
        <v>0.98083333333333322</v>
      </c>
      <c r="H109" s="12">
        <f t="shared" si="47"/>
        <v>0.64000000000000057</v>
      </c>
      <c r="I109" s="24">
        <f t="shared" si="48"/>
        <v>1.0994674454561038E-2</v>
      </c>
    </row>
    <row r="110" spans="1:10" x14ac:dyDescent="0.35">
      <c r="A110" s="6" t="s">
        <v>51</v>
      </c>
      <c r="B110" s="13">
        <v>16.04</v>
      </c>
      <c r="C110" s="13">
        <v>15.56</v>
      </c>
      <c r="D110" s="20">
        <v>176</v>
      </c>
      <c r="E110" s="20">
        <v>204</v>
      </c>
      <c r="F110" s="22">
        <f t="shared" ref="F110:F114" si="63">IFERROR(B110/D110,"")</f>
        <v>9.1136363636363626E-2</v>
      </c>
      <c r="G110" s="22">
        <f t="shared" ref="G110:G114" si="64">IFERROR(C110/E110,"")</f>
        <v>7.6274509803921572E-2</v>
      </c>
      <c r="H110" s="12">
        <f t="shared" si="47"/>
        <v>-0.47999999999999865</v>
      </c>
      <c r="I110" s="24">
        <f t="shared" si="48"/>
        <v>-2.9925187032418865E-2</v>
      </c>
    </row>
    <row r="111" spans="1:10" x14ac:dyDescent="0.35">
      <c r="A111" s="6" t="s">
        <v>52</v>
      </c>
      <c r="B111" s="13">
        <v>2.8600000000000003</v>
      </c>
      <c r="C111" s="13">
        <v>2.8600000000000003</v>
      </c>
      <c r="D111" s="20">
        <v>7</v>
      </c>
      <c r="E111" s="20">
        <v>7</v>
      </c>
      <c r="F111" s="22">
        <f t="shared" si="63"/>
        <v>0.40857142857142864</v>
      </c>
      <c r="G111" s="22">
        <f t="shared" si="64"/>
        <v>0.40857142857142864</v>
      </c>
      <c r="H111" s="12">
        <f t="shared" si="47"/>
        <v>0</v>
      </c>
      <c r="I111" s="24">
        <f t="shared" si="48"/>
        <v>0</v>
      </c>
    </row>
    <row r="112" spans="1:10" x14ac:dyDescent="0.35">
      <c r="A112" s="6" t="s">
        <v>53</v>
      </c>
      <c r="B112" s="13">
        <v>215.60999999999999</v>
      </c>
      <c r="C112" s="13">
        <v>257.62</v>
      </c>
      <c r="D112" s="20">
        <v>840</v>
      </c>
      <c r="E112" s="20">
        <v>1041</v>
      </c>
      <c r="F112" s="22">
        <f t="shared" si="63"/>
        <v>0.25667857142857142</v>
      </c>
      <c r="G112" s="22">
        <f t="shared" si="64"/>
        <v>0.24747358309317963</v>
      </c>
      <c r="H112" s="12">
        <f t="shared" si="47"/>
        <v>42.010000000000019</v>
      </c>
      <c r="I112" s="24">
        <f t="shared" si="48"/>
        <v>0.19484253977088262</v>
      </c>
    </row>
    <row r="113" spans="1:9" x14ac:dyDescent="0.35">
      <c r="A113" s="6" t="s">
        <v>54</v>
      </c>
      <c r="B113" s="13">
        <v>155.58999999999997</v>
      </c>
      <c r="C113" s="13">
        <v>205.4</v>
      </c>
      <c r="D113" s="20">
        <v>658</v>
      </c>
      <c r="E113" s="20">
        <v>728</v>
      </c>
      <c r="F113" s="22">
        <f t="shared" si="63"/>
        <v>0.23645896656534951</v>
      </c>
      <c r="G113" s="22">
        <f t="shared" si="64"/>
        <v>0.28214285714285714</v>
      </c>
      <c r="H113" s="12">
        <f t="shared" si="47"/>
        <v>49.810000000000031</v>
      </c>
      <c r="I113" s="24">
        <f t="shared" si="48"/>
        <v>0.32013625554341574</v>
      </c>
    </row>
    <row r="114" spans="1:9" x14ac:dyDescent="0.35">
      <c r="A114" s="11" t="s">
        <v>18</v>
      </c>
      <c r="B114" s="14"/>
      <c r="C114" s="14"/>
      <c r="D114" s="14">
        <v>1</v>
      </c>
      <c r="E114" s="14">
        <v>1</v>
      </c>
      <c r="F114" s="301">
        <f t="shared" si="63"/>
        <v>0</v>
      </c>
      <c r="G114" s="301">
        <f t="shared" si="64"/>
        <v>0</v>
      </c>
      <c r="H114" s="28">
        <f t="shared" si="47"/>
        <v>0</v>
      </c>
      <c r="I114" s="23" t="str">
        <f t="shared" si="48"/>
        <v/>
      </c>
    </row>
    <row r="115" spans="1:9" x14ac:dyDescent="0.35">
      <c r="A115" s="6" t="s">
        <v>18</v>
      </c>
      <c r="B115" s="13"/>
      <c r="C115" s="13"/>
      <c r="D115" s="20">
        <v>1</v>
      </c>
      <c r="E115" s="20">
        <v>1</v>
      </c>
      <c r="F115" s="22">
        <f t="shared" ref="F115:F116" si="65">IFERROR(B115/D115,"")</f>
        <v>0</v>
      </c>
      <c r="G115" s="22">
        <f t="shared" ref="G115:G116" si="66">IFERROR(C115/E115,"")</f>
        <v>0</v>
      </c>
      <c r="H115" s="12">
        <f t="shared" si="47"/>
        <v>0</v>
      </c>
      <c r="I115" s="24" t="str">
        <f t="shared" si="48"/>
        <v/>
      </c>
    </row>
    <row r="116" spans="1:9" x14ac:dyDescent="0.35">
      <c r="A116" s="11" t="s">
        <v>17</v>
      </c>
      <c r="B116" s="14">
        <v>424.34000000000003</v>
      </c>
      <c r="C116" s="14">
        <f>SUM(C117:C118)</f>
        <v>565.08000000000004</v>
      </c>
      <c r="D116" s="14">
        <v>1196</v>
      </c>
      <c r="E116" s="14">
        <v>528</v>
      </c>
      <c r="F116" s="301">
        <f t="shared" si="65"/>
        <v>0.35479933110367895</v>
      </c>
      <c r="G116" s="301">
        <f t="shared" si="66"/>
        <v>1.0702272727272728</v>
      </c>
      <c r="H116" s="28">
        <f t="shared" si="47"/>
        <v>140.74</v>
      </c>
      <c r="I116" s="23">
        <f t="shared" si="48"/>
        <v>0.33166800207380875</v>
      </c>
    </row>
    <row r="117" spans="1:9" x14ac:dyDescent="0.35">
      <c r="A117" s="6" t="s">
        <v>55</v>
      </c>
      <c r="B117" s="13">
        <v>138.82999999999998</v>
      </c>
      <c r="C117" s="13">
        <v>247.57999999999998</v>
      </c>
      <c r="D117" s="20">
        <v>848</v>
      </c>
      <c r="E117" s="20">
        <v>209</v>
      </c>
      <c r="F117" s="22">
        <f t="shared" ref="F117:F119" si="67">IFERROR(B117/D117,"")</f>
        <v>0.16371462264150941</v>
      </c>
      <c r="G117" s="22">
        <f t="shared" ref="G117:G119" si="68">IFERROR(C117/E117,"")</f>
        <v>1.1845933014354066</v>
      </c>
      <c r="H117" s="12">
        <f t="shared" si="47"/>
        <v>108.75</v>
      </c>
      <c r="I117" s="24">
        <f t="shared" si="48"/>
        <v>0.78333213282431768</v>
      </c>
    </row>
    <row r="118" spans="1:9" x14ac:dyDescent="0.35">
      <c r="A118" s="6" t="s">
        <v>56</v>
      </c>
      <c r="B118" s="13">
        <v>285.51000000000005</v>
      </c>
      <c r="C118" s="13">
        <v>317.50000000000006</v>
      </c>
      <c r="D118" s="20">
        <v>348</v>
      </c>
      <c r="E118" s="20">
        <v>319</v>
      </c>
      <c r="F118" s="22">
        <f t="shared" si="67"/>
        <v>0.82043103448275878</v>
      </c>
      <c r="G118" s="22">
        <f t="shared" si="68"/>
        <v>0.99529780564263337</v>
      </c>
      <c r="H118" s="12">
        <f t="shared" si="47"/>
        <v>31.990000000000009</v>
      </c>
      <c r="I118" s="24">
        <f t="shared" si="48"/>
        <v>0.11204511225526259</v>
      </c>
    </row>
    <row r="119" spans="1:9" x14ac:dyDescent="0.35">
      <c r="A119" s="11" t="s">
        <v>20</v>
      </c>
      <c r="B119" s="14">
        <v>17.689999999999998</v>
      </c>
      <c r="C119" s="14">
        <v>19.010000000000005</v>
      </c>
      <c r="D119" s="14">
        <v>30</v>
      </c>
      <c r="E119" s="14">
        <v>39</v>
      </c>
      <c r="F119" s="301">
        <f t="shared" si="67"/>
        <v>0.58966666666666656</v>
      </c>
      <c r="G119" s="301">
        <f t="shared" si="68"/>
        <v>0.48743589743589755</v>
      </c>
      <c r="H119" s="28">
        <f t="shared" si="47"/>
        <v>1.3200000000000074</v>
      </c>
      <c r="I119" s="23">
        <f t="shared" si="48"/>
        <v>7.4618428490673017E-2</v>
      </c>
    </row>
    <row r="120" spans="1:9" x14ac:dyDescent="0.35">
      <c r="A120" s="6" t="s">
        <v>20</v>
      </c>
      <c r="B120" s="13">
        <v>17.689999999999998</v>
      </c>
      <c r="C120" s="13">
        <v>19.010000000000005</v>
      </c>
      <c r="D120" s="20">
        <v>30</v>
      </c>
      <c r="E120" s="20">
        <v>39</v>
      </c>
      <c r="F120" s="22">
        <f t="shared" ref="F120:F121" si="69">IFERROR(B120/D120,"")</f>
        <v>0.58966666666666656</v>
      </c>
      <c r="G120" s="22">
        <f t="shared" ref="G120:G121" si="70">IFERROR(C120/E120,"")</f>
        <v>0.48743589743589755</v>
      </c>
      <c r="H120" s="12">
        <f t="shared" si="47"/>
        <v>1.3200000000000074</v>
      </c>
      <c r="I120" s="24">
        <f t="shared" si="48"/>
        <v>7.4618428490673017E-2</v>
      </c>
    </row>
    <row r="121" spans="1:9" x14ac:dyDescent="0.35">
      <c r="A121" s="11" t="s">
        <v>21</v>
      </c>
      <c r="B121" s="14">
        <v>122.32000000000002</v>
      </c>
      <c r="C121" s="14">
        <v>225.36</v>
      </c>
      <c r="D121" s="14">
        <v>309</v>
      </c>
      <c r="E121" s="14">
        <v>1423</v>
      </c>
      <c r="F121" s="301">
        <f t="shared" si="69"/>
        <v>0.39585760517799362</v>
      </c>
      <c r="G121" s="301">
        <f t="shared" si="70"/>
        <v>0.15836964160224878</v>
      </c>
      <c r="H121" s="28">
        <f t="shared" si="47"/>
        <v>103.03999999999999</v>
      </c>
      <c r="I121" s="23">
        <f t="shared" si="48"/>
        <v>0.84238064094179177</v>
      </c>
    </row>
    <row r="122" spans="1:9" x14ac:dyDescent="0.35">
      <c r="A122" s="6" t="s">
        <v>21</v>
      </c>
      <c r="B122" s="13">
        <v>122.32000000000002</v>
      </c>
      <c r="C122" s="13">
        <v>225.36</v>
      </c>
      <c r="D122" s="20">
        <v>309</v>
      </c>
      <c r="E122" s="20">
        <v>1423</v>
      </c>
      <c r="F122" s="22">
        <f t="shared" ref="F122:F123" si="71">IFERROR(B122/D122,"")</f>
        <v>0.39585760517799362</v>
      </c>
      <c r="G122" s="22">
        <f t="shared" ref="G122:G123" si="72">IFERROR(C122/E122,"")</f>
        <v>0.15836964160224878</v>
      </c>
      <c r="H122" s="12">
        <f t="shared" si="47"/>
        <v>103.03999999999999</v>
      </c>
      <c r="I122" s="24">
        <f t="shared" si="48"/>
        <v>0.84238064094179177</v>
      </c>
    </row>
    <row r="123" spans="1:9" x14ac:dyDescent="0.35">
      <c r="A123" s="11" t="s">
        <v>22</v>
      </c>
      <c r="B123" s="14">
        <v>304.25000000000006</v>
      </c>
      <c r="C123" s="14">
        <v>403.24</v>
      </c>
      <c r="D123" s="14">
        <v>576</v>
      </c>
      <c r="E123" s="14">
        <v>768</v>
      </c>
      <c r="F123" s="301">
        <f t="shared" si="71"/>
        <v>0.52821180555555569</v>
      </c>
      <c r="G123" s="301">
        <f t="shared" si="72"/>
        <v>0.52505208333333331</v>
      </c>
      <c r="H123" s="28">
        <f t="shared" si="47"/>
        <v>98.989999999999952</v>
      </c>
      <c r="I123" s="23">
        <f t="shared" si="48"/>
        <v>0.32535743631881653</v>
      </c>
    </row>
    <row r="124" spans="1:9" x14ac:dyDescent="0.35">
      <c r="A124" s="6" t="s">
        <v>22</v>
      </c>
      <c r="B124" s="13">
        <v>304.25000000000006</v>
      </c>
      <c r="C124" s="13">
        <v>403.24</v>
      </c>
      <c r="D124" s="20">
        <v>576</v>
      </c>
      <c r="E124" s="20">
        <v>768</v>
      </c>
      <c r="F124" s="22">
        <f t="shared" ref="F124:F125" si="73">IFERROR(B124/D124,"")</f>
        <v>0.52821180555555569</v>
      </c>
      <c r="G124" s="22">
        <f t="shared" ref="G124:G125" si="74">IFERROR(C124/E124,"")</f>
        <v>0.52505208333333331</v>
      </c>
      <c r="H124" s="12">
        <f t="shared" si="47"/>
        <v>98.989999999999952</v>
      </c>
      <c r="I124" s="24">
        <f t="shared" si="48"/>
        <v>0.32535743631881653</v>
      </c>
    </row>
    <row r="125" spans="1:9" x14ac:dyDescent="0.35">
      <c r="A125" s="11" t="s">
        <v>23</v>
      </c>
      <c r="B125" s="14">
        <v>53.419999999999995</v>
      </c>
      <c r="C125" s="14">
        <v>60.02</v>
      </c>
      <c r="D125" s="14">
        <v>62</v>
      </c>
      <c r="E125" s="14">
        <v>68</v>
      </c>
      <c r="F125" s="301">
        <f t="shared" si="73"/>
        <v>0.86161290322580641</v>
      </c>
      <c r="G125" s="301">
        <f t="shared" si="74"/>
        <v>0.88264705882352945</v>
      </c>
      <c r="H125" s="28">
        <f t="shared" si="47"/>
        <v>6.6000000000000085</v>
      </c>
      <c r="I125" s="23">
        <f t="shared" si="48"/>
        <v>0.1235492324971923</v>
      </c>
    </row>
    <row r="126" spans="1:9" x14ac:dyDescent="0.35">
      <c r="A126" s="6" t="s">
        <v>23</v>
      </c>
      <c r="B126" s="13">
        <v>53.419999999999995</v>
      </c>
      <c r="C126" s="13">
        <v>60.02</v>
      </c>
      <c r="D126" s="20">
        <v>62</v>
      </c>
      <c r="E126" s="20">
        <v>68</v>
      </c>
      <c r="F126" s="22">
        <f t="shared" ref="F126:F127" si="75">IFERROR(B126/D126,"")</f>
        <v>0.86161290322580641</v>
      </c>
      <c r="G126" s="22">
        <f t="shared" ref="G126:G127" si="76">IFERROR(C126/E126,"")</f>
        <v>0.88264705882352945</v>
      </c>
      <c r="H126" s="12">
        <f t="shared" si="47"/>
        <v>6.6000000000000085</v>
      </c>
      <c r="I126" s="24">
        <f t="shared" si="48"/>
        <v>0.1235492324971923</v>
      </c>
    </row>
    <row r="127" spans="1:9" x14ac:dyDescent="0.35">
      <c r="A127" s="43" t="s">
        <v>25</v>
      </c>
      <c r="B127" s="42">
        <f>SUM(B125,B123,B121,B119,B116,B104,B98,B93,B85,B89,B76)</f>
        <v>11729.220000000001</v>
      </c>
      <c r="C127" s="42">
        <f>SUM(C76,C85,C89,C93,C98,C104,C114,C116,C119,C121,C123,C125)</f>
        <v>15636.170000000002</v>
      </c>
      <c r="D127" s="42">
        <v>15699</v>
      </c>
      <c r="E127" s="42">
        <v>19556</v>
      </c>
      <c r="F127" s="300">
        <f t="shared" si="75"/>
        <v>0.74713166443722534</v>
      </c>
      <c r="G127" s="300">
        <f t="shared" si="76"/>
        <v>0.79955870321129074</v>
      </c>
      <c r="H127" s="29">
        <f t="shared" si="47"/>
        <v>3906.9500000000007</v>
      </c>
      <c r="I127" s="30">
        <f t="shared" si="48"/>
        <v>0.33309546585365446</v>
      </c>
    </row>
  </sheetData>
  <mergeCells count="12">
    <mergeCell ref="H74:I74"/>
    <mergeCell ref="A11:A12"/>
    <mergeCell ref="B11:C11"/>
    <mergeCell ref="H11:I11"/>
    <mergeCell ref="D11:E11"/>
    <mergeCell ref="F11:G11"/>
    <mergeCell ref="C5:D5"/>
    <mergeCell ref="C6:D6"/>
    <mergeCell ref="D74:E74"/>
    <mergeCell ref="F74:G74"/>
    <mergeCell ref="A74:A75"/>
    <mergeCell ref="B74:C74"/>
  </mergeCells>
  <phoneticPr fontId="75" type="noConversion"/>
  <conditionalFormatting sqref="I76:I127 I13:I67">
    <cfRule type="cellIs" dxfId="163" priority="21" operator="lessThan">
      <formula>0</formula>
    </cfRule>
  </conditionalFormatting>
  <conditionalFormatting sqref="H77:H84">
    <cfRule type="cellIs" dxfId="162" priority="14" operator="lessThan">
      <formula>0</formula>
    </cfRule>
  </conditionalFormatting>
  <conditionalFormatting sqref="H31:H67">
    <cfRule type="cellIs" dxfId="161" priority="18" operator="lessThan">
      <formula>0</formula>
    </cfRule>
  </conditionalFormatting>
  <conditionalFormatting sqref="H14:H21">
    <cfRule type="cellIs" dxfId="160" priority="17" operator="lessThan">
      <formula>0</formula>
    </cfRule>
  </conditionalFormatting>
  <conditionalFormatting sqref="H105:H127">
    <cfRule type="cellIs" dxfId="159" priority="16" operator="lessThan">
      <formula>0</formula>
    </cfRule>
  </conditionalFormatting>
  <conditionalFormatting sqref="H94:H97">
    <cfRule type="cellIs" dxfId="158" priority="15" operator="lessThan">
      <formula>0</formula>
    </cfRule>
  </conditionalFormatting>
  <conditionalFormatting sqref="F13:G13">
    <cfRule type="cellIs" dxfId="157" priority="13" operator="lessThan">
      <formula>0</formula>
    </cfRule>
  </conditionalFormatting>
  <conditionalFormatting sqref="F22:G22">
    <cfRule type="cellIs" dxfId="156" priority="12" operator="lessThan">
      <formula>0</formula>
    </cfRule>
  </conditionalFormatting>
  <conditionalFormatting sqref="F26:G26">
    <cfRule type="cellIs" dxfId="155" priority="11" operator="lessThan">
      <formula>0</formula>
    </cfRule>
  </conditionalFormatting>
  <conditionalFormatting sqref="L12:M16">
    <cfRule type="cellIs" dxfId="154" priority="10" operator="lessThan">
      <formula>0</formula>
    </cfRule>
  </conditionalFormatting>
  <conditionalFormatting sqref="R12:R16">
    <cfRule type="cellIs" dxfId="153" priority="9" operator="lessThan">
      <formula>0</formula>
    </cfRule>
  </conditionalFormatting>
  <conditionalFormatting sqref="S12:S16">
    <cfRule type="cellIs" dxfId="152" priority="6" operator="lessThan">
      <formula>0</formula>
    </cfRule>
  </conditionalFormatting>
  <conditionalFormatting sqref="T12:T16">
    <cfRule type="cellIs" dxfId="151" priority="5" operator="lessThan">
      <formula>0</formula>
    </cfRule>
  </conditionalFormatting>
  <conditionalFormatting sqref="R75:R79">
    <cfRule type="cellIs" dxfId="150" priority="4" operator="lessThan">
      <formula>0</formula>
    </cfRule>
  </conditionalFormatting>
  <conditionalFormatting sqref="S75:S79">
    <cfRule type="cellIs" dxfId="149" priority="3" operator="lessThan">
      <formula>0</formula>
    </cfRule>
  </conditionalFormatting>
  <conditionalFormatting sqref="L75:L79">
    <cfRule type="cellIs" dxfId="148" priority="2" operator="lessThan">
      <formula>0</formula>
    </cfRule>
  </conditionalFormatting>
  <conditionalFormatting sqref="M75:M79">
    <cfRule type="cellIs" dxfId="147" priority="1" operator="lessThan">
      <formula>0</formula>
    </cfRule>
  </conditionalFormatting>
  <hyperlinks>
    <hyperlink ref="B1" r:id="rId1" xr:uid="{00000000-0004-0000-0300-000000000000}"/>
    <hyperlink ref="L1" location="ÍNDICE!A1" display="ÍNDICE!A1" xr:uid="{00000000-0004-0000-0300-000001000000}"/>
    <hyperlink ref="B2" r:id="rId2" xr:uid="{00000000-0004-0000-0300-000002000000}"/>
    <hyperlink ref="C5" location="'PIS-REPR'!A7" display="ECOLÓGICO + CONVENCIONAL" xr:uid="{00000000-0004-0000-0300-000003000000}"/>
    <hyperlink ref="C6" location="'PIS-REPR'!A105" display="ECOLÓGICO + CONVENCIONAL" xr:uid="{00000000-0004-0000-0300-000004000000}"/>
    <hyperlink ref="C6:D6" location="'PIS-REPR'!A71" display="ECOLÓGICO + CONVENCIONAL" xr:uid="{4A6002D1-C7AA-414A-8D06-0A7511F3194E}"/>
  </hyperlinks>
  <pageMargins left="0.7" right="0.7" top="0.75" bottom="0.75" header="0.3" footer="0.3"/>
  <pageSetup paperSize="9" orientation="portrait" r:id="rId3"/>
  <ignoredErrors>
    <ignoredError sqref="B22" formulaRange="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T102"/>
  <sheetViews>
    <sheetView workbookViewId="0"/>
  </sheetViews>
  <sheetFormatPr baseColWidth="10" defaultRowHeight="14.5" x14ac:dyDescent="0.35"/>
  <cols>
    <col min="1" max="1" width="21.54296875" bestFit="1" customWidth="1"/>
    <col min="2" max="9" width="15.81640625" customWidth="1"/>
    <col min="11" max="11" width="17.81640625" bestFit="1" customWidth="1"/>
    <col min="12" max="12" width="16.54296875" bestFit="1" customWidth="1"/>
    <col min="13" max="13" width="18" bestFit="1" customWidth="1"/>
    <col min="14" max="14" width="19.54296875" customWidth="1"/>
    <col min="15" max="15" width="22.1796875" customWidth="1"/>
    <col min="16" max="16" width="17.81640625" customWidth="1"/>
    <col min="17" max="17" width="15" customWidth="1"/>
    <col min="18" max="19" width="12.453125" customWidth="1"/>
  </cols>
  <sheetData>
    <row r="1" spans="1:20" x14ac:dyDescent="0.35">
      <c r="A1" s="240" t="s">
        <v>10</v>
      </c>
      <c r="B1" s="2" t="s">
        <v>9</v>
      </c>
      <c r="C1" s="3"/>
      <c r="D1" s="3"/>
      <c r="E1" s="3"/>
      <c r="F1" s="3"/>
      <c r="G1" s="3"/>
      <c r="H1" s="3"/>
      <c r="K1" s="286" t="s">
        <v>143</v>
      </c>
      <c r="L1" s="2" t="s">
        <v>144</v>
      </c>
    </row>
    <row r="2" spans="1:20" x14ac:dyDescent="0.35">
      <c r="B2" s="304" t="s">
        <v>221</v>
      </c>
    </row>
    <row r="3" spans="1:20" x14ac:dyDescent="0.35">
      <c r="B3" s="304"/>
    </row>
    <row r="4" spans="1:20" x14ac:dyDescent="0.35">
      <c r="C4" t="s">
        <v>243</v>
      </c>
      <c r="G4" s="463" t="s">
        <v>293</v>
      </c>
    </row>
    <row r="5" spans="1:20" ht="15.5" x14ac:dyDescent="0.35">
      <c r="A5" s="283" t="s">
        <v>238</v>
      </c>
      <c r="C5" s="680" t="s">
        <v>212</v>
      </c>
      <c r="D5" s="680"/>
      <c r="F5" s="461" t="s">
        <v>294</v>
      </c>
      <c r="G5" s="462">
        <f>C60</f>
        <v>3168.979999999995</v>
      </c>
      <c r="H5" s="318">
        <f>G5/G7</f>
        <v>0.31973855734343892</v>
      </c>
      <c r="I5" s="141"/>
    </row>
    <row r="6" spans="1:20" ht="15.5" x14ac:dyDescent="0.35">
      <c r="A6" s="284" t="s">
        <v>239</v>
      </c>
      <c r="C6" s="681" t="s">
        <v>212</v>
      </c>
      <c r="D6" s="681"/>
      <c r="F6" s="461" t="s">
        <v>295</v>
      </c>
      <c r="G6" s="462">
        <f>C100</f>
        <v>6742.1799999999957</v>
      </c>
      <c r="H6" s="318">
        <f>G6/G7</f>
        <v>0.68026144265656108</v>
      </c>
      <c r="I6" s="141"/>
    </row>
    <row r="7" spans="1:20" x14ac:dyDescent="0.35">
      <c r="F7" s="465" t="s">
        <v>296</v>
      </c>
      <c r="G7" s="466">
        <f>G6+G5</f>
        <v>9911.1599999999908</v>
      </c>
      <c r="I7" s="141"/>
    </row>
    <row r="8" spans="1:20" ht="15" x14ac:dyDescent="0.35">
      <c r="A8" s="283" t="s">
        <v>68</v>
      </c>
    </row>
    <row r="9" spans="1:20" ht="18.5" x14ac:dyDescent="0.35">
      <c r="A9" s="285" t="s">
        <v>212</v>
      </c>
      <c r="B9" s="220"/>
      <c r="C9" s="221"/>
      <c r="D9" s="221"/>
      <c r="E9" s="221"/>
      <c r="F9" s="221"/>
      <c r="G9" s="221"/>
    </row>
    <row r="10" spans="1:20" x14ac:dyDescent="0.35">
      <c r="K10" s="319" t="s">
        <v>225</v>
      </c>
      <c r="Q10" s="319" t="s">
        <v>227</v>
      </c>
    </row>
    <row r="11" spans="1:20" ht="43" customHeight="1" x14ac:dyDescent="0.35">
      <c r="A11" s="677" t="s">
        <v>0</v>
      </c>
      <c r="B11" s="686" t="s">
        <v>1</v>
      </c>
      <c r="C11" s="687"/>
      <c r="D11" s="679" t="s">
        <v>217</v>
      </c>
      <c r="E11" s="679"/>
      <c r="F11" s="679" t="s">
        <v>218</v>
      </c>
      <c r="G11" s="679"/>
      <c r="H11" s="688" t="s">
        <v>2</v>
      </c>
      <c r="I11" s="688"/>
      <c r="K11" s="321"/>
      <c r="L11" s="157" t="s">
        <v>228</v>
      </c>
      <c r="M11" s="157" t="s">
        <v>229</v>
      </c>
      <c r="N11" s="157" t="s">
        <v>282</v>
      </c>
      <c r="O11" s="443" t="s">
        <v>285</v>
      </c>
      <c r="R11" s="322" t="s">
        <v>226</v>
      </c>
      <c r="S11" s="322" t="s">
        <v>228</v>
      </c>
      <c r="T11" s="322" t="s">
        <v>230</v>
      </c>
    </row>
    <row r="12" spans="1:20" x14ac:dyDescent="0.35">
      <c r="A12" s="678"/>
      <c r="B12" s="225">
        <v>2020</v>
      </c>
      <c r="C12" s="225">
        <v>2021</v>
      </c>
      <c r="D12" s="225">
        <v>2020</v>
      </c>
      <c r="E12" s="225">
        <v>2021</v>
      </c>
      <c r="F12" s="225">
        <v>2020</v>
      </c>
      <c r="G12" s="225">
        <v>2021</v>
      </c>
      <c r="H12" s="225" t="s">
        <v>3</v>
      </c>
      <c r="I12" s="225" t="s">
        <v>4</v>
      </c>
      <c r="K12" s="324" t="s">
        <v>14</v>
      </c>
      <c r="L12" s="462">
        <f>C39</f>
        <v>2671.2499999999955</v>
      </c>
      <c r="M12" s="462">
        <f>E39</f>
        <v>3616</v>
      </c>
      <c r="N12" s="459">
        <f>L12/M12</f>
        <v>0.73873064159291912</v>
      </c>
      <c r="O12" s="467">
        <f>F39</f>
        <v>0.77769251849821863</v>
      </c>
      <c r="Q12" s="324" t="s">
        <v>14</v>
      </c>
      <c r="R12" s="455">
        <f>B39</f>
        <v>2837.7999999999997</v>
      </c>
      <c r="S12" s="455">
        <v>2671.2499999999955</v>
      </c>
      <c r="T12" s="464">
        <f t="shared" ref="T12:T13" si="0">S12/R12-1</f>
        <v>-5.868983015011775E-2</v>
      </c>
    </row>
    <row r="13" spans="1:20" x14ac:dyDescent="0.35">
      <c r="A13" s="4" t="s">
        <v>5</v>
      </c>
      <c r="B13" s="53">
        <f>SUM(B14:B15)</f>
        <v>0.15</v>
      </c>
      <c r="C13" s="53">
        <f t="shared" ref="C13:E13" si="1">SUM(C14:C15)</f>
        <v>0.15</v>
      </c>
      <c r="D13" s="21">
        <f t="shared" si="1"/>
        <v>1</v>
      </c>
      <c r="E13" s="21">
        <f t="shared" si="1"/>
        <v>1</v>
      </c>
      <c r="F13" s="295">
        <f t="shared" ref="F13" si="2">IFERROR(B13/D13,"")</f>
        <v>0.15</v>
      </c>
      <c r="G13" s="295">
        <f t="shared" ref="G13" si="3">IFERROR(C13/E13,"")</f>
        <v>0.15</v>
      </c>
      <c r="H13" s="34">
        <f>IFERROR(C13-B13,"")</f>
        <v>0</v>
      </c>
      <c r="I13" s="35">
        <f>IFERROR((C13/B13)-1,"")</f>
        <v>0</v>
      </c>
      <c r="K13" s="324" t="s">
        <v>13</v>
      </c>
      <c r="L13" s="462">
        <f>C22</f>
        <v>449.85999999999979</v>
      </c>
      <c r="M13" s="462">
        <f>E22</f>
        <v>905</v>
      </c>
      <c r="N13" s="459">
        <f>L13/M13</f>
        <v>0.49708287292817654</v>
      </c>
      <c r="O13" s="467">
        <f>F22</f>
        <v>0.46185423365487671</v>
      </c>
      <c r="Q13" s="324" t="s">
        <v>13</v>
      </c>
      <c r="R13" s="455">
        <f>B22</f>
        <v>430.90999999999997</v>
      </c>
      <c r="S13" s="455">
        <v>449.85999999999979</v>
      </c>
      <c r="T13" s="464">
        <f t="shared" si="0"/>
        <v>4.3976700471095587E-2</v>
      </c>
    </row>
    <row r="14" spans="1:20" x14ac:dyDescent="0.35">
      <c r="A14" s="6" t="s">
        <v>8</v>
      </c>
      <c r="B14" s="54">
        <v>0.12</v>
      </c>
      <c r="C14" s="54">
        <v>0.12</v>
      </c>
      <c r="D14" s="12"/>
      <c r="E14" s="12"/>
      <c r="F14" s="22" t="str">
        <f>IFERROR(B14/D14,"")</f>
        <v/>
      </c>
      <c r="G14" s="22" t="str">
        <f>IFERROR(C14/E14,"")</f>
        <v/>
      </c>
      <c r="H14" s="12">
        <f t="shared" ref="H14:H60" si="4">IFERROR(C14-B14,"")</f>
        <v>0</v>
      </c>
      <c r="I14" s="48">
        <f t="shared" ref="I14:I60" si="5">IFERROR((C14/B14)-1,"")</f>
        <v>0</v>
      </c>
    </row>
    <row r="15" spans="1:20" x14ac:dyDescent="0.35">
      <c r="A15" s="6" t="s">
        <v>29</v>
      </c>
      <c r="B15" s="54">
        <v>0.03</v>
      </c>
      <c r="C15" s="54">
        <v>0.03</v>
      </c>
      <c r="D15" s="12">
        <v>1</v>
      </c>
      <c r="E15" s="12">
        <v>1</v>
      </c>
      <c r="F15" s="22">
        <f>IFERROR(B15/D15,"")</f>
        <v>0.03</v>
      </c>
      <c r="G15" s="22">
        <f>IFERROR(C15/E15,"")</f>
        <v>0.03</v>
      </c>
      <c r="H15" s="12">
        <f t="shared" si="4"/>
        <v>0</v>
      </c>
      <c r="I15" s="48">
        <f t="shared" si="5"/>
        <v>0</v>
      </c>
    </row>
    <row r="16" spans="1:20" x14ac:dyDescent="0.35">
      <c r="A16" s="4" t="s">
        <v>12</v>
      </c>
      <c r="B16" s="21">
        <f>SUM(B17:B19)</f>
        <v>23.290000000000003</v>
      </c>
      <c r="C16" s="21">
        <f t="shared" ref="C16:E16" si="6">SUM(C17:C19)</f>
        <v>20.32</v>
      </c>
      <c r="D16" s="21">
        <f t="shared" si="6"/>
        <v>38</v>
      </c>
      <c r="E16" s="21">
        <f t="shared" si="6"/>
        <v>34</v>
      </c>
      <c r="F16" s="295">
        <f t="shared" ref="F16" si="7">IFERROR(B16/D16,"")</f>
        <v>0.61289473684210538</v>
      </c>
      <c r="G16" s="295">
        <f t="shared" ref="G16" si="8">IFERROR(C16/E16,"")</f>
        <v>0.59764705882352942</v>
      </c>
      <c r="H16" s="21">
        <f t="shared" si="4"/>
        <v>-2.9700000000000024</v>
      </c>
      <c r="I16" s="35">
        <f t="shared" si="5"/>
        <v>-0.12752254186346079</v>
      </c>
    </row>
    <row r="17" spans="1:9" x14ac:dyDescent="0.35">
      <c r="A17" s="6" t="s">
        <v>31</v>
      </c>
      <c r="B17" s="55">
        <v>1.92</v>
      </c>
      <c r="C17" s="55">
        <v>1.91</v>
      </c>
      <c r="D17" s="12">
        <v>2</v>
      </c>
      <c r="E17" s="12">
        <v>2</v>
      </c>
      <c r="F17" s="22">
        <f t="shared" ref="F17:G19" si="9">IFERROR(B17/D17,"")</f>
        <v>0.96</v>
      </c>
      <c r="G17" s="22">
        <f t="shared" si="9"/>
        <v>0.95499999999999996</v>
      </c>
      <c r="H17" s="12">
        <f t="shared" si="4"/>
        <v>-1.0000000000000009E-2</v>
      </c>
      <c r="I17" s="48">
        <f t="shared" si="5"/>
        <v>-5.2083333333333703E-3</v>
      </c>
    </row>
    <row r="18" spans="1:9" x14ac:dyDescent="0.35">
      <c r="A18" s="6" t="s">
        <v>32</v>
      </c>
      <c r="B18" s="12">
        <v>20.36</v>
      </c>
      <c r="C18" s="12">
        <v>17.41</v>
      </c>
      <c r="D18" s="12">
        <v>35</v>
      </c>
      <c r="E18" s="12">
        <v>31</v>
      </c>
      <c r="F18" s="22">
        <f t="shared" si="9"/>
        <v>0.58171428571428574</v>
      </c>
      <c r="G18" s="22">
        <f t="shared" si="9"/>
        <v>0.56161290322580648</v>
      </c>
      <c r="H18" s="12">
        <f t="shared" si="4"/>
        <v>-2.9499999999999993</v>
      </c>
      <c r="I18" s="48">
        <f t="shared" si="5"/>
        <v>-0.14489194499017677</v>
      </c>
    </row>
    <row r="19" spans="1:9" x14ac:dyDescent="0.35">
      <c r="A19" s="6" t="s">
        <v>33</v>
      </c>
      <c r="B19" s="54">
        <v>1.01</v>
      </c>
      <c r="C19" s="12">
        <v>1</v>
      </c>
      <c r="D19" s="12">
        <v>1</v>
      </c>
      <c r="E19" s="12">
        <v>1</v>
      </c>
      <c r="F19" s="22">
        <f t="shared" si="9"/>
        <v>1.01</v>
      </c>
      <c r="G19" s="22">
        <f t="shared" si="9"/>
        <v>1</v>
      </c>
      <c r="H19" s="12">
        <f t="shared" si="4"/>
        <v>-1.0000000000000009E-2</v>
      </c>
      <c r="I19" s="48">
        <f t="shared" si="5"/>
        <v>-9.9009900990099098E-3</v>
      </c>
    </row>
    <row r="20" spans="1:9" x14ac:dyDescent="0.35">
      <c r="A20" s="4" t="s">
        <v>69</v>
      </c>
      <c r="B20" s="56">
        <v>0.45</v>
      </c>
      <c r="C20" s="21">
        <v>0.92</v>
      </c>
      <c r="D20" s="21"/>
      <c r="E20" s="21"/>
      <c r="F20" s="21"/>
      <c r="G20" s="21"/>
      <c r="H20" s="21">
        <f t="shared" si="4"/>
        <v>0.47000000000000003</v>
      </c>
      <c r="I20" s="35">
        <f t="shared" si="5"/>
        <v>1.0444444444444443</v>
      </c>
    </row>
    <row r="21" spans="1:9" x14ac:dyDescent="0.35">
      <c r="A21" s="6" t="s">
        <v>69</v>
      </c>
      <c r="B21" s="55">
        <v>0.45</v>
      </c>
      <c r="C21" s="12">
        <v>0.92</v>
      </c>
      <c r="D21" s="12"/>
      <c r="E21" s="12"/>
      <c r="F21" s="22" t="str">
        <f>IFERROR(B21/D21,"")</f>
        <v/>
      </c>
      <c r="G21" s="22" t="str">
        <f>IFERROR(C21/E21,"")</f>
        <v/>
      </c>
      <c r="H21" s="12">
        <f t="shared" si="4"/>
        <v>0.47000000000000003</v>
      </c>
      <c r="I21" s="48">
        <f t="shared" si="5"/>
        <v>1.0444444444444443</v>
      </c>
    </row>
    <row r="22" spans="1:9" x14ac:dyDescent="0.35">
      <c r="A22" s="4" t="s">
        <v>13</v>
      </c>
      <c r="B22" s="21">
        <f>SUM(B23:B25)</f>
        <v>430.90999999999997</v>
      </c>
      <c r="C22" s="21">
        <f t="shared" ref="C22:E22" si="10">SUM(C23:C25)</f>
        <v>449.85999999999979</v>
      </c>
      <c r="D22" s="21">
        <f t="shared" si="10"/>
        <v>933</v>
      </c>
      <c r="E22" s="21">
        <f t="shared" si="10"/>
        <v>905</v>
      </c>
      <c r="F22" s="295">
        <f t="shared" ref="F22" si="11">IFERROR(B22/D22,"")</f>
        <v>0.46185423365487671</v>
      </c>
      <c r="G22" s="295">
        <f t="shared" ref="G22" si="12">IFERROR(C22/E22,"")</f>
        <v>0.49708287292817654</v>
      </c>
      <c r="H22" s="21">
        <f t="shared" si="4"/>
        <v>18.949999999999818</v>
      </c>
      <c r="I22" s="35">
        <f t="shared" si="5"/>
        <v>4.3976700471095587E-2</v>
      </c>
    </row>
    <row r="23" spans="1:9" x14ac:dyDescent="0.35">
      <c r="A23" s="6" t="s">
        <v>34</v>
      </c>
      <c r="B23" s="55">
        <v>0.19</v>
      </c>
      <c r="C23" s="55">
        <v>0.28000000000000003</v>
      </c>
      <c r="D23" s="12">
        <v>2</v>
      </c>
      <c r="E23" s="12">
        <v>2</v>
      </c>
      <c r="F23" s="22">
        <f t="shared" ref="F23:G25" si="13">IFERROR(B23/D23,"")</f>
        <v>9.5000000000000001E-2</v>
      </c>
      <c r="G23" s="22">
        <f t="shared" si="13"/>
        <v>0.14000000000000001</v>
      </c>
      <c r="H23" s="12">
        <f t="shared" si="4"/>
        <v>9.0000000000000024E-2</v>
      </c>
      <c r="I23" s="48">
        <f t="shared" si="5"/>
        <v>0.47368421052631593</v>
      </c>
    </row>
    <row r="24" spans="1:9" x14ac:dyDescent="0.35">
      <c r="A24" s="6" t="s">
        <v>61</v>
      </c>
      <c r="B24" s="12">
        <v>422.77</v>
      </c>
      <c r="C24" s="12">
        <v>441.35999999999979</v>
      </c>
      <c r="D24" s="12">
        <v>931</v>
      </c>
      <c r="E24" s="12">
        <v>903</v>
      </c>
      <c r="F24" s="22">
        <f t="shared" si="13"/>
        <v>0.45410311493018257</v>
      </c>
      <c r="G24" s="22">
        <f t="shared" si="13"/>
        <v>0.48877076411960108</v>
      </c>
      <c r="H24" s="12">
        <f t="shared" si="4"/>
        <v>18.589999999999804</v>
      </c>
      <c r="I24" s="48">
        <f t="shared" si="5"/>
        <v>4.3971899614447141E-2</v>
      </c>
    </row>
    <row r="25" spans="1:9" x14ac:dyDescent="0.35">
      <c r="A25" s="6" t="s">
        <v>36</v>
      </c>
      <c r="B25" s="12">
        <v>7.95</v>
      </c>
      <c r="C25" s="12">
        <v>8.2200000000000006</v>
      </c>
      <c r="D25" s="12"/>
      <c r="E25" s="12"/>
      <c r="F25" s="22" t="str">
        <f t="shared" si="13"/>
        <v/>
      </c>
      <c r="G25" s="22" t="str">
        <f t="shared" si="13"/>
        <v/>
      </c>
      <c r="H25" s="12">
        <f t="shared" si="4"/>
        <v>0.27000000000000046</v>
      </c>
      <c r="I25" s="48">
        <f t="shared" si="5"/>
        <v>3.3962264150943389E-2</v>
      </c>
    </row>
    <row r="26" spans="1:9" x14ac:dyDescent="0.35">
      <c r="A26" s="4" t="s">
        <v>16</v>
      </c>
      <c r="B26" s="21">
        <f>SUM(B27:B30)</f>
        <v>4.22</v>
      </c>
      <c r="C26" s="21">
        <f t="shared" ref="C26:E26" si="14">SUM(C27:C30)</f>
        <v>6.5600000000000005</v>
      </c>
      <c r="D26" s="21">
        <f t="shared" si="14"/>
        <v>4</v>
      </c>
      <c r="E26" s="21">
        <f t="shared" si="14"/>
        <v>4</v>
      </c>
      <c r="F26" s="295">
        <f t="shared" ref="F26" si="15">IFERROR(B26/D26,"")</f>
        <v>1.0549999999999999</v>
      </c>
      <c r="G26" s="295">
        <f t="shared" ref="G26" si="16">IFERROR(C26/E26,"")</f>
        <v>1.6400000000000001</v>
      </c>
      <c r="H26" s="21">
        <f t="shared" si="4"/>
        <v>2.3400000000000007</v>
      </c>
      <c r="I26" s="35">
        <f t="shared" si="5"/>
        <v>0.55450236966824673</v>
      </c>
    </row>
    <row r="27" spans="1:9" x14ac:dyDescent="0.35">
      <c r="A27" s="6" t="s">
        <v>47</v>
      </c>
      <c r="B27" s="12">
        <v>2.37</v>
      </c>
      <c r="C27" s="12">
        <v>2.25</v>
      </c>
      <c r="D27" s="12">
        <v>3</v>
      </c>
      <c r="E27" s="12">
        <v>3</v>
      </c>
      <c r="F27" s="22">
        <f>IFERROR(B27/D27,"")</f>
        <v>0.79</v>
      </c>
      <c r="G27" s="22">
        <f>IFERROR(C27/E27,"")</f>
        <v>0.75</v>
      </c>
      <c r="H27" s="12">
        <f t="shared" si="4"/>
        <v>-0.12000000000000011</v>
      </c>
      <c r="I27" s="48">
        <f t="shared" si="5"/>
        <v>-5.0632911392405111E-2</v>
      </c>
    </row>
    <row r="28" spans="1:9" x14ac:dyDescent="0.35">
      <c r="A28" s="6" t="s">
        <v>48</v>
      </c>
      <c r="B28" s="12">
        <v>1.05</v>
      </c>
      <c r="C28" s="12">
        <v>3.32</v>
      </c>
      <c r="D28" s="12">
        <v>1</v>
      </c>
      <c r="E28" s="12">
        <v>1</v>
      </c>
      <c r="F28" s="22">
        <f t="shared" ref="F28:F32" si="17">IFERROR(B28/D28,"")</f>
        <v>1.05</v>
      </c>
      <c r="G28" s="22">
        <f t="shared" ref="G28:G32" si="18">IFERROR(C28/E28,"")</f>
        <v>3.32</v>
      </c>
      <c r="H28" s="12">
        <f t="shared" si="4"/>
        <v>2.2699999999999996</v>
      </c>
      <c r="I28" s="48">
        <f t="shared" si="5"/>
        <v>2.1619047619047618</v>
      </c>
    </row>
    <row r="29" spans="1:9" x14ac:dyDescent="0.35">
      <c r="A29" s="6" t="s">
        <v>52</v>
      </c>
      <c r="B29" s="55"/>
      <c r="C29" s="55"/>
      <c r="D29" s="12"/>
      <c r="E29" s="12"/>
      <c r="F29" s="22" t="str">
        <f t="shared" si="17"/>
        <v/>
      </c>
      <c r="G29" s="22" t="str">
        <f t="shared" si="18"/>
        <v/>
      </c>
      <c r="H29" s="12">
        <f t="shared" si="4"/>
        <v>0</v>
      </c>
      <c r="I29" s="48" t="str">
        <f t="shared" si="5"/>
        <v/>
      </c>
    </row>
    <row r="30" spans="1:9" x14ac:dyDescent="0.35">
      <c r="A30" s="6" t="s">
        <v>53</v>
      </c>
      <c r="B30" s="55">
        <v>0.8</v>
      </c>
      <c r="C30" s="12">
        <v>0.99</v>
      </c>
      <c r="D30" s="12"/>
      <c r="E30" s="12"/>
      <c r="F30" s="22" t="str">
        <f t="shared" si="17"/>
        <v/>
      </c>
      <c r="G30" s="22" t="str">
        <f t="shared" si="18"/>
        <v/>
      </c>
      <c r="H30" s="12">
        <f t="shared" si="4"/>
        <v>0.18999999999999995</v>
      </c>
      <c r="I30" s="48">
        <f t="shared" si="5"/>
        <v>0.23749999999999982</v>
      </c>
    </row>
    <row r="31" spans="1:9" x14ac:dyDescent="0.35">
      <c r="A31" s="6" t="s">
        <v>54</v>
      </c>
      <c r="B31" s="55"/>
      <c r="C31" s="55">
        <v>0.16</v>
      </c>
      <c r="D31" s="55"/>
      <c r="E31" s="12"/>
      <c r="F31" s="22" t="str">
        <f t="shared" si="17"/>
        <v/>
      </c>
      <c r="G31" s="22" t="str">
        <f t="shared" si="18"/>
        <v/>
      </c>
      <c r="H31" s="12">
        <f t="shared" si="4"/>
        <v>0.16</v>
      </c>
      <c r="I31" s="48" t="str">
        <f t="shared" si="5"/>
        <v/>
      </c>
    </row>
    <row r="32" spans="1:9" x14ac:dyDescent="0.35">
      <c r="A32" s="4" t="s">
        <v>15</v>
      </c>
      <c r="B32" s="21">
        <f>SUM(B33:B36)</f>
        <v>4.3</v>
      </c>
      <c r="C32" s="21">
        <f t="shared" ref="C32:E32" si="19">SUM(C33:C36)</f>
        <v>4.42</v>
      </c>
      <c r="D32" s="21"/>
      <c r="E32" s="21">
        <f t="shared" si="19"/>
        <v>3</v>
      </c>
      <c r="F32" s="295" t="str">
        <f t="shared" si="17"/>
        <v/>
      </c>
      <c r="G32" s="295">
        <f t="shared" si="18"/>
        <v>1.4733333333333334</v>
      </c>
      <c r="H32" s="21">
        <f t="shared" si="4"/>
        <v>0.12000000000000011</v>
      </c>
      <c r="I32" s="35">
        <f t="shared" si="5"/>
        <v>2.7906976744185963E-2</v>
      </c>
    </row>
    <row r="33" spans="1:9" x14ac:dyDescent="0.35">
      <c r="A33" s="6" t="s">
        <v>41</v>
      </c>
      <c r="B33" s="55">
        <v>1.26</v>
      </c>
      <c r="C33" s="55">
        <v>1.26</v>
      </c>
      <c r="D33" s="55"/>
      <c r="E33" s="12"/>
      <c r="F33" s="22" t="str">
        <f>IFERROR(B33/D33,"")</f>
        <v/>
      </c>
      <c r="G33" s="22" t="str">
        <f>IFERROR(C33/E33,"")</f>
        <v/>
      </c>
      <c r="H33" s="12">
        <f t="shared" si="4"/>
        <v>0</v>
      </c>
      <c r="I33" s="48">
        <f t="shared" si="5"/>
        <v>0</v>
      </c>
    </row>
    <row r="34" spans="1:9" x14ac:dyDescent="0.35">
      <c r="A34" s="6" t="s">
        <v>43</v>
      </c>
      <c r="B34" s="12">
        <v>2.0300000000000002</v>
      </c>
      <c r="C34" s="12">
        <v>2.0300000000000002</v>
      </c>
      <c r="D34" s="12"/>
      <c r="E34" s="12">
        <v>2</v>
      </c>
      <c r="F34" s="22" t="str">
        <f t="shared" ref="F34:F36" si="20">IFERROR(B34/D34,"")</f>
        <v/>
      </c>
      <c r="G34" s="22">
        <f t="shared" ref="G34:G36" si="21">IFERROR(C34/E34,"")</f>
        <v>1.0150000000000001</v>
      </c>
      <c r="H34" s="12">
        <f t="shared" si="4"/>
        <v>0</v>
      </c>
      <c r="I34" s="48">
        <f t="shared" si="5"/>
        <v>0</v>
      </c>
    </row>
    <row r="35" spans="1:9" x14ac:dyDescent="0.35">
      <c r="A35" s="6" t="s">
        <v>44</v>
      </c>
      <c r="B35" s="55">
        <v>0.47</v>
      </c>
      <c r="C35" s="55">
        <v>0.47</v>
      </c>
      <c r="D35" s="55"/>
      <c r="E35" s="12"/>
      <c r="F35" s="22" t="str">
        <f t="shared" si="20"/>
        <v/>
      </c>
      <c r="G35" s="22" t="str">
        <f t="shared" si="21"/>
        <v/>
      </c>
      <c r="H35" s="12">
        <f t="shared" si="4"/>
        <v>0</v>
      </c>
      <c r="I35" s="48">
        <f t="shared" si="5"/>
        <v>0</v>
      </c>
    </row>
    <row r="36" spans="1:9" x14ac:dyDescent="0.35">
      <c r="A36" s="6" t="s">
        <v>45</v>
      </c>
      <c r="B36" s="55">
        <v>0.54</v>
      </c>
      <c r="C36" s="55">
        <v>0.65999999999999992</v>
      </c>
      <c r="D36" s="55"/>
      <c r="E36" s="12">
        <v>1</v>
      </c>
      <c r="F36" s="22" t="str">
        <f t="shared" si="20"/>
        <v/>
      </c>
      <c r="G36" s="22">
        <f t="shared" si="21"/>
        <v>0.65999999999999992</v>
      </c>
      <c r="H36" s="12">
        <f t="shared" si="4"/>
        <v>0.11999999999999988</v>
      </c>
      <c r="I36" s="48">
        <f t="shared" si="5"/>
        <v>0.2222222222222221</v>
      </c>
    </row>
    <row r="37" spans="1:9" x14ac:dyDescent="0.35">
      <c r="A37" s="4" t="s">
        <v>70</v>
      </c>
      <c r="B37" s="56">
        <f>SUM(B38)</f>
        <v>0.52</v>
      </c>
      <c r="C37" s="56">
        <v>0.45</v>
      </c>
      <c r="D37" s="56"/>
      <c r="E37" s="21"/>
      <c r="F37" s="56"/>
      <c r="G37" s="56"/>
      <c r="H37" s="21">
        <f t="shared" si="4"/>
        <v>-7.0000000000000007E-2</v>
      </c>
      <c r="I37" s="35">
        <f t="shared" si="5"/>
        <v>-0.13461538461538458</v>
      </c>
    </row>
    <row r="38" spans="1:9" x14ac:dyDescent="0.35">
      <c r="A38" s="6" t="s">
        <v>70</v>
      </c>
      <c r="B38" s="55">
        <v>0.52</v>
      </c>
      <c r="C38" s="55">
        <v>0.45</v>
      </c>
      <c r="D38" s="55"/>
      <c r="E38" s="12"/>
      <c r="F38" s="22" t="str">
        <f>IFERROR(B38/D38,"")</f>
        <v/>
      </c>
      <c r="G38" s="22" t="str">
        <f>IFERROR(C38/E38,"")</f>
        <v/>
      </c>
      <c r="H38" s="12">
        <f t="shared" si="4"/>
        <v>-7.0000000000000007E-2</v>
      </c>
      <c r="I38" s="48">
        <f t="shared" si="5"/>
        <v>-0.13461538461538458</v>
      </c>
    </row>
    <row r="39" spans="1:9" x14ac:dyDescent="0.35">
      <c r="A39" s="4" t="s">
        <v>14</v>
      </c>
      <c r="B39" s="21">
        <f>SUM(B40:B43)</f>
        <v>2837.7999999999997</v>
      </c>
      <c r="C39" s="21">
        <f t="shared" ref="C39:E39" si="22">SUM(C40:C43)</f>
        <v>2671.2499999999955</v>
      </c>
      <c r="D39" s="21">
        <f t="shared" si="22"/>
        <v>3649</v>
      </c>
      <c r="E39" s="21">
        <f t="shared" si="22"/>
        <v>3616</v>
      </c>
      <c r="F39" s="295">
        <f t="shared" ref="F39" si="23">IFERROR(B39/D39,"")</f>
        <v>0.77769251849821863</v>
      </c>
      <c r="G39" s="295">
        <f t="shared" ref="G39" si="24">IFERROR(C39/E39,"")</f>
        <v>0.73873064159291912</v>
      </c>
      <c r="H39" s="21">
        <f t="shared" si="4"/>
        <v>-166.55000000000427</v>
      </c>
      <c r="I39" s="35">
        <f t="shared" si="5"/>
        <v>-5.868983015011775E-2</v>
      </c>
    </row>
    <row r="40" spans="1:9" x14ac:dyDescent="0.35">
      <c r="A40" s="6" t="s">
        <v>37</v>
      </c>
      <c r="B40" s="12">
        <v>42.860000000000007</v>
      </c>
      <c r="C40" s="12">
        <v>38.629999999999995</v>
      </c>
      <c r="D40" s="12">
        <v>44</v>
      </c>
      <c r="E40" s="12">
        <v>40</v>
      </c>
      <c r="F40" s="22">
        <f>IFERROR(B40/D40,"")</f>
        <v>0.97409090909090923</v>
      </c>
      <c r="G40" s="22">
        <f>IFERROR(C40/E40,"")</f>
        <v>0.96574999999999989</v>
      </c>
      <c r="H40" s="12">
        <f t="shared" si="4"/>
        <v>-4.2300000000000111</v>
      </c>
      <c r="I40" s="48">
        <f t="shared" si="5"/>
        <v>-9.8693420438637713E-2</v>
      </c>
    </row>
    <row r="41" spans="1:9" x14ac:dyDescent="0.35">
      <c r="A41" s="6" t="s">
        <v>38</v>
      </c>
      <c r="B41" s="12">
        <v>387.49</v>
      </c>
      <c r="C41" s="12">
        <v>372.43000000000006</v>
      </c>
      <c r="D41" s="12">
        <v>493</v>
      </c>
      <c r="E41" s="12">
        <v>484</v>
      </c>
      <c r="F41" s="22">
        <f t="shared" ref="F41:F43" si="25">IFERROR(B41/D41,"")</f>
        <v>0.78598377281947263</v>
      </c>
      <c r="G41" s="22">
        <f t="shared" ref="G41:G43" si="26">IFERROR(C41/E41,"")</f>
        <v>0.76948347107438031</v>
      </c>
      <c r="H41" s="12">
        <f t="shared" si="4"/>
        <v>-15.059999999999945</v>
      </c>
      <c r="I41" s="48">
        <f t="shared" si="5"/>
        <v>-3.8865519110170443E-2</v>
      </c>
    </row>
    <row r="42" spans="1:9" x14ac:dyDescent="0.35">
      <c r="A42" s="6" t="s">
        <v>39</v>
      </c>
      <c r="B42" s="12">
        <v>3.7299999999999995</v>
      </c>
      <c r="C42" s="12">
        <v>4.12</v>
      </c>
      <c r="D42" s="12">
        <v>3</v>
      </c>
      <c r="E42" s="12">
        <v>3</v>
      </c>
      <c r="F42" s="22">
        <f t="shared" si="25"/>
        <v>1.2433333333333332</v>
      </c>
      <c r="G42" s="22">
        <f t="shared" si="26"/>
        <v>1.3733333333333333</v>
      </c>
      <c r="H42" s="12">
        <f t="shared" si="4"/>
        <v>0.39000000000000057</v>
      </c>
      <c r="I42" s="48">
        <f t="shared" si="5"/>
        <v>0.10455764075067031</v>
      </c>
    </row>
    <row r="43" spans="1:9" x14ac:dyDescent="0.35">
      <c r="A43" s="6" t="s">
        <v>40</v>
      </c>
      <c r="B43" s="12">
        <v>2403.7199999999998</v>
      </c>
      <c r="C43" s="12">
        <v>2256.0699999999952</v>
      </c>
      <c r="D43" s="12">
        <v>3109</v>
      </c>
      <c r="E43" s="12">
        <v>3089</v>
      </c>
      <c r="F43" s="22">
        <f t="shared" si="25"/>
        <v>0.77314892248311351</v>
      </c>
      <c r="G43" s="22">
        <f t="shared" si="26"/>
        <v>0.73035610229847692</v>
      </c>
      <c r="H43" s="12">
        <f t="shared" si="4"/>
        <v>-147.65000000000464</v>
      </c>
      <c r="I43" s="48">
        <f t="shared" si="5"/>
        <v>-6.1425623616729319E-2</v>
      </c>
    </row>
    <row r="44" spans="1:9" x14ac:dyDescent="0.35">
      <c r="A44" s="4" t="s">
        <v>17</v>
      </c>
      <c r="B44" s="56">
        <f>SUM(B45:B46)</f>
        <v>0.41</v>
      </c>
      <c r="C44" s="56">
        <f>SUM(C45:C46)</f>
        <v>0.27</v>
      </c>
      <c r="D44" s="56"/>
      <c r="E44" s="21"/>
      <c r="F44" s="56"/>
      <c r="G44" s="56"/>
      <c r="H44" s="21">
        <f t="shared" si="4"/>
        <v>-0.13999999999999996</v>
      </c>
      <c r="I44" s="35">
        <f t="shared" si="5"/>
        <v>-0.34146341463414631</v>
      </c>
    </row>
    <row r="45" spans="1:9" x14ac:dyDescent="0.35">
      <c r="A45" s="6" t="s">
        <v>55</v>
      </c>
      <c r="B45" s="54">
        <v>0.04</v>
      </c>
      <c r="C45" s="54">
        <v>0.04</v>
      </c>
      <c r="D45" s="54"/>
      <c r="E45" s="12"/>
      <c r="F45" s="22" t="str">
        <f>IFERROR(B45/D45,"")</f>
        <v/>
      </c>
      <c r="G45" s="22" t="str">
        <f>IFERROR(C45/E45,"")</f>
        <v/>
      </c>
      <c r="H45" s="12">
        <f t="shared" si="4"/>
        <v>0</v>
      </c>
      <c r="I45" s="48">
        <f t="shared" si="5"/>
        <v>0</v>
      </c>
    </row>
    <row r="46" spans="1:9" x14ac:dyDescent="0.35">
      <c r="A46" s="6" t="s">
        <v>56</v>
      </c>
      <c r="B46" s="55">
        <v>0.37</v>
      </c>
      <c r="C46" s="55">
        <v>0.23</v>
      </c>
      <c r="D46" s="55"/>
      <c r="E46" s="12"/>
      <c r="F46" s="22" t="str">
        <f>IFERROR(B46/D46,"")</f>
        <v/>
      </c>
      <c r="G46" s="22" t="str">
        <f>IFERROR(C46/E46,"")</f>
        <v/>
      </c>
      <c r="H46" s="12">
        <f t="shared" si="4"/>
        <v>-0.13999999999999999</v>
      </c>
      <c r="I46" s="48">
        <f t="shared" si="5"/>
        <v>-0.3783783783783784</v>
      </c>
    </row>
    <row r="47" spans="1:9" x14ac:dyDescent="0.35">
      <c r="A47" s="4" t="s">
        <v>64</v>
      </c>
      <c r="B47" s="56">
        <f>SUM(B48:B51)</f>
        <v>1.71</v>
      </c>
      <c r="C47" s="56">
        <f>SUM(C48:C51)</f>
        <v>1.9300000000000002</v>
      </c>
      <c r="D47" s="56"/>
      <c r="E47" s="21"/>
      <c r="F47" s="56"/>
      <c r="G47" s="56"/>
      <c r="H47" s="21">
        <f t="shared" si="4"/>
        <v>0.2200000000000002</v>
      </c>
      <c r="I47" s="35">
        <f t="shared" si="5"/>
        <v>0.12865497076023402</v>
      </c>
    </row>
    <row r="48" spans="1:9" x14ac:dyDescent="0.35">
      <c r="A48" s="6" t="s">
        <v>71</v>
      </c>
      <c r="B48" s="55">
        <v>0.18</v>
      </c>
      <c r="C48" s="55">
        <v>0.18</v>
      </c>
      <c r="D48" s="55"/>
      <c r="E48" s="12"/>
      <c r="F48" s="22" t="str">
        <f>IFERROR(B48/D48,"")</f>
        <v/>
      </c>
      <c r="G48" s="22" t="str">
        <f>IFERROR(C48/E48,"")</f>
        <v/>
      </c>
      <c r="H48" s="12">
        <f t="shared" si="4"/>
        <v>0</v>
      </c>
      <c r="I48" s="48">
        <f t="shared" si="5"/>
        <v>0</v>
      </c>
    </row>
    <row r="49" spans="1:9" x14ac:dyDescent="0.35">
      <c r="A49" s="6" t="s">
        <v>65</v>
      </c>
      <c r="B49" s="55">
        <v>0.43</v>
      </c>
      <c r="C49" s="55">
        <v>0.61</v>
      </c>
      <c r="D49" s="55"/>
      <c r="E49" s="12"/>
      <c r="F49" s="22" t="str">
        <f>IFERROR(B49/D49,"")</f>
        <v/>
      </c>
      <c r="G49" s="22" t="str">
        <f>IFERROR(C49/E49,"")</f>
        <v/>
      </c>
      <c r="H49" s="12">
        <f t="shared" si="4"/>
        <v>0.18</v>
      </c>
      <c r="I49" s="48">
        <f t="shared" si="5"/>
        <v>0.41860465116279078</v>
      </c>
    </row>
    <row r="50" spans="1:9" x14ac:dyDescent="0.35">
      <c r="A50" s="6" t="s">
        <v>66</v>
      </c>
      <c r="B50" s="55">
        <v>0.31</v>
      </c>
      <c r="C50" s="55">
        <v>0.37</v>
      </c>
      <c r="D50" s="55"/>
      <c r="E50" s="12"/>
      <c r="F50" s="55"/>
      <c r="G50" s="55"/>
      <c r="H50" s="12">
        <f t="shared" si="4"/>
        <v>0.06</v>
      </c>
      <c r="I50" s="48">
        <f t="shared" si="5"/>
        <v>0.19354838709677424</v>
      </c>
    </row>
    <row r="51" spans="1:9" x14ac:dyDescent="0.35">
      <c r="A51" s="6" t="s">
        <v>72</v>
      </c>
      <c r="B51" s="55">
        <v>0.79</v>
      </c>
      <c r="C51" s="55">
        <v>0.77</v>
      </c>
      <c r="D51" s="55"/>
      <c r="E51" s="12"/>
      <c r="F51" s="22" t="str">
        <f>IFERROR(B51/D51,"")</f>
        <v/>
      </c>
      <c r="G51" s="22" t="str">
        <f>IFERROR(C51/E51,"")</f>
        <v/>
      </c>
      <c r="H51" s="12">
        <f t="shared" si="4"/>
        <v>-2.0000000000000018E-2</v>
      </c>
      <c r="I51" s="48">
        <f t="shared" si="5"/>
        <v>-2.5316455696202556E-2</v>
      </c>
    </row>
    <row r="52" spans="1:9" x14ac:dyDescent="0.35">
      <c r="A52" s="4" t="s">
        <v>20</v>
      </c>
      <c r="B52" s="56">
        <f>SUM(B53)</f>
        <v>1.1299999999999999</v>
      </c>
      <c r="C52" s="56">
        <v>0.88000000000000012</v>
      </c>
      <c r="D52" s="21">
        <v>2</v>
      </c>
      <c r="E52" s="21">
        <v>1</v>
      </c>
      <c r="F52" s="295">
        <f t="shared" ref="F52" si="27">IFERROR(B52/D52,"")</f>
        <v>0.56499999999999995</v>
      </c>
      <c r="G52" s="295">
        <f t="shared" ref="G52" si="28">IFERROR(C52/E52,"")</f>
        <v>0.88000000000000012</v>
      </c>
      <c r="H52" s="21">
        <f t="shared" si="4"/>
        <v>-0.24999999999999978</v>
      </c>
      <c r="I52" s="35">
        <f t="shared" si="5"/>
        <v>-0.22123893805309713</v>
      </c>
    </row>
    <row r="53" spans="1:9" x14ac:dyDescent="0.35">
      <c r="A53" s="6" t="s">
        <v>20</v>
      </c>
      <c r="B53" s="55">
        <v>1.1299999999999999</v>
      </c>
      <c r="C53" s="55">
        <v>0.88000000000000012</v>
      </c>
      <c r="D53" s="12">
        <v>2</v>
      </c>
      <c r="E53" s="12">
        <v>1</v>
      </c>
      <c r="F53" s="22">
        <f>IFERROR(B53/D53,"")</f>
        <v>0.56499999999999995</v>
      </c>
      <c r="G53" s="22">
        <f>IFERROR(C53/E53,"")</f>
        <v>0.88000000000000012</v>
      </c>
      <c r="H53" s="12">
        <f t="shared" si="4"/>
        <v>-0.24999999999999978</v>
      </c>
      <c r="I53" s="48">
        <f t="shared" si="5"/>
        <v>-0.22123893805309713</v>
      </c>
    </row>
    <row r="54" spans="1:9" x14ac:dyDescent="0.35">
      <c r="A54" s="4" t="s">
        <v>23</v>
      </c>
      <c r="B54" s="56">
        <f>SUM(B55)</f>
        <v>2.17</v>
      </c>
      <c r="C54" s="56">
        <v>6.7700000000000005</v>
      </c>
      <c r="D54" s="21">
        <v>6</v>
      </c>
      <c r="E54" s="21"/>
      <c r="F54" s="295">
        <f t="shared" ref="F54" si="29">IFERROR(B54/D54,"")</f>
        <v>0.36166666666666664</v>
      </c>
      <c r="G54" s="295" t="str">
        <f t="shared" ref="G54" si="30">IFERROR(C54/E54,"")</f>
        <v/>
      </c>
      <c r="H54" s="21">
        <f t="shared" si="4"/>
        <v>4.6000000000000005</v>
      </c>
      <c r="I54" s="35">
        <f t="shared" si="5"/>
        <v>2.1198156682027651</v>
      </c>
    </row>
    <row r="55" spans="1:9" x14ac:dyDescent="0.35">
      <c r="A55" s="6" t="s">
        <v>23</v>
      </c>
      <c r="B55" s="55">
        <v>2.17</v>
      </c>
      <c r="C55" s="55">
        <v>6.7700000000000005</v>
      </c>
      <c r="D55" s="12">
        <v>6</v>
      </c>
      <c r="E55" s="12">
        <v>6</v>
      </c>
      <c r="F55" s="22">
        <f>IFERROR(B55/D55,"")</f>
        <v>0.36166666666666664</v>
      </c>
      <c r="G55" s="22">
        <f>IFERROR(C55/E55,"")</f>
        <v>1.1283333333333334</v>
      </c>
      <c r="H55" s="12">
        <f t="shared" si="4"/>
        <v>4.6000000000000005</v>
      </c>
      <c r="I55" s="48">
        <f t="shared" si="5"/>
        <v>2.1198156682027651</v>
      </c>
    </row>
    <row r="56" spans="1:9" x14ac:dyDescent="0.35">
      <c r="A56" s="4" t="s">
        <v>24</v>
      </c>
      <c r="B56" s="21">
        <f>SUM(B57:B59)</f>
        <v>3.9200000000000004</v>
      </c>
      <c r="C56" s="21">
        <f t="shared" ref="C56:E56" si="31">SUM(C57:C59)</f>
        <v>5.2000000000000011</v>
      </c>
      <c r="D56" s="21">
        <f t="shared" si="31"/>
        <v>134</v>
      </c>
      <c r="E56" s="21">
        <f t="shared" si="31"/>
        <v>134</v>
      </c>
      <c r="F56" s="295">
        <f t="shared" ref="F56" si="32">IFERROR(B56/D56,"")</f>
        <v>2.9253731343283584E-2</v>
      </c>
      <c r="G56" s="295">
        <f t="shared" ref="G56" si="33">IFERROR(C56/E56,"")</f>
        <v>3.8805970149253737E-2</v>
      </c>
      <c r="H56" s="21">
        <f t="shared" si="4"/>
        <v>1.2800000000000007</v>
      </c>
      <c r="I56" s="35">
        <f t="shared" si="5"/>
        <v>0.3265306122448981</v>
      </c>
    </row>
    <row r="57" spans="1:9" x14ac:dyDescent="0.35">
      <c r="A57" s="6" t="s">
        <v>59</v>
      </c>
      <c r="B57" s="55">
        <v>0.18</v>
      </c>
      <c r="C57" s="55">
        <v>0.49</v>
      </c>
      <c r="D57" s="12">
        <v>80</v>
      </c>
      <c r="E57" s="12">
        <v>80</v>
      </c>
      <c r="F57" s="22">
        <f>IFERROR(B57/D57,"")</f>
        <v>2.2499999999999998E-3</v>
      </c>
      <c r="G57" s="22">
        <f>IFERROR(C57/E57,"")</f>
        <v>6.1250000000000002E-3</v>
      </c>
      <c r="H57" s="12">
        <f t="shared" si="4"/>
        <v>0.31</v>
      </c>
      <c r="I57" s="48">
        <f t="shared" si="5"/>
        <v>1.7222222222222223</v>
      </c>
    </row>
    <row r="58" spans="1:9" x14ac:dyDescent="0.35">
      <c r="A58" s="6" t="s">
        <v>73</v>
      </c>
      <c r="B58" s="55">
        <v>3.56</v>
      </c>
      <c r="C58" s="55">
        <v>3.1900000000000004</v>
      </c>
      <c r="D58" s="12">
        <v>26</v>
      </c>
      <c r="E58" s="12">
        <v>26</v>
      </c>
      <c r="F58" s="22">
        <f t="shared" ref="F58:F59" si="34">IFERROR(B58/D58,"")</f>
        <v>0.13692307692307693</v>
      </c>
      <c r="G58" s="22">
        <f t="shared" ref="G58:G59" si="35">IFERROR(C58/E58,"")</f>
        <v>0.12269230769230771</v>
      </c>
      <c r="H58" s="12">
        <f t="shared" si="4"/>
        <v>-0.36999999999999966</v>
      </c>
      <c r="I58" s="48">
        <f t="shared" si="5"/>
        <v>-0.10393258426966279</v>
      </c>
    </row>
    <row r="59" spans="1:9" x14ac:dyDescent="0.35">
      <c r="A59" s="6" t="s">
        <v>74</v>
      </c>
      <c r="B59" s="55">
        <v>0.18</v>
      </c>
      <c r="C59" s="55">
        <v>1.52</v>
      </c>
      <c r="D59" s="12">
        <v>28</v>
      </c>
      <c r="E59" s="12">
        <v>28</v>
      </c>
      <c r="F59" s="22">
        <f t="shared" si="34"/>
        <v>6.4285714285714285E-3</v>
      </c>
      <c r="G59" s="22">
        <f t="shared" si="35"/>
        <v>5.4285714285714284E-2</v>
      </c>
      <c r="H59" s="12">
        <f t="shared" si="4"/>
        <v>1.34</v>
      </c>
      <c r="I59" s="48">
        <f t="shared" si="5"/>
        <v>7.4444444444444446</v>
      </c>
    </row>
    <row r="60" spans="1:9" x14ac:dyDescent="0.35">
      <c r="A60" s="40" t="s">
        <v>25</v>
      </c>
      <c r="B60" s="62">
        <f>SUM(B13+B16+B20+B22+B26+B32+B37+B39+B44+B47+B52+B54+B56)</f>
        <v>3310.98</v>
      </c>
      <c r="C60" s="62">
        <f>SUM(C13,C16,C20,C22,C26,C32,C37,C39,C44,C47,C52,C54,C56)</f>
        <v>3168.979999999995</v>
      </c>
      <c r="D60" s="62">
        <f>SUM(D13,D16,D20,D22,D26,D32,D37,D39,D44,D47,D52,D54,D56)</f>
        <v>4767</v>
      </c>
      <c r="E60" s="62">
        <f>SUM(E13,E16,E20,E22,E26,E32,E37,E39,E44,E47,E52,E54,E56)</f>
        <v>4698</v>
      </c>
      <c r="F60" s="302">
        <f t="shared" ref="F60" si="36">IFERROR(B60/D60,"")</f>
        <v>0.69456261799874131</v>
      </c>
      <c r="G60" s="302">
        <f t="shared" ref="G60" si="37">IFERROR(C60/E60,"")</f>
        <v>0.67453810131970948</v>
      </c>
      <c r="H60" s="63">
        <f t="shared" si="4"/>
        <v>-142.000000000005</v>
      </c>
      <c r="I60" s="64">
        <f t="shared" si="5"/>
        <v>-4.2887604274264746E-2</v>
      </c>
    </row>
    <row r="62" spans="1:9" x14ac:dyDescent="0.35">
      <c r="E62" s="141"/>
    </row>
    <row r="63" spans="1:9" x14ac:dyDescent="0.35">
      <c r="E63" s="190"/>
    </row>
    <row r="64" spans="1:9" ht="15" customHeight="1" x14ac:dyDescent="0.35">
      <c r="A64" s="284" t="s">
        <v>75</v>
      </c>
    </row>
    <row r="65" spans="1:19" ht="15" customHeight="1" x14ac:dyDescent="0.35">
      <c r="A65" s="276" t="s">
        <v>212</v>
      </c>
      <c r="C65" s="221"/>
      <c r="D65" s="221"/>
      <c r="E65" s="221"/>
      <c r="F65" s="221"/>
      <c r="G65" s="221"/>
      <c r="H65" s="8"/>
    </row>
    <row r="66" spans="1:19" x14ac:dyDescent="0.35">
      <c r="K66" s="347" t="s">
        <v>225</v>
      </c>
      <c r="L66" s="351"/>
      <c r="M66" s="342"/>
      <c r="N66" s="342"/>
      <c r="O66" s="342"/>
      <c r="P66" s="347" t="s">
        <v>227</v>
      </c>
      <c r="Q66" s="351"/>
      <c r="R66" s="342"/>
      <c r="S66" s="342"/>
    </row>
    <row r="67" spans="1:19" ht="43" customHeight="1" x14ac:dyDescent="0.35">
      <c r="A67" s="675" t="s">
        <v>0</v>
      </c>
      <c r="B67" s="684" t="s">
        <v>1</v>
      </c>
      <c r="C67" s="685"/>
      <c r="D67" s="674" t="s">
        <v>217</v>
      </c>
      <c r="E67" s="674"/>
      <c r="F67" s="682" t="s">
        <v>218</v>
      </c>
      <c r="G67" s="682"/>
      <c r="H67" s="684" t="s">
        <v>2</v>
      </c>
      <c r="I67" s="685"/>
      <c r="L67" s="331" t="s">
        <v>228</v>
      </c>
      <c r="M67" s="331" t="s">
        <v>229</v>
      </c>
      <c r="N67" s="327" t="s">
        <v>246</v>
      </c>
      <c r="O67" s="342"/>
      <c r="Q67" s="331" t="s">
        <v>226</v>
      </c>
      <c r="R67" s="331" t="s">
        <v>228</v>
      </c>
      <c r="S67" s="327" t="s">
        <v>247</v>
      </c>
    </row>
    <row r="68" spans="1:19" x14ac:dyDescent="0.35">
      <c r="A68" s="676"/>
      <c r="B68" s="224">
        <v>2020</v>
      </c>
      <c r="C68" s="224">
        <v>2021</v>
      </c>
      <c r="D68" s="224">
        <v>2020</v>
      </c>
      <c r="E68" s="224">
        <v>2021</v>
      </c>
      <c r="F68" s="224">
        <v>2020</v>
      </c>
      <c r="G68" s="224">
        <v>2021</v>
      </c>
      <c r="H68" s="224" t="s">
        <v>3</v>
      </c>
      <c r="I68" s="224" t="s">
        <v>4</v>
      </c>
      <c r="K68" s="350" t="s">
        <v>14</v>
      </c>
      <c r="L68" s="323">
        <f>C87</f>
        <v>6685.1699999999955</v>
      </c>
      <c r="M68" s="320">
        <f>E87</f>
        <v>8323</v>
      </c>
      <c r="N68" s="344">
        <f>L68/M68</f>
        <v>0.80321638832151809</v>
      </c>
      <c r="O68" s="342"/>
      <c r="P68" s="350" t="s">
        <v>14</v>
      </c>
      <c r="Q68" s="323">
        <f>B87</f>
        <v>6869.3400000000047</v>
      </c>
      <c r="R68" s="320">
        <v>6685.1699999999955</v>
      </c>
      <c r="S68" s="353">
        <f>R68/Q68-1</f>
        <v>-2.6810435937078214E-2</v>
      </c>
    </row>
    <row r="69" spans="1:19" x14ac:dyDescent="0.35">
      <c r="A69" s="11" t="s">
        <v>5</v>
      </c>
      <c r="B69" s="14">
        <v>0.43</v>
      </c>
      <c r="C69" s="14">
        <f>SUM(C70:C71)</f>
        <v>0.43</v>
      </c>
      <c r="D69" s="14"/>
      <c r="E69" s="294">
        <v>1</v>
      </c>
      <c r="F69" s="23" t="str">
        <f>IFERROR(B69/D69,"")</f>
        <v/>
      </c>
      <c r="G69" s="23">
        <f>IFERROR(C69/E69,"")</f>
        <v>0.43</v>
      </c>
      <c r="H69" s="45">
        <f>IFERROR(C69-B69,"")</f>
        <v>0</v>
      </c>
      <c r="I69" s="23">
        <f>IFERROR((C69/B69)-1,"")</f>
        <v>0</v>
      </c>
    </row>
    <row r="70" spans="1:19" x14ac:dyDescent="0.35">
      <c r="A70" s="6" t="s">
        <v>8</v>
      </c>
      <c r="B70" s="13">
        <v>0.43</v>
      </c>
      <c r="C70" s="13">
        <v>0.43</v>
      </c>
      <c r="D70" s="13"/>
      <c r="E70" s="13">
        <v>1</v>
      </c>
      <c r="F70" s="22" t="str">
        <f>IFERROR(B70/D70,"")</f>
        <v/>
      </c>
      <c r="G70" s="22">
        <f>IFERROR(C70/E70,"")</f>
        <v>0.43</v>
      </c>
      <c r="H70" s="12">
        <f t="shared" ref="H70:H96" si="38">IFERROR(C70-B70,"")</f>
        <v>0</v>
      </c>
      <c r="I70" s="24">
        <f t="shared" ref="I70:I100" si="39">IFERROR((C70/B70)-1,"")</f>
        <v>0</v>
      </c>
    </row>
    <row r="71" spans="1:19" x14ac:dyDescent="0.35">
      <c r="A71" s="6" t="s">
        <v>29</v>
      </c>
      <c r="B71" s="13"/>
      <c r="C71" s="13">
        <v>0</v>
      </c>
      <c r="D71" s="13"/>
      <c r="E71" s="13"/>
      <c r="F71" s="22" t="str">
        <f t="shared" ref="F71:F99" si="40">IFERROR(B71/D71,"")</f>
        <v/>
      </c>
      <c r="G71" s="22" t="str">
        <f t="shared" ref="G71:G99" si="41">IFERROR(C71/E71,"")</f>
        <v/>
      </c>
      <c r="H71" s="12">
        <f t="shared" si="38"/>
        <v>0</v>
      </c>
      <c r="I71" s="24" t="str">
        <f t="shared" si="39"/>
        <v/>
      </c>
    </row>
    <row r="72" spans="1:19" x14ac:dyDescent="0.35">
      <c r="A72" s="11" t="s">
        <v>12</v>
      </c>
      <c r="B72" s="14">
        <v>7.5299999999999994</v>
      </c>
      <c r="C72" s="14">
        <f>SUM(C73:C75)</f>
        <v>9.4199999999999982</v>
      </c>
      <c r="D72" s="14">
        <v>7</v>
      </c>
      <c r="E72" s="14">
        <v>9</v>
      </c>
      <c r="F72" s="23">
        <f t="shared" si="40"/>
        <v>1.0757142857142856</v>
      </c>
      <c r="G72" s="23">
        <f t="shared" si="41"/>
        <v>1.0466666666666664</v>
      </c>
      <c r="H72" s="45">
        <f t="shared" si="38"/>
        <v>1.8899999999999988</v>
      </c>
      <c r="I72" s="23">
        <f t="shared" si="39"/>
        <v>0.25099601593625476</v>
      </c>
    </row>
    <row r="73" spans="1:19" x14ac:dyDescent="0.35">
      <c r="A73" s="6" t="s">
        <v>31</v>
      </c>
      <c r="B73" s="13">
        <v>0.5</v>
      </c>
      <c r="C73" s="13">
        <v>1.81</v>
      </c>
      <c r="D73" s="13"/>
      <c r="E73" s="13">
        <v>1</v>
      </c>
      <c r="F73" s="22" t="str">
        <f t="shared" si="40"/>
        <v/>
      </c>
      <c r="G73" s="22">
        <f t="shared" si="41"/>
        <v>1.81</v>
      </c>
      <c r="H73" s="12">
        <f t="shared" si="38"/>
        <v>1.31</v>
      </c>
      <c r="I73" s="24">
        <f t="shared" si="39"/>
        <v>2.62</v>
      </c>
    </row>
    <row r="74" spans="1:19" x14ac:dyDescent="0.35">
      <c r="A74" s="6" t="s">
        <v>32</v>
      </c>
      <c r="B74" s="13">
        <v>6.6499999999999995</v>
      </c>
      <c r="C74" s="13">
        <v>6.6499999999999995</v>
      </c>
      <c r="D74" s="13">
        <v>7</v>
      </c>
      <c r="E74" s="13">
        <v>7</v>
      </c>
      <c r="F74" s="22">
        <f t="shared" si="40"/>
        <v>0.95</v>
      </c>
      <c r="G74" s="22">
        <f t="shared" si="41"/>
        <v>0.95</v>
      </c>
      <c r="H74" s="12">
        <f t="shared" si="38"/>
        <v>0</v>
      </c>
      <c r="I74" s="24">
        <f t="shared" si="39"/>
        <v>0</v>
      </c>
    </row>
    <row r="75" spans="1:19" x14ac:dyDescent="0.35">
      <c r="A75" s="6" t="s">
        <v>33</v>
      </c>
      <c r="B75" s="57">
        <v>0.38</v>
      </c>
      <c r="C75" s="13">
        <v>0.96</v>
      </c>
      <c r="D75" s="13"/>
      <c r="E75" s="13">
        <v>1</v>
      </c>
      <c r="F75" s="22" t="str">
        <f t="shared" si="40"/>
        <v/>
      </c>
      <c r="G75" s="22">
        <f t="shared" si="41"/>
        <v>0.96</v>
      </c>
      <c r="H75" s="12">
        <f t="shared" si="38"/>
        <v>0.57999999999999996</v>
      </c>
      <c r="I75" s="24">
        <f t="shared" si="39"/>
        <v>1.5263157894736841</v>
      </c>
    </row>
    <row r="76" spans="1:19" x14ac:dyDescent="0.35">
      <c r="A76" s="11" t="s">
        <v>13</v>
      </c>
      <c r="B76" s="14">
        <v>10.92</v>
      </c>
      <c r="C76" s="14">
        <f>SUM(C77:C79)</f>
        <v>10.91</v>
      </c>
      <c r="D76" s="14"/>
      <c r="E76" s="14">
        <v>28</v>
      </c>
      <c r="F76" s="23" t="str">
        <f t="shared" si="40"/>
        <v/>
      </c>
      <c r="G76" s="23">
        <f t="shared" si="41"/>
        <v>0.38964285714285712</v>
      </c>
      <c r="H76" s="28">
        <f t="shared" si="38"/>
        <v>-9.9999999999997868E-3</v>
      </c>
      <c r="I76" s="23">
        <f t="shared" si="39"/>
        <v>-9.157509157509125E-4</v>
      </c>
    </row>
    <row r="77" spans="1:19" x14ac:dyDescent="0.35">
      <c r="A77" s="7" t="s">
        <v>34</v>
      </c>
      <c r="B77" s="13"/>
      <c r="C77" s="13">
        <v>0</v>
      </c>
      <c r="D77" s="13"/>
      <c r="E77" s="13"/>
      <c r="F77" s="22" t="str">
        <f t="shared" si="40"/>
        <v/>
      </c>
      <c r="G77" s="22" t="str">
        <f t="shared" si="41"/>
        <v/>
      </c>
      <c r="H77" s="12">
        <f t="shared" si="38"/>
        <v>0</v>
      </c>
      <c r="I77" s="24" t="str">
        <f t="shared" si="39"/>
        <v/>
      </c>
    </row>
    <row r="78" spans="1:19" x14ac:dyDescent="0.35">
      <c r="A78" s="6" t="s">
        <v>61</v>
      </c>
      <c r="B78" s="13">
        <v>10.88</v>
      </c>
      <c r="C78" s="13">
        <v>10.870000000000001</v>
      </c>
      <c r="D78" s="13"/>
      <c r="E78" s="13">
        <v>20</v>
      </c>
      <c r="F78" s="22" t="str">
        <f t="shared" si="40"/>
        <v/>
      </c>
      <c r="G78" s="22">
        <f t="shared" si="41"/>
        <v>0.54350000000000009</v>
      </c>
      <c r="H78" s="12">
        <f t="shared" si="38"/>
        <v>-9.9999999999997868E-3</v>
      </c>
      <c r="I78" s="24">
        <f t="shared" si="39"/>
        <v>-9.1911764705876475E-4</v>
      </c>
    </row>
    <row r="79" spans="1:19" x14ac:dyDescent="0.35">
      <c r="A79" s="6" t="s">
        <v>36</v>
      </c>
      <c r="B79" s="59">
        <v>0.04</v>
      </c>
      <c r="C79" s="59">
        <v>0.04</v>
      </c>
      <c r="D79" s="13"/>
      <c r="E79" s="13">
        <v>8</v>
      </c>
      <c r="F79" s="22" t="str">
        <f t="shared" si="40"/>
        <v/>
      </c>
      <c r="G79" s="22">
        <f t="shared" si="41"/>
        <v>5.0000000000000001E-3</v>
      </c>
      <c r="H79" s="12">
        <f t="shared" si="38"/>
        <v>0</v>
      </c>
      <c r="I79" s="24">
        <f t="shared" si="39"/>
        <v>0</v>
      </c>
    </row>
    <row r="80" spans="1:19" x14ac:dyDescent="0.35">
      <c r="A80" s="11" t="s">
        <v>16</v>
      </c>
      <c r="B80" s="14">
        <v>3.51</v>
      </c>
      <c r="C80" s="14">
        <f>SUM(C81:C83)</f>
        <v>0.86</v>
      </c>
      <c r="D80" s="14">
        <v>5</v>
      </c>
      <c r="E80" s="14">
        <v>4</v>
      </c>
      <c r="F80" s="23">
        <f t="shared" si="40"/>
        <v>0.70199999999999996</v>
      </c>
      <c r="G80" s="23">
        <f t="shared" si="41"/>
        <v>0.215</v>
      </c>
      <c r="H80" s="28">
        <f t="shared" si="38"/>
        <v>-2.65</v>
      </c>
      <c r="I80" s="23">
        <f t="shared" si="39"/>
        <v>-0.75498575498575504</v>
      </c>
    </row>
    <row r="81" spans="1:9" x14ac:dyDescent="0.35">
      <c r="A81" s="6" t="s">
        <v>48</v>
      </c>
      <c r="B81" s="13">
        <v>2.56</v>
      </c>
      <c r="C81" s="13">
        <v>0</v>
      </c>
      <c r="D81" s="13">
        <v>3</v>
      </c>
      <c r="E81" s="13">
        <v>2</v>
      </c>
      <c r="F81" s="22">
        <f t="shared" si="40"/>
        <v>0.85333333333333339</v>
      </c>
      <c r="G81" s="22">
        <f t="shared" si="41"/>
        <v>0</v>
      </c>
      <c r="H81" s="12">
        <f t="shared" si="38"/>
        <v>-2.56</v>
      </c>
      <c r="I81" s="24">
        <f t="shared" si="39"/>
        <v>-1</v>
      </c>
    </row>
    <row r="82" spans="1:9" x14ac:dyDescent="0.35">
      <c r="A82" s="6" t="s">
        <v>53</v>
      </c>
      <c r="B82" s="13">
        <v>0.86</v>
      </c>
      <c r="C82" s="13">
        <v>0.77</v>
      </c>
      <c r="D82" s="13">
        <v>2</v>
      </c>
      <c r="E82" s="13">
        <v>2</v>
      </c>
      <c r="F82" s="22">
        <f t="shared" si="40"/>
        <v>0.43</v>
      </c>
      <c r="G82" s="22">
        <f t="shared" si="41"/>
        <v>0.38500000000000001</v>
      </c>
      <c r="H82" s="12">
        <f t="shared" si="38"/>
        <v>-8.9999999999999969E-2</v>
      </c>
      <c r="I82" s="24">
        <f t="shared" si="39"/>
        <v>-0.10465116279069764</v>
      </c>
    </row>
    <row r="83" spans="1:9" x14ac:dyDescent="0.35">
      <c r="A83" s="6" t="s">
        <v>54</v>
      </c>
      <c r="B83" s="59">
        <v>0.09</v>
      </c>
      <c r="C83" s="59">
        <v>0.09</v>
      </c>
      <c r="D83" s="13"/>
      <c r="E83" s="13"/>
      <c r="F83" s="22" t="str">
        <f t="shared" si="40"/>
        <v/>
      </c>
      <c r="G83" s="22" t="str">
        <f t="shared" si="41"/>
        <v/>
      </c>
      <c r="H83" s="12">
        <f t="shared" si="38"/>
        <v>0</v>
      </c>
      <c r="I83" s="24">
        <f t="shared" si="39"/>
        <v>0</v>
      </c>
    </row>
    <row r="84" spans="1:9" x14ac:dyDescent="0.35">
      <c r="A84" s="11" t="s">
        <v>15</v>
      </c>
      <c r="B84" s="14">
        <v>9.1100000000000012</v>
      </c>
      <c r="C84" s="14">
        <f>SUM(C85:C86)</f>
        <v>9.27</v>
      </c>
      <c r="D84" s="14">
        <v>10</v>
      </c>
      <c r="E84" s="14">
        <v>10</v>
      </c>
      <c r="F84" s="23">
        <f t="shared" si="40"/>
        <v>0.91100000000000014</v>
      </c>
      <c r="G84" s="23">
        <f t="shared" si="41"/>
        <v>0.92699999999999994</v>
      </c>
      <c r="H84" s="28">
        <f t="shared" si="38"/>
        <v>0.15999999999999837</v>
      </c>
      <c r="I84" s="23">
        <f t="shared" si="39"/>
        <v>1.756311745334771E-2</v>
      </c>
    </row>
    <row r="85" spans="1:9" x14ac:dyDescent="0.35">
      <c r="A85" s="6" t="s">
        <v>41</v>
      </c>
      <c r="B85" s="13">
        <v>8.7100000000000009</v>
      </c>
      <c r="C85" s="13">
        <v>8.74</v>
      </c>
      <c r="D85" s="13">
        <v>10</v>
      </c>
      <c r="E85" s="13">
        <v>10</v>
      </c>
      <c r="F85" s="22">
        <f t="shared" si="40"/>
        <v>0.87100000000000011</v>
      </c>
      <c r="G85" s="22">
        <f t="shared" si="41"/>
        <v>0.874</v>
      </c>
      <c r="H85" s="12">
        <f t="shared" si="38"/>
        <v>2.9999999999999361E-2</v>
      </c>
      <c r="I85" s="24">
        <f t="shared" si="39"/>
        <v>3.4443168771525201E-3</v>
      </c>
    </row>
    <row r="86" spans="1:9" x14ac:dyDescent="0.35">
      <c r="A86" s="6" t="s">
        <v>45</v>
      </c>
      <c r="B86" s="57">
        <v>0.4</v>
      </c>
      <c r="C86" s="57">
        <v>0.53</v>
      </c>
      <c r="D86" s="13"/>
      <c r="E86" s="13"/>
      <c r="F86" s="22" t="str">
        <f t="shared" si="40"/>
        <v/>
      </c>
      <c r="G86" s="22" t="str">
        <f t="shared" si="41"/>
        <v/>
      </c>
      <c r="H86" s="12">
        <f t="shared" si="38"/>
        <v>0.13</v>
      </c>
      <c r="I86" s="24">
        <f t="shared" si="39"/>
        <v>0.32499999999999996</v>
      </c>
    </row>
    <row r="87" spans="1:9" x14ac:dyDescent="0.35">
      <c r="A87" s="11" t="s">
        <v>14</v>
      </c>
      <c r="B87" s="14">
        <v>6869.3400000000047</v>
      </c>
      <c r="C87" s="14">
        <f>SUM(C88:C91)</f>
        <v>6685.1699999999955</v>
      </c>
      <c r="D87" s="14">
        <v>8236</v>
      </c>
      <c r="E87" s="14">
        <v>8323</v>
      </c>
      <c r="F87" s="23">
        <f t="shared" si="40"/>
        <v>0.83406265177270578</v>
      </c>
      <c r="G87" s="23">
        <f t="shared" si="41"/>
        <v>0.80321638832151809</v>
      </c>
      <c r="H87" s="28">
        <f t="shared" si="38"/>
        <v>-184.17000000000917</v>
      </c>
      <c r="I87" s="23">
        <f t="shared" si="39"/>
        <v>-2.6810435937078214E-2</v>
      </c>
    </row>
    <row r="88" spans="1:9" x14ac:dyDescent="0.35">
      <c r="A88" s="6" t="s">
        <v>37</v>
      </c>
      <c r="B88" s="13">
        <v>33.570000000000007</v>
      </c>
      <c r="C88" s="13">
        <v>34.26</v>
      </c>
      <c r="D88" s="13">
        <v>37</v>
      </c>
      <c r="E88" s="13">
        <v>36</v>
      </c>
      <c r="F88" s="22">
        <f t="shared" si="40"/>
        <v>0.90729729729729747</v>
      </c>
      <c r="G88" s="22">
        <f t="shared" si="41"/>
        <v>0.95166666666666666</v>
      </c>
      <c r="H88" s="12">
        <f t="shared" si="38"/>
        <v>0.68999999999999062</v>
      </c>
      <c r="I88" s="24">
        <f t="shared" si="39"/>
        <v>2.0554066130473281E-2</v>
      </c>
    </row>
    <row r="89" spans="1:9" x14ac:dyDescent="0.35">
      <c r="A89" s="6" t="s">
        <v>38</v>
      </c>
      <c r="B89" s="13">
        <v>386.93999999999994</v>
      </c>
      <c r="C89" s="13">
        <v>391.75999999999988</v>
      </c>
      <c r="D89" s="13">
        <v>471</v>
      </c>
      <c r="E89" s="13">
        <v>472</v>
      </c>
      <c r="F89" s="22">
        <f t="shared" si="40"/>
        <v>0.82152866242038203</v>
      </c>
      <c r="G89" s="22">
        <f t="shared" si="41"/>
        <v>0.82999999999999974</v>
      </c>
      <c r="H89" s="12">
        <f t="shared" si="38"/>
        <v>4.8199999999999363</v>
      </c>
      <c r="I89" s="24">
        <f t="shared" si="39"/>
        <v>1.2456711634878603E-2</v>
      </c>
    </row>
    <row r="90" spans="1:9" x14ac:dyDescent="0.35">
      <c r="A90" s="6" t="s">
        <v>39</v>
      </c>
      <c r="B90" s="13">
        <v>3.5</v>
      </c>
      <c r="C90" s="13">
        <v>2.91</v>
      </c>
      <c r="D90" s="13">
        <v>4</v>
      </c>
      <c r="E90" s="13">
        <v>5</v>
      </c>
      <c r="F90" s="22">
        <f t="shared" si="40"/>
        <v>0.875</v>
      </c>
      <c r="G90" s="22">
        <f t="shared" si="41"/>
        <v>0.58200000000000007</v>
      </c>
      <c r="H90" s="12">
        <f t="shared" si="38"/>
        <v>-0.58999999999999986</v>
      </c>
      <c r="I90" s="24">
        <f t="shared" si="39"/>
        <v>-0.16857142857142848</v>
      </c>
    </row>
    <row r="91" spans="1:9" x14ac:dyDescent="0.35">
      <c r="A91" s="6" t="s">
        <v>40</v>
      </c>
      <c r="B91" s="13">
        <v>6445.3300000000045</v>
      </c>
      <c r="C91" s="13">
        <v>6256.2399999999952</v>
      </c>
      <c r="D91" s="13">
        <v>7724</v>
      </c>
      <c r="E91" s="13">
        <v>7810</v>
      </c>
      <c r="F91" s="22">
        <f t="shared" si="40"/>
        <v>0.83445494562402955</v>
      </c>
      <c r="G91" s="22">
        <f t="shared" si="41"/>
        <v>0.80105505761843732</v>
      </c>
      <c r="H91" s="12">
        <f t="shared" si="38"/>
        <v>-189.09000000000924</v>
      </c>
      <c r="I91" s="24">
        <f t="shared" si="39"/>
        <v>-2.9337520344188572E-2</v>
      </c>
    </row>
    <row r="92" spans="1:9" x14ac:dyDescent="0.35">
      <c r="A92" s="11" t="s">
        <v>17</v>
      </c>
      <c r="B92" s="14">
        <v>10.98</v>
      </c>
      <c r="C92" s="14">
        <v>24.549999999999997</v>
      </c>
      <c r="D92" s="14">
        <v>11</v>
      </c>
      <c r="E92" s="14"/>
      <c r="F92" s="23">
        <f t="shared" si="40"/>
        <v>0.99818181818181817</v>
      </c>
      <c r="G92" s="23" t="str">
        <f t="shared" si="41"/>
        <v/>
      </c>
      <c r="H92" s="28">
        <f t="shared" si="38"/>
        <v>13.569999999999997</v>
      </c>
      <c r="I92" s="23">
        <f t="shared" si="39"/>
        <v>1.2358834244080144</v>
      </c>
    </row>
    <row r="93" spans="1:9" x14ac:dyDescent="0.35">
      <c r="A93" s="6" t="s">
        <v>56</v>
      </c>
      <c r="B93" s="13">
        <v>10.98</v>
      </c>
      <c r="C93" s="13">
        <v>24.549999999999997</v>
      </c>
      <c r="D93" s="13">
        <v>11</v>
      </c>
      <c r="E93" s="13"/>
      <c r="F93" s="22">
        <f t="shared" si="40"/>
        <v>0.99818181818181817</v>
      </c>
      <c r="G93" s="22" t="str">
        <f t="shared" si="41"/>
        <v/>
      </c>
      <c r="H93" s="12">
        <f t="shared" si="38"/>
        <v>13.569999999999997</v>
      </c>
      <c r="I93" s="24">
        <f t="shared" si="39"/>
        <v>1.2358834244080144</v>
      </c>
    </row>
    <row r="94" spans="1:9" x14ac:dyDescent="0.35">
      <c r="A94" s="11" t="s">
        <v>20</v>
      </c>
      <c r="B94" s="60">
        <v>0.8</v>
      </c>
      <c r="C94" s="14">
        <v>1.24</v>
      </c>
      <c r="D94" s="14">
        <v>2</v>
      </c>
      <c r="E94" s="14">
        <v>2</v>
      </c>
      <c r="F94" s="23">
        <f t="shared" si="40"/>
        <v>0.4</v>
      </c>
      <c r="G94" s="23">
        <f t="shared" si="41"/>
        <v>0.62</v>
      </c>
      <c r="H94" s="28">
        <f t="shared" si="38"/>
        <v>0.43999999999999995</v>
      </c>
      <c r="I94" s="23">
        <f t="shared" si="39"/>
        <v>0.54999999999999982</v>
      </c>
    </row>
    <row r="95" spans="1:9" x14ac:dyDescent="0.35">
      <c r="A95" s="6" t="s">
        <v>20</v>
      </c>
      <c r="B95" s="57">
        <v>0.8</v>
      </c>
      <c r="C95" s="13">
        <v>1.24</v>
      </c>
      <c r="D95" s="13">
        <v>2</v>
      </c>
      <c r="E95" s="13">
        <v>2</v>
      </c>
      <c r="F95" s="22">
        <f t="shared" si="40"/>
        <v>0.4</v>
      </c>
      <c r="G95" s="22">
        <f t="shared" si="41"/>
        <v>0.62</v>
      </c>
      <c r="H95" s="12">
        <f t="shared" si="38"/>
        <v>0.43999999999999995</v>
      </c>
      <c r="I95" s="24">
        <f t="shared" si="39"/>
        <v>0.54999999999999982</v>
      </c>
    </row>
    <row r="96" spans="1:9" x14ac:dyDescent="0.35">
      <c r="A96" s="11" t="s">
        <v>23</v>
      </c>
      <c r="B96" s="61">
        <v>0.03</v>
      </c>
      <c r="C96" s="61">
        <v>0.21</v>
      </c>
      <c r="D96" s="14"/>
      <c r="E96" s="14"/>
      <c r="F96" s="23" t="str">
        <f t="shared" si="40"/>
        <v/>
      </c>
      <c r="G96" s="23" t="str">
        <f t="shared" si="41"/>
        <v/>
      </c>
      <c r="H96" s="28">
        <f t="shared" si="38"/>
        <v>0.18</v>
      </c>
      <c r="I96" s="23">
        <f t="shared" si="39"/>
        <v>6</v>
      </c>
    </row>
    <row r="97" spans="1:9" x14ac:dyDescent="0.35">
      <c r="A97" s="6" t="s">
        <v>23</v>
      </c>
      <c r="B97" s="59">
        <v>0.03</v>
      </c>
      <c r="C97" s="59">
        <v>0.21</v>
      </c>
      <c r="D97" s="13"/>
      <c r="E97" s="13"/>
      <c r="F97" s="22" t="str">
        <f t="shared" si="40"/>
        <v/>
      </c>
      <c r="G97" s="22" t="str">
        <f t="shared" si="41"/>
        <v/>
      </c>
      <c r="H97" s="12">
        <f>IFERROR(C97-B97,"")</f>
        <v>0.18</v>
      </c>
      <c r="I97" s="24">
        <f t="shared" si="39"/>
        <v>6</v>
      </c>
    </row>
    <row r="98" spans="1:9" x14ac:dyDescent="0.35">
      <c r="A98" s="11" t="s">
        <v>76</v>
      </c>
      <c r="B98" s="61"/>
      <c r="C98" s="61">
        <v>0.12</v>
      </c>
      <c r="D98" s="14"/>
      <c r="E98" s="14"/>
      <c r="F98" s="23" t="str">
        <f t="shared" si="40"/>
        <v/>
      </c>
      <c r="G98" s="23" t="str">
        <f t="shared" si="41"/>
        <v/>
      </c>
      <c r="H98" s="28">
        <f>IFERROR(C98-B98,"")</f>
        <v>0.12</v>
      </c>
      <c r="I98" s="23" t="str">
        <f t="shared" si="39"/>
        <v/>
      </c>
    </row>
    <row r="99" spans="1:9" x14ac:dyDescent="0.35">
      <c r="A99" s="6" t="s">
        <v>59</v>
      </c>
      <c r="B99" s="59"/>
      <c r="C99" s="59">
        <v>0.12</v>
      </c>
      <c r="D99" s="13"/>
      <c r="E99" s="13"/>
      <c r="F99" s="22" t="str">
        <f t="shared" si="40"/>
        <v/>
      </c>
      <c r="G99" s="22" t="str">
        <f t="shared" si="41"/>
        <v/>
      </c>
      <c r="H99" s="12">
        <f>IFERROR(C99-B99,"")</f>
        <v>0.12</v>
      </c>
      <c r="I99" s="24" t="str">
        <f t="shared" si="39"/>
        <v/>
      </c>
    </row>
    <row r="100" spans="1:9" x14ac:dyDescent="0.35">
      <c r="A100" s="215" t="s">
        <v>25</v>
      </c>
      <c r="B100" s="66">
        <v>6911.850000000004</v>
      </c>
      <c r="C100" s="66">
        <f>SUM(C69,C72,C76,C80,C84,C87,C92,C94,C96,C98)</f>
        <v>6742.1799999999957</v>
      </c>
      <c r="D100" s="66">
        <v>8298</v>
      </c>
      <c r="E100" s="66">
        <v>8405</v>
      </c>
      <c r="F100" s="303">
        <f t="shared" ref="F100" si="42">IFERROR(B100/D100,"")</f>
        <v>0.83295372378886523</v>
      </c>
      <c r="G100" s="303">
        <f t="shared" ref="G100" si="43">IFERROR(C100/E100,"")</f>
        <v>0.80216299821534753</v>
      </c>
      <c r="H100" s="66">
        <f>IFERROR(C100-B100,"")</f>
        <v>-169.67000000000826</v>
      </c>
      <c r="I100" s="65">
        <f t="shared" si="39"/>
        <v>-2.4547697070973484E-2</v>
      </c>
    </row>
    <row r="102" spans="1:9" x14ac:dyDescent="0.35">
      <c r="F102" s="190"/>
    </row>
  </sheetData>
  <mergeCells count="12">
    <mergeCell ref="C5:D5"/>
    <mergeCell ref="C6:D6"/>
    <mergeCell ref="B67:C67"/>
    <mergeCell ref="H67:I67"/>
    <mergeCell ref="A11:A12"/>
    <mergeCell ref="B11:C11"/>
    <mergeCell ref="H11:I11"/>
    <mergeCell ref="D11:E11"/>
    <mergeCell ref="F11:G11"/>
    <mergeCell ref="D67:E67"/>
    <mergeCell ref="F67:G67"/>
    <mergeCell ref="A67:A68"/>
  </mergeCells>
  <phoneticPr fontId="75" type="noConversion"/>
  <conditionalFormatting sqref="I69:I100">
    <cfRule type="cellIs" dxfId="146" priority="32" operator="lessThan">
      <formula>0</formula>
    </cfRule>
  </conditionalFormatting>
  <conditionalFormatting sqref="I13">
    <cfRule type="cellIs" dxfId="145" priority="31" operator="lessThan">
      <formula>0</formula>
    </cfRule>
  </conditionalFormatting>
  <conditionalFormatting sqref="H14:H60">
    <cfRule type="cellIs" dxfId="144" priority="30" operator="lessThan">
      <formula>0</formula>
    </cfRule>
  </conditionalFormatting>
  <conditionalFormatting sqref="I14:I60">
    <cfRule type="cellIs" dxfId="143" priority="29" operator="lessThan">
      <formula>0</formula>
    </cfRule>
  </conditionalFormatting>
  <conditionalFormatting sqref="H77:H100">
    <cfRule type="cellIs" dxfId="142" priority="28" operator="lessThan">
      <formula>0</formula>
    </cfRule>
  </conditionalFormatting>
  <conditionalFormatting sqref="H76">
    <cfRule type="cellIs" dxfId="141" priority="27" operator="lessThan">
      <formula>0</formula>
    </cfRule>
  </conditionalFormatting>
  <conditionalFormatting sqref="H70:H71">
    <cfRule type="cellIs" dxfId="140" priority="25" operator="lessThan">
      <formula>0</formula>
    </cfRule>
  </conditionalFormatting>
  <conditionalFormatting sqref="H73:H75">
    <cfRule type="cellIs" dxfId="139" priority="24" operator="lessThan">
      <formula>0</formula>
    </cfRule>
  </conditionalFormatting>
  <conditionalFormatting sqref="C100:G100">
    <cfRule type="cellIs" dxfId="138" priority="21" operator="lessThan">
      <formula>0</formula>
    </cfRule>
  </conditionalFormatting>
  <conditionalFormatting sqref="B100">
    <cfRule type="cellIs" dxfId="137" priority="20" operator="lessThan">
      <formula>0</formula>
    </cfRule>
  </conditionalFormatting>
  <conditionalFormatting sqref="A100">
    <cfRule type="cellIs" dxfId="136" priority="19" operator="lessThan">
      <formula>0</formula>
    </cfRule>
  </conditionalFormatting>
  <conditionalFormatting sqref="F69:G69">
    <cfRule type="cellIs" dxfId="135" priority="18" operator="lessThan">
      <formula>0</formula>
    </cfRule>
  </conditionalFormatting>
  <conditionalFormatting sqref="F72:G72">
    <cfRule type="cellIs" dxfId="134" priority="17" operator="lessThan">
      <formula>0</formula>
    </cfRule>
  </conditionalFormatting>
  <conditionalFormatting sqref="F76:G76">
    <cfRule type="cellIs" dxfId="133" priority="16" operator="lessThan">
      <formula>0</formula>
    </cfRule>
  </conditionalFormatting>
  <conditionalFormatting sqref="F80:G80">
    <cfRule type="cellIs" dxfId="132" priority="15" operator="lessThan">
      <formula>0</formula>
    </cfRule>
  </conditionalFormatting>
  <conditionalFormatting sqref="F84:G84">
    <cfRule type="cellIs" dxfId="131" priority="14" operator="lessThan">
      <formula>0</formula>
    </cfRule>
  </conditionalFormatting>
  <conditionalFormatting sqref="F98:G98">
    <cfRule type="cellIs" dxfId="130" priority="13" operator="lessThan">
      <formula>0</formula>
    </cfRule>
  </conditionalFormatting>
  <conditionalFormatting sqref="F96:G96">
    <cfRule type="cellIs" dxfId="129" priority="12" operator="lessThan">
      <formula>0</formula>
    </cfRule>
  </conditionalFormatting>
  <conditionalFormatting sqref="F94:G94">
    <cfRule type="cellIs" dxfId="128" priority="11" operator="lessThan">
      <formula>0</formula>
    </cfRule>
  </conditionalFormatting>
  <conditionalFormatting sqref="F92:G92">
    <cfRule type="cellIs" dxfId="127" priority="10" operator="lessThan">
      <formula>0</formula>
    </cfRule>
  </conditionalFormatting>
  <conditionalFormatting sqref="F87:G87">
    <cfRule type="cellIs" dxfId="126" priority="9" operator="lessThan">
      <formula>0</formula>
    </cfRule>
  </conditionalFormatting>
  <conditionalFormatting sqref="L12:M13">
    <cfRule type="cellIs" dxfId="125" priority="8" operator="lessThan">
      <formula>0</formula>
    </cfRule>
  </conditionalFormatting>
  <conditionalFormatting sqref="R12:R13">
    <cfRule type="cellIs" dxfId="124" priority="7" operator="lessThan">
      <formula>0</formula>
    </cfRule>
  </conditionalFormatting>
  <conditionalFormatting sqref="S12:S13">
    <cfRule type="cellIs" dxfId="123" priority="6" operator="lessThan">
      <formula>0</formula>
    </cfRule>
  </conditionalFormatting>
  <conditionalFormatting sqref="T12">
    <cfRule type="cellIs" dxfId="122" priority="4" operator="lessThan">
      <formula>0</formula>
    </cfRule>
  </conditionalFormatting>
  <conditionalFormatting sqref="T13">
    <cfRule type="cellIs" dxfId="121" priority="3" operator="lessThan">
      <formula>0</formula>
    </cfRule>
  </conditionalFormatting>
  <conditionalFormatting sqref="L68:M68">
    <cfRule type="cellIs" dxfId="120" priority="2" operator="lessThan">
      <formula>0</formula>
    </cfRule>
  </conditionalFormatting>
  <conditionalFormatting sqref="Q68:R68">
    <cfRule type="cellIs" dxfId="119" priority="1" operator="lessThan">
      <formula>0</formula>
    </cfRule>
  </conditionalFormatting>
  <hyperlinks>
    <hyperlink ref="B1" r:id="rId1" xr:uid="{00000000-0004-0000-0400-000000000000}"/>
    <hyperlink ref="L1" location="ÍNDICE!A1" display="ÍNDICE!A1" xr:uid="{00000000-0004-0000-0400-000001000000}"/>
    <hyperlink ref="B2" r:id="rId2" xr:uid="{00000000-0004-0000-0400-000002000000}"/>
    <hyperlink ref="C5" location="'PIS-REPR'!A7" display="ECOLÓGICO + CONVENCIONAL" xr:uid="{00000000-0004-0000-0400-000003000000}"/>
    <hyperlink ref="C6" location="'PIS-REPR'!A105" display="ECOLÓGICO + CONVENCIONAL" xr:uid="{00000000-0004-0000-0400-000004000000}"/>
    <hyperlink ref="C5:D5" location="'AVE-REPR'!A7" display="ECOLÓGICO + CONVENCIONAL" xr:uid="{00000000-0004-0000-0400-000005000000}"/>
    <hyperlink ref="C6:D6" location="'AVE-REPR'!A64" display="ECOLÓGICO + CONVENCIONAL" xr:uid="{00000000-0004-0000-0400-000006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70"/>
  <sheetViews>
    <sheetView workbookViewId="0"/>
  </sheetViews>
  <sheetFormatPr baseColWidth="10" defaultRowHeight="14.5" x14ac:dyDescent="0.35"/>
  <cols>
    <col min="1" max="1" width="21.54296875" bestFit="1" customWidth="1"/>
    <col min="2" max="2" width="14.54296875" customWidth="1"/>
    <col min="3" max="4" width="15.81640625" customWidth="1"/>
    <col min="5" max="5" width="11" customWidth="1"/>
    <col min="6" max="6" width="13.1796875" customWidth="1"/>
    <col min="7" max="7" width="11" customWidth="1"/>
    <col min="8" max="8" width="13" bestFit="1" customWidth="1"/>
    <col min="9" max="9" width="11.81640625" customWidth="1"/>
    <col min="11" max="11" width="14.453125" customWidth="1"/>
    <col min="14" max="15" width="16.1796875" bestFit="1" customWidth="1"/>
    <col min="16" max="16" width="13.81640625" customWidth="1"/>
    <col min="17" max="17" width="12.81640625" customWidth="1"/>
  </cols>
  <sheetData>
    <row r="1" spans="1:20" x14ac:dyDescent="0.35">
      <c r="A1" s="240" t="s">
        <v>10</v>
      </c>
      <c r="B1" s="2" t="s">
        <v>9</v>
      </c>
      <c r="C1" s="3"/>
      <c r="D1" s="3"/>
      <c r="E1" s="3"/>
      <c r="F1" s="3"/>
      <c r="G1" s="3"/>
      <c r="H1" s="3"/>
      <c r="N1" s="286" t="s">
        <v>143</v>
      </c>
      <c r="O1" s="2" t="s">
        <v>144</v>
      </c>
    </row>
    <row r="2" spans="1:20" x14ac:dyDescent="0.35">
      <c r="B2" s="361" t="s">
        <v>220</v>
      </c>
      <c r="C2" s="2" t="s">
        <v>232</v>
      </c>
    </row>
    <row r="3" spans="1:20" x14ac:dyDescent="0.35">
      <c r="B3" s="326"/>
      <c r="C3" s="2"/>
    </row>
    <row r="4" spans="1:20" x14ac:dyDescent="0.35">
      <c r="C4" t="s">
        <v>243</v>
      </c>
      <c r="G4" s="463" t="s">
        <v>293</v>
      </c>
    </row>
    <row r="5" spans="1:20" ht="15.5" x14ac:dyDescent="0.35">
      <c r="A5" s="283" t="s">
        <v>240</v>
      </c>
      <c r="C5" s="680" t="s">
        <v>212</v>
      </c>
      <c r="D5" s="680"/>
      <c r="F5" s="470" t="s">
        <v>297</v>
      </c>
      <c r="G5" s="462">
        <f>C39</f>
        <v>15539.720000000005</v>
      </c>
      <c r="H5" s="318">
        <f>G5/G7</f>
        <v>0.95253191713681162</v>
      </c>
    </row>
    <row r="6" spans="1:20" ht="15.5" x14ac:dyDescent="0.35">
      <c r="A6" s="284" t="s">
        <v>241</v>
      </c>
      <c r="C6" s="681" t="s">
        <v>212</v>
      </c>
      <c r="D6" s="681"/>
      <c r="F6" s="470" t="s">
        <v>298</v>
      </c>
      <c r="G6" s="462">
        <f>C69</f>
        <v>774.40000000000032</v>
      </c>
      <c r="H6" s="318">
        <f>G6/G7</f>
        <v>4.746808286318846E-2</v>
      </c>
    </row>
    <row r="7" spans="1:20" x14ac:dyDescent="0.35">
      <c r="F7" s="463" t="s">
        <v>299</v>
      </c>
      <c r="G7" s="466">
        <f>G6+G5</f>
        <v>16314.120000000004</v>
      </c>
    </row>
    <row r="8" spans="1:20" ht="15" customHeight="1" x14ac:dyDescent="0.35">
      <c r="A8" s="283" t="s">
        <v>77</v>
      </c>
    </row>
    <row r="9" spans="1:20" ht="15" customHeight="1" x14ac:dyDescent="0.35">
      <c r="A9" s="285" t="s">
        <v>212</v>
      </c>
      <c r="B9" s="220"/>
      <c r="C9" s="221"/>
      <c r="D9" s="221"/>
      <c r="E9" s="221"/>
      <c r="F9" s="221"/>
      <c r="G9" s="221"/>
    </row>
    <row r="10" spans="1:20" x14ac:dyDescent="0.35">
      <c r="K10" s="319" t="s">
        <v>225</v>
      </c>
      <c r="Q10" s="319" t="s">
        <v>227</v>
      </c>
      <c r="R10" s="319"/>
      <c r="S10" s="342"/>
      <c r="T10" s="342"/>
    </row>
    <row r="11" spans="1:20" ht="43" customHeight="1" x14ac:dyDescent="0.35">
      <c r="A11" s="677" t="s">
        <v>0</v>
      </c>
      <c r="B11" s="686" t="s">
        <v>1</v>
      </c>
      <c r="C11" s="687"/>
      <c r="D11" s="689" t="s">
        <v>233</v>
      </c>
      <c r="E11" s="690"/>
      <c r="F11" s="679" t="s">
        <v>235</v>
      </c>
      <c r="G11" s="679"/>
      <c r="H11" s="688" t="s">
        <v>2</v>
      </c>
      <c r="I11" s="688"/>
      <c r="K11" s="342"/>
      <c r="L11" s="328" t="s">
        <v>228</v>
      </c>
      <c r="M11" s="328" t="s">
        <v>249</v>
      </c>
      <c r="N11" s="328" t="s">
        <v>282</v>
      </c>
      <c r="O11" s="443" t="s">
        <v>285</v>
      </c>
      <c r="Q11" s="342"/>
      <c r="R11" s="328" t="s">
        <v>226</v>
      </c>
      <c r="S11" s="328" t="s">
        <v>228</v>
      </c>
      <c r="T11" s="328" t="s">
        <v>247</v>
      </c>
    </row>
    <row r="12" spans="1:20" x14ac:dyDescent="0.35">
      <c r="A12" s="678"/>
      <c r="B12" s="225">
        <v>2020</v>
      </c>
      <c r="C12" s="225">
        <v>2021</v>
      </c>
      <c r="D12" s="225">
        <v>2020</v>
      </c>
      <c r="E12" s="225">
        <v>2021</v>
      </c>
      <c r="F12" s="225">
        <v>2020</v>
      </c>
      <c r="G12" s="225">
        <v>2021</v>
      </c>
      <c r="H12" s="225" t="s">
        <v>3</v>
      </c>
      <c r="I12" s="225" t="s">
        <v>4</v>
      </c>
      <c r="K12" s="357" t="s">
        <v>13</v>
      </c>
      <c r="L12" s="323">
        <f>C25</f>
        <v>7601.6</v>
      </c>
      <c r="M12" s="320">
        <f>E25</f>
        <v>16019.4</v>
      </c>
      <c r="N12" s="344">
        <f>L12/M12</f>
        <v>0.47452463887536367</v>
      </c>
      <c r="O12" s="469">
        <f>F25</f>
        <v>0.43457541484645662</v>
      </c>
      <c r="Q12" s="357" t="s">
        <v>13</v>
      </c>
      <c r="R12" s="323">
        <v>6962.6600000000026</v>
      </c>
      <c r="S12" s="320">
        <v>7601.6</v>
      </c>
      <c r="T12" s="354">
        <f>S12/R12-1</f>
        <v>9.1766652400088189E-2</v>
      </c>
    </row>
    <row r="13" spans="1:20" x14ac:dyDescent="0.35">
      <c r="A13" s="4" t="s">
        <v>5</v>
      </c>
      <c r="B13" s="21">
        <f>SUM(B14:B21)</f>
        <v>1015.86</v>
      </c>
      <c r="C13" s="21">
        <f>SUM(C14:C21)</f>
        <v>1048.7899999999997</v>
      </c>
      <c r="D13" s="21">
        <v>2272.4498000000003</v>
      </c>
      <c r="E13" s="21">
        <v>2041.8217</v>
      </c>
      <c r="F13" s="295">
        <f>IFERROR(B13/D13,"")</f>
        <v>0.44703297736214015</v>
      </c>
      <c r="G13" s="295">
        <f>IFERROR(C13/E13,"")</f>
        <v>0.51365405706090783</v>
      </c>
      <c r="H13" s="21">
        <f t="shared" ref="H13:H39" si="0">IFERROR(C13-B13,"")</f>
        <v>32.929999999999723</v>
      </c>
      <c r="I13" s="35">
        <f t="shared" ref="I13:I39" si="1">IFERROR((C13/B13)-1,"")</f>
        <v>3.2415884078514479E-2</v>
      </c>
      <c r="K13" s="357" t="s">
        <v>14</v>
      </c>
      <c r="L13" s="323">
        <f>C29</f>
        <v>3622.090000000007</v>
      </c>
      <c r="M13" s="320">
        <f>E29</f>
        <v>6696.9539000000004</v>
      </c>
      <c r="N13" s="344">
        <f t="shared" ref="N13:N16" si="2">L13/M13</f>
        <v>0.54085634365797364</v>
      </c>
      <c r="O13" s="469">
        <f>F29</f>
        <v>0.53669743595223651</v>
      </c>
      <c r="Q13" s="357" t="s">
        <v>14</v>
      </c>
      <c r="R13" s="323">
        <v>3616.1200000000008</v>
      </c>
      <c r="S13" s="320">
        <v>3622.090000000007</v>
      </c>
      <c r="T13" s="354">
        <f t="shared" ref="T13:T16" si="3">S13/R13-1</f>
        <v>1.6509407873650517E-3</v>
      </c>
    </row>
    <row r="14" spans="1:20" x14ac:dyDescent="0.35">
      <c r="A14" s="6" t="s">
        <v>78</v>
      </c>
      <c r="B14" s="12">
        <v>8.3800000000000008</v>
      </c>
      <c r="C14" s="12">
        <v>6.62</v>
      </c>
      <c r="D14" s="12"/>
      <c r="E14" s="207"/>
      <c r="F14" s="12"/>
      <c r="G14" s="12"/>
      <c r="H14" s="12">
        <f t="shared" si="0"/>
        <v>-1.7600000000000007</v>
      </c>
      <c r="I14" s="48">
        <f t="shared" si="1"/>
        <v>-0.21002386634844872</v>
      </c>
      <c r="K14" s="357" t="s">
        <v>18</v>
      </c>
      <c r="L14" s="323">
        <f>C35</f>
        <v>2551.31</v>
      </c>
      <c r="M14" s="320">
        <f>E35</f>
        <v>14245.410099999999</v>
      </c>
      <c r="N14" s="344">
        <f t="shared" si="2"/>
        <v>0.17909698507029995</v>
      </c>
      <c r="O14" s="469">
        <f>F35</f>
        <v>0.14066965341940529</v>
      </c>
      <c r="Q14" s="468" t="s">
        <v>18</v>
      </c>
      <c r="R14" s="323">
        <v>2038.2100000000003</v>
      </c>
      <c r="S14" s="320">
        <v>2551.31</v>
      </c>
      <c r="T14" s="354">
        <f t="shared" si="3"/>
        <v>0.25174049778972707</v>
      </c>
    </row>
    <row r="15" spans="1:20" x14ac:dyDescent="0.35">
      <c r="A15" s="6" t="s">
        <v>7</v>
      </c>
      <c r="B15" s="12">
        <v>102.38000000000001</v>
      </c>
      <c r="C15" s="12">
        <v>29.53</v>
      </c>
      <c r="D15" s="12"/>
      <c r="E15" s="207"/>
      <c r="F15" s="12"/>
      <c r="G15" s="12"/>
      <c r="H15" s="12">
        <f t="shared" si="0"/>
        <v>-72.850000000000009</v>
      </c>
      <c r="I15" s="48">
        <f t="shared" si="1"/>
        <v>-0.71156475874194181</v>
      </c>
      <c r="K15" s="357" t="s">
        <v>5</v>
      </c>
      <c r="L15" s="323">
        <f>C13</f>
        <v>1048.7899999999997</v>
      </c>
      <c r="M15" s="320">
        <f>E13</f>
        <v>2041.8217</v>
      </c>
      <c r="N15" s="344">
        <f t="shared" si="2"/>
        <v>0.51365405706090783</v>
      </c>
      <c r="O15" s="469">
        <f>F13</f>
        <v>0.44703297736214015</v>
      </c>
      <c r="Q15" s="357" t="s">
        <v>5</v>
      </c>
      <c r="R15" s="323">
        <v>1015.86</v>
      </c>
      <c r="S15" s="320">
        <v>1048.7899999999997</v>
      </c>
      <c r="T15" s="354">
        <f t="shared" si="3"/>
        <v>3.2415884078514479E-2</v>
      </c>
    </row>
    <row r="16" spans="1:20" x14ac:dyDescent="0.35">
      <c r="A16" s="6" t="s">
        <v>8</v>
      </c>
      <c r="B16" s="12"/>
      <c r="C16" s="54">
        <v>0.62</v>
      </c>
      <c r="D16" s="54"/>
      <c r="E16" s="561"/>
      <c r="F16" s="54"/>
      <c r="G16" s="54"/>
      <c r="H16" s="12">
        <f t="shared" si="0"/>
        <v>0.62</v>
      </c>
      <c r="I16" s="48" t="str">
        <f t="shared" si="1"/>
        <v/>
      </c>
      <c r="K16" s="357" t="s">
        <v>22</v>
      </c>
      <c r="L16" s="323">
        <f>C37</f>
        <v>712.47</v>
      </c>
      <c r="M16" s="320">
        <f>E37</f>
        <v>1747.4893</v>
      </c>
      <c r="N16" s="344">
        <f t="shared" si="2"/>
        <v>0.40771065093216885</v>
      </c>
      <c r="O16" s="469">
        <f>F37</f>
        <v>0.41635059709668526</v>
      </c>
      <c r="Q16" s="357" t="s">
        <v>22</v>
      </c>
      <c r="R16" s="323">
        <v>734.82</v>
      </c>
      <c r="S16" s="320">
        <v>712.47</v>
      </c>
      <c r="T16" s="356">
        <f t="shared" si="3"/>
        <v>-3.0415611986609026E-2</v>
      </c>
    </row>
    <row r="17" spans="1:9" x14ac:dyDescent="0.35">
      <c r="A17" s="6" t="s">
        <v>26</v>
      </c>
      <c r="B17" s="12">
        <v>20.54</v>
      </c>
      <c r="C17" s="12">
        <v>20.370000000000005</v>
      </c>
      <c r="D17" s="12"/>
      <c r="E17" s="207"/>
      <c r="F17" s="12"/>
      <c r="G17" s="12"/>
      <c r="H17" s="12">
        <f t="shared" si="0"/>
        <v>-0.1699999999999946</v>
      </c>
      <c r="I17" s="48">
        <f t="shared" si="1"/>
        <v>-8.2765335929890771E-3</v>
      </c>
    </row>
    <row r="18" spans="1:9" x14ac:dyDescent="0.35">
      <c r="A18" s="6" t="s">
        <v>27</v>
      </c>
      <c r="B18" s="12">
        <v>750.9</v>
      </c>
      <c r="C18" s="12">
        <v>794.58999999999992</v>
      </c>
      <c r="D18" s="12"/>
      <c r="E18" s="207"/>
      <c r="F18" s="12"/>
      <c r="G18" s="12"/>
      <c r="H18" s="12">
        <f t="shared" si="0"/>
        <v>43.689999999999941</v>
      </c>
      <c r="I18" s="48">
        <f t="shared" si="1"/>
        <v>5.8183513117592067E-2</v>
      </c>
    </row>
    <row r="19" spans="1:9" x14ac:dyDescent="0.35">
      <c r="A19" s="6" t="s">
        <v>28</v>
      </c>
      <c r="B19" s="54">
        <v>0.15</v>
      </c>
      <c r="C19" s="54">
        <v>0.31</v>
      </c>
      <c r="D19" s="54"/>
      <c r="E19" s="561"/>
      <c r="F19" s="54"/>
      <c r="G19" s="54"/>
      <c r="H19" s="12">
        <f t="shared" si="0"/>
        <v>0.16</v>
      </c>
      <c r="I19" s="48">
        <f t="shared" si="1"/>
        <v>1.0666666666666669</v>
      </c>
    </row>
    <row r="20" spans="1:9" x14ac:dyDescent="0.35">
      <c r="A20" s="6" t="s">
        <v>29</v>
      </c>
      <c r="B20" s="12">
        <v>86</v>
      </c>
      <c r="C20" s="12">
        <v>145.66000000000003</v>
      </c>
      <c r="D20" s="12"/>
      <c r="E20" s="207"/>
      <c r="F20" s="12"/>
      <c r="G20" s="12"/>
      <c r="H20" s="12">
        <f t="shared" si="0"/>
        <v>59.660000000000025</v>
      </c>
      <c r="I20" s="48">
        <f t="shared" si="1"/>
        <v>0.69372093023255843</v>
      </c>
    </row>
    <row r="21" spans="1:9" x14ac:dyDescent="0.35">
      <c r="A21" s="6" t="s">
        <v>30</v>
      </c>
      <c r="B21" s="12">
        <v>47.51</v>
      </c>
      <c r="C21" s="12">
        <v>51.09</v>
      </c>
      <c r="D21" s="12"/>
      <c r="E21" s="207"/>
      <c r="F21" s="12"/>
      <c r="G21" s="12"/>
      <c r="H21" s="12">
        <f t="shared" si="0"/>
        <v>3.5800000000000054</v>
      </c>
      <c r="I21" s="48">
        <f t="shared" si="1"/>
        <v>7.535255735634605E-2</v>
      </c>
    </row>
    <row r="22" spans="1:9" x14ac:dyDescent="0.35">
      <c r="A22" s="4" t="s">
        <v>15</v>
      </c>
      <c r="B22" s="21"/>
      <c r="C22" s="49"/>
      <c r="D22" s="49">
        <v>20.992699999999999</v>
      </c>
      <c r="E22" s="49"/>
      <c r="F22" s="295">
        <f>IFERROR(B22/D22,"")</f>
        <v>0</v>
      </c>
      <c r="G22" s="295" t="str">
        <f>IFERROR(C22/E22,"")</f>
        <v/>
      </c>
      <c r="H22" s="49"/>
      <c r="I22" s="47" t="str">
        <f t="shared" si="1"/>
        <v/>
      </c>
    </row>
    <row r="23" spans="1:9" x14ac:dyDescent="0.35">
      <c r="A23" s="6" t="s">
        <v>45</v>
      </c>
      <c r="B23" s="12"/>
      <c r="C23" s="12"/>
      <c r="D23" s="12"/>
      <c r="E23" s="12"/>
      <c r="F23" s="12"/>
      <c r="G23" s="12"/>
      <c r="H23" s="12"/>
      <c r="I23" s="48" t="str">
        <f t="shared" si="1"/>
        <v/>
      </c>
    </row>
    <row r="24" spans="1:9" x14ac:dyDescent="0.35">
      <c r="A24" s="6" t="s">
        <v>42</v>
      </c>
      <c r="B24" s="12"/>
      <c r="C24" s="12"/>
      <c r="D24" s="12"/>
      <c r="E24" s="12"/>
      <c r="F24" s="12"/>
      <c r="G24" s="12"/>
      <c r="H24" s="12"/>
      <c r="I24" s="48" t="str">
        <f t="shared" si="1"/>
        <v/>
      </c>
    </row>
    <row r="25" spans="1:9" x14ac:dyDescent="0.35">
      <c r="A25" s="4" t="s">
        <v>13</v>
      </c>
      <c r="B25" s="21">
        <f>SUM(B26:B28)</f>
        <v>6962.6600000000026</v>
      </c>
      <c r="C25" s="21">
        <f>SUM(C26:C28)</f>
        <v>7601.6</v>
      </c>
      <c r="D25" s="21">
        <v>16021.7531</v>
      </c>
      <c r="E25" s="21">
        <v>16019.4</v>
      </c>
      <c r="F25" s="295">
        <f>IFERROR(B25/D25,"")</f>
        <v>0.43457541484645662</v>
      </c>
      <c r="G25" s="295">
        <f>IFERROR(C25/E25,"")</f>
        <v>0.47452463887536367</v>
      </c>
      <c r="H25" s="21">
        <f t="shared" si="0"/>
        <v>638.93999999999778</v>
      </c>
      <c r="I25" s="35">
        <f t="shared" si="1"/>
        <v>9.1766652400088189E-2</v>
      </c>
    </row>
    <row r="26" spans="1:9" x14ac:dyDescent="0.35">
      <c r="A26" s="6" t="s">
        <v>34</v>
      </c>
      <c r="B26" s="12">
        <v>173.01000000000008</v>
      </c>
      <c r="C26" s="12">
        <v>249.11</v>
      </c>
      <c r="D26" s="12"/>
      <c r="E26" s="12"/>
      <c r="F26" s="12"/>
      <c r="G26" s="12"/>
      <c r="H26" s="12">
        <f t="shared" si="0"/>
        <v>76.099999999999937</v>
      </c>
      <c r="I26" s="48">
        <f t="shared" si="1"/>
        <v>0.43985896768972843</v>
      </c>
    </row>
    <row r="27" spans="1:9" x14ac:dyDescent="0.35">
      <c r="A27" s="6" t="s">
        <v>61</v>
      </c>
      <c r="B27" s="12">
        <v>2713.7899999999986</v>
      </c>
      <c r="C27" s="12">
        <v>2825.8500000000004</v>
      </c>
      <c r="D27" s="12"/>
      <c r="E27" s="12"/>
      <c r="F27" s="12"/>
      <c r="G27" s="12"/>
      <c r="H27" s="12">
        <f t="shared" si="0"/>
        <v>112.06000000000176</v>
      </c>
      <c r="I27" s="48">
        <f t="shared" si="1"/>
        <v>4.1292804527985449E-2</v>
      </c>
    </row>
    <row r="28" spans="1:9" x14ac:dyDescent="0.35">
      <c r="A28" s="6" t="s">
        <v>36</v>
      </c>
      <c r="B28" s="12">
        <v>4075.8600000000038</v>
      </c>
      <c r="C28" s="12">
        <v>4526.6399999999994</v>
      </c>
      <c r="D28" s="12"/>
      <c r="E28" s="12"/>
      <c r="F28" s="12"/>
      <c r="G28" s="12"/>
      <c r="H28" s="12">
        <f t="shared" si="0"/>
        <v>450.77999999999565</v>
      </c>
      <c r="I28" s="48">
        <f t="shared" si="1"/>
        <v>0.11059751806980489</v>
      </c>
    </row>
    <row r="29" spans="1:9" x14ac:dyDescent="0.35">
      <c r="A29" s="4" t="s">
        <v>14</v>
      </c>
      <c r="B29" s="21">
        <f>SUM(B30:B32)</f>
        <v>3616.1200000000008</v>
      </c>
      <c r="C29" s="21">
        <f>SUM(C30:C32)</f>
        <v>3622.090000000007</v>
      </c>
      <c r="D29" s="21">
        <v>6737.7255000000005</v>
      </c>
      <c r="E29" s="21">
        <v>6696.9539000000004</v>
      </c>
      <c r="F29" s="295">
        <f>IFERROR(B29/D29,"")</f>
        <v>0.53669743595223651</v>
      </c>
      <c r="G29" s="295">
        <f>IFERROR(C29/E29,"")</f>
        <v>0.54085634365797364</v>
      </c>
      <c r="H29" s="21">
        <f t="shared" si="0"/>
        <v>5.9700000000061664</v>
      </c>
      <c r="I29" s="35">
        <f t="shared" si="1"/>
        <v>1.6509407873650517E-3</v>
      </c>
    </row>
    <row r="30" spans="1:9" x14ac:dyDescent="0.35">
      <c r="A30" s="6" t="s">
        <v>37</v>
      </c>
      <c r="B30" s="12">
        <v>123.37</v>
      </c>
      <c r="C30" s="12">
        <v>124.69</v>
      </c>
      <c r="D30" s="12"/>
      <c r="E30" s="12"/>
      <c r="F30" s="12"/>
      <c r="G30" s="12"/>
      <c r="H30" s="12">
        <f t="shared" si="0"/>
        <v>1.3199999999999932</v>
      </c>
      <c r="I30" s="48">
        <f t="shared" si="1"/>
        <v>1.0699521763799957E-2</v>
      </c>
    </row>
    <row r="31" spans="1:9" x14ac:dyDescent="0.35">
      <c r="A31" s="6" t="s">
        <v>38</v>
      </c>
      <c r="B31" s="12">
        <v>1.73</v>
      </c>
      <c r="C31" s="12">
        <v>1.73</v>
      </c>
      <c r="D31" s="12"/>
      <c r="E31" s="12"/>
      <c r="F31" s="12"/>
      <c r="G31" s="12"/>
      <c r="H31" s="12">
        <f t="shared" si="0"/>
        <v>0</v>
      </c>
      <c r="I31" s="48">
        <f t="shared" si="1"/>
        <v>0</v>
      </c>
    </row>
    <row r="32" spans="1:9" x14ac:dyDescent="0.35">
      <c r="A32" s="6" t="s">
        <v>40</v>
      </c>
      <c r="B32" s="12">
        <v>3491.0200000000009</v>
      </c>
      <c r="C32" s="12">
        <v>3495.6700000000069</v>
      </c>
      <c r="D32" s="12"/>
      <c r="E32" s="12"/>
      <c r="F32" s="12"/>
      <c r="G32" s="12"/>
      <c r="H32" s="12">
        <f t="shared" si="0"/>
        <v>4.6500000000060027</v>
      </c>
      <c r="I32" s="48">
        <f t="shared" si="1"/>
        <v>1.3319889316034672E-3</v>
      </c>
    </row>
    <row r="33" spans="1:20" x14ac:dyDescent="0.35">
      <c r="A33" s="4" t="s">
        <v>17</v>
      </c>
      <c r="B33" s="21">
        <f>SUM(B34)</f>
        <v>3.4699999999999998</v>
      </c>
      <c r="C33" s="21">
        <v>3.46</v>
      </c>
      <c r="D33" s="21"/>
      <c r="E33" s="21"/>
      <c r="F33" s="295" t="str">
        <f>IFERROR(B33/D33,"")</f>
        <v/>
      </c>
      <c r="G33" s="295" t="str">
        <f>IFERROR(C33/E33,"")</f>
        <v/>
      </c>
      <c r="H33" s="21">
        <f t="shared" si="0"/>
        <v>-9.9999999999997868E-3</v>
      </c>
      <c r="I33" s="35">
        <f t="shared" si="1"/>
        <v>-2.8818443804033977E-3</v>
      </c>
    </row>
    <row r="34" spans="1:20" x14ac:dyDescent="0.35">
      <c r="A34" s="6" t="s">
        <v>55</v>
      </c>
      <c r="B34" s="12">
        <v>3.4699999999999998</v>
      </c>
      <c r="C34" s="12">
        <v>3.46</v>
      </c>
      <c r="D34" s="12"/>
      <c r="E34" s="12"/>
      <c r="F34" s="12"/>
      <c r="G34" s="12"/>
      <c r="H34" s="12">
        <f t="shared" si="0"/>
        <v>-9.9999999999997868E-3</v>
      </c>
      <c r="I34" s="48">
        <f t="shared" si="1"/>
        <v>-2.8818443804033977E-3</v>
      </c>
    </row>
    <row r="35" spans="1:20" x14ac:dyDescent="0.35">
      <c r="A35" s="4" t="s">
        <v>18</v>
      </c>
      <c r="B35" s="21">
        <f>B36</f>
        <v>2038.2100000000003</v>
      </c>
      <c r="C35" s="21">
        <v>2551.31</v>
      </c>
      <c r="D35" s="21">
        <v>14489.3369</v>
      </c>
      <c r="E35" s="21">
        <v>14245.410099999999</v>
      </c>
      <c r="F35" s="295">
        <f>IFERROR(B35/D35,"")</f>
        <v>0.14066965341940529</v>
      </c>
      <c r="G35" s="295">
        <f>IFERROR(C35/E35,"")</f>
        <v>0.17909698507029995</v>
      </c>
      <c r="H35" s="21">
        <f t="shared" si="0"/>
        <v>513.09999999999968</v>
      </c>
      <c r="I35" s="35">
        <f t="shared" si="1"/>
        <v>0.25174049778972707</v>
      </c>
    </row>
    <row r="36" spans="1:20" x14ac:dyDescent="0.35">
      <c r="A36" s="6" t="s">
        <v>18</v>
      </c>
      <c r="B36" s="12">
        <v>2038.2100000000003</v>
      </c>
      <c r="C36" s="12">
        <v>2551.31</v>
      </c>
      <c r="D36" s="12"/>
      <c r="E36" s="12">
        <v>14245.410099999999</v>
      </c>
      <c r="F36" s="12"/>
      <c r="G36" s="12"/>
      <c r="H36" s="12">
        <f t="shared" si="0"/>
        <v>513.09999999999968</v>
      </c>
      <c r="I36" s="48">
        <f t="shared" si="1"/>
        <v>0.25174049778972707</v>
      </c>
    </row>
    <row r="37" spans="1:20" x14ac:dyDescent="0.35">
      <c r="A37" s="4" t="s">
        <v>22</v>
      </c>
      <c r="B37" s="21">
        <f>B38</f>
        <v>734.82</v>
      </c>
      <c r="C37" s="21">
        <v>712.47</v>
      </c>
      <c r="D37" s="21">
        <v>1764.9068</v>
      </c>
      <c r="E37" s="21">
        <v>1747.4893</v>
      </c>
      <c r="F37" s="295">
        <f>IFERROR(B37/D37,"")</f>
        <v>0.41635059709668526</v>
      </c>
      <c r="G37" s="295">
        <f>IFERROR(C37/E37,"")</f>
        <v>0.40771065093216885</v>
      </c>
      <c r="H37" s="21">
        <f t="shared" si="0"/>
        <v>-22.350000000000023</v>
      </c>
      <c r="I37" s="35">
        <f t="shared" si="1"/>
        <v>-3.0415611986609026E-2</v>
      </c>
    </row>
    <row r="38" spans="1:20" x14ac:dyDescent="0.35">
      <c r="A38" s="6" t="s">
        <v>22</v>
      </c>
      <c r="B38" s="12">
        <v>734.82</v>
      </c>
      <c r="C38" s="12">
        <v>712.47</v>
      </c>
      <c r="D38" s="12"/>
      <c r="E38" s="12">
        <v>1747.4893</v>
      </c>
      <c r="F38" s="12"/>
      <c r="G38" s="12"/>
      <c r="H38" s="12">
        <f t="shared" si="0"/>
        <v>-22.350000000000023</v>
      </c>
      <c r="I38" s="48">
        <f t="shared" si="1"/>
        <v>-3.0415611986609026E-2</v>
      </c>
    </row>
    <row r="39" spans="1:20" x14ac:dyDescent="0.35">
      <c r="A39" s="51" t="s">
        <v>25</v>
      </c>
      <c r="B39" s="44">
        <f>SUM(B13+B22+B25+B29+B33+B35+B37)</f>
        <v>14371.140000000003</v>
      </c>
      <c r="C39" s="44">
        <f>SUM(C13,C25,C29,C33,C35,C37)</f>
        <v>15539.720000000005</v>
      </c>
      <c r="D39" s="44">
        <f>SUM(D13,D25,D29,D33,D35,D37,D22)</f>
        <v>41307.164799999999</v>
      </c>
      <c r="E39" s="44">
        <f>SUM(E13,E25,E29,E33,E35,E37)</f>
        <v>40751.074999999997</v>
      </c>
      <c r="F39" s="299">
        <f>IFERROR(B39/D39,"")</f>
        <v>0.34790913560835829</v>
      </c>
      <c r="G39" s="299">
        <f>IFERROR(C39/E39,"")</f>
        <v>0.38133276238725006</v>
      </c>
      <c r="H39" s="31">
        <f t="shared" si="0"/>
        <v>1168.5800000000017</v>
      </c>
      <c r="I39" s="50">
        <f t="shared" si="1"/>
        <v>8.1314356411530397E-2</v>
      </c>
    </row>
    <row r="40" spans="1:20" x14ac:dyDescent="0.35">
      <c r="A40" t="s">
        <v>234</v>
      </c>
    </row>
    <row r="41" spans="1:20" x14ac:dyDescent="0.35">
      <c r="H41" s="141"/>
    </row>
    <row r="43" spans="1:20" ht="15" x14ac:dyDescent="0.35">
      <c r="A43" s="284" t="s">
        <v>79</v>
      </c>
      <c r="H43" s="382"/>
    </row>
    <row r="44" spans="1:20" ht="15" customHeight="1" x14ac:dyDescent="0.35">
      <c r="A44" s="276" t="s">
        <v>212</v>
      </c>
      <c r="C44" s="221"/>
      <c r="D44" s="221"/>
      <c r="E44" s="221"/>
      <c r="F44" s="221"/>
      <c r="G44" s="221"/>
      <c r="H44" s="8"/>
    </row>
    <row r="45" spans="1:20" x14ac:dyDescent="0.35">
      <c r="K45" s="347" t="s">
        <v>225</v>
      </c>
      <c r="L45" s="351"/>
      <c r="M45" s="342"/>
      <c r="N45" s="342"/>
      <c r="O45" s="358"/>
      <c r="Q45" s="347" t="s">
        <v>227</v>
      </c>
      <c r="R45" s="342"/>
      <c r="S45" s="342"/>
      <c r="T45" s="342"/>
    </row>
    <row r="46" spans="1:20" ht="43" customHeight="1" x14ac:dyDescent="0.35">
      <c r="A46" s="675" t="s">
        <v>0</v>
      </c>
      <c r="B46" s="684" t="s">
        <v>1</v>
      </c>
      <c r="C46" s="685"/>
      <c r="D46" s="691" t="s">
        <v>233</v>
      </c>
      <c r="E46" s="692"/>
      <c r="F46" s="691" t="s">
        <v>235</v>
      </c>
      <c r="G46" s="692"/>
      <c r="H46" s="684" t="s">
        <v>2</v>
      </c>
      <c r="I46" s="685"/>
      <c r="K46" s="342"/>
      <c r="L46" s="331" t="s">
        <v>228</v>
      </c>
      <c r="M46" s="331" t="s">
        <v>249</v>
      </c>
      <c r="N46" s="444" t="s">
        <v>282</v>
      </c>
      <c r="O46" s="444" t="s">
        <v>285</v>
      </c>
      <c r="Q46" s="342"/>
      <c r="R46" s="331" t="s">
        <v>226</v>
      </c>
      <c r="S46" s="331" t="s">
        <v>228</v>
      </c>
      <c r="T46" s="327" t="s">
        <v>247</v>
      </c>
    </row>
    <row r="47" spans="1:20" x14ac:dyDescent="0.35">
      <c r="A47" s="676"/>
      <c r="B47" s="224">
        <v>2020</v>
      </c>
      <c r="C47" s="224">
        <v>2021</v>
      </c>
      <c r="D47" s="224">
        <v>2020</v>
      </c>
      <c r="E47" s="224">
        <v>2021</v>
      </c>
      <c r="F47" s="224">
        <v>2020</v>
      </c>
      <c r="G47" s="224">
        <v>2021</v>
      </c>
      <c r="H47" s="224" t="s">
        <v>3</v>
      </c>
      <c r="I47" s="224" t="s">
        <v>4</v>
      </c>
      <c r="K47" s="359" t="s">
        <v>13</v>
      </c>
      <c r="L47" s="323">
        <f>C55</f>
        <v>136.87000000000003</v>
      </c>
      <c r="M47" s="320">
        <f>E55</f>
        <v>216.5848</v>
      </c>
      <c r="N47" s="344">
        <f>L47/M47</f>
        <v>0.6319464708511402</v>
      </c>
      <c r="O47" s="446">
        <f>F55</f>
        <v>0.48657532086424515</v>
      </c>
      <c r="Q47" s="359" t="s">
        <v>13</v>
      </c>
      <c r="R47" s="323">
        <v>98.739999999999966</v>
      </c>
      <c r="S47" s="320">
        <v>136.87000000000003</v>
      </c>
      <c r="T47" s="190">
        <f>S47/R47-1</f>
        <v>0.38616568766457449</v>
      </c>
    </row>
    <row r="48" spans="1:20" x14ac:dyDescent="0.35">
      <c r="A48" s="11" t="s">
        <v>5</v>
      </c>
      <c r="B48" s="28">
        <v>100.14</v>
      </c>
      <c r="C48" s="28">
        <f>SUM(C49:C54)</f>
        <v>103.41</v>
      </c>
      <c r="D48" s="28">
        <v>36.387799999999999</v>
      </c>
      <c r="E48" s="28">
        <v>276.02539999999999</v>
      </c>
      <c r="F48" s="334">
        <f>IFERROR(B48/D48,"")</f>
        <v>2.7520212818582053</v>
      </c>
      <c r="G48" s="334">
        <f>IFERROR(C48/E48,"")</f>
        <v>0.37463943535631139</v>
      </c>
      <c r="H48" s="45">
        <f>IFERROR(C48-B48,"")</f>
        <v>3.269999999999996</v>
      </c>
      <c r="I48" s="23">
        <f>IFERROR((C48/B48)-1,"")</f>
        <v>3.2654284002396672E-2</v>
      </c>
      <c r="K48" s="359" t="s">
        <v>14</v>
      </c>
      <c r="L48" s="323">
        <f>C59</f>
        <v>443.97000000000014</v>
      </c>
      <c r="M48" s="320">
        <f>E59</f>
        <v>863.76559999999995</v>
      </c>
      <c r="N48" s="344">
        <f t="shared" ref="N48:N51" si="4">L48/M48</f>
        <v>0.51399361122971343</v>
      </c>
      <c r="O48" s="446">
        <f>F59</f>
        <v>0.50932036031426731</v>
      </c>
      <c r="Q48" s="359" t="s">
        <v>14</v>
      </c>
      <c r="R48" s="323">
        <v>420.49000000000007</v>
      </c>
      <c r="S48" s="320">
        <v>443.97000000000014</v>
      </c>
      <c r="T48" s="190">
        <f t="shared" ref="T48:T51" si="5">S48/R48-1</f>
        <v>5.5839615686461119E-2</v>
      </c>
    </row>
    <row r="49" spans="1:20" x14ac:dyDescent="0.35">
      <c r="A49" s="6" t="s">
        <v>6</v>
      </c>
      <c r="B49" s="12">
        <v>1.96</v>
      </c>
      <c r="C49" s="12">
        <v>1.96</v>
      </c>
      <c r="D49" s="12"/>
      <c r="E49" s="12"/>
      <c r="F49" s="12"/>
      <c r="G49" s="12"/>
      <c r="H49" s="12">
        <f t="shared" ref="H49:H69" si="6">IFERROR(C49-B49,"")</f>
        <v>0</v>
      </c>
      <c r="I49" s="24">
        <f t="shared" ref="I49:I69" si="7">IFERROR((C49/B49)-1,"")</f>
        <v>0</v>
      </c>
      <c r="K49" s="359" t="s">
        <v>18</v>
      </c>
      <c r="L49" s="323">
        <f>C65</f>
        <v>16.91</v>
      </c>
      <c r="M49" s="320">
        <f>E65</f>
        <v>60.749600000000001</v>
      </c>
      <c r="N49" s="344">
        <f t="shared" si="4"/>
        <v>0.27835574226003135</v>
      </c>
      <c r="O49" s="446">
        <f>F65</f>
        <v>0.15557614452763083</v>
      </c>
      <c r="Q49" s="359" t="s">
        <v>18</v>
      </c>
      <c r="R49" s="323">
        <v>17.899999999999999</v>
      </c>
      <c r="S49" s="320">
        <v>16.91</v>
      </c>
      <c r="T49" s="360">
        <f t="shared" si="5"/>
        <v>-5.5307262569832316E-2</v>
      </c>
    </row>
    <row r="50" spans="1:20" x14ac:dyDescent="0.35">
      <c r="A50" s="6" t="s">
        <v>7</v>
      </c>
      <c r="B50" s="12">
        <v>0.19</v>
      </c>
      <c r="C50" s="12">
        <v>3</v>
      </c>
      <c r="D50" s="12"/>
      <c r="E50" s="12"/>
      <c r="F50" s="12"/>
      <c r="G50" s="12"/>
      <c r="H50" s="12">
        <f t="shared" si="6"/>
        <v>2.81</v>
      </c>
      <c r="I50" s="24">
        <f t="shared" si="7"/>
        <v>14.789473684210526</v>
      </c>
      <c r="K50" s="359" t="s">
        <v>5</v>
      </c>
      <c r="L50" s="323">
        <f>C48</f>
        <v>103.41</v>
      </c>
      <c r="M50" s="320">
        <f>E48</f>
        <v>276.02539999999999</v>
      </c>
      <c r="N50" s="344">
        <f t="shared" si="4"/>
        <v>0.37463943535631139</v>
      </c>
      <c r="O50" s="446">
        <f>F48</f>
        <v>2.7520212818582053</v>
      </c>
      <c r="Q50" s="359" t="s">
        <v>5</v>
      </c>
      <c r="R50" s="323">
        <v>100.14</v>
      </c>
      <c r="S50" s="320">
        <v>103.41</v>
      </c>
      <c r="T50" s="190">
        <f t="shared" si="5"/>
        <v>3.2654284002396672E-2</v>
      </c>
    </row>
    <row r="51" spans="1:20" x14ac:dyDescent="0.35">
      <c r="A51" s="6" t="s">
        <v>8</v>
      </c>
      <c r="B51" s="12">
        <v>0.02</v>
      </c>
      <c r="C51" s="12"/>
      <c r="D51" s="12"/>
      <c r="E51" s="12"/>
      <c r="F51" s="12"/>
      <c r="G51" s="12"/>
      <c r="H51" s="12">
        <f t="shared" si="6"/>
        <v>-0.02</v>
      </c>
      <c r="I51" s="24">
        <f t="shared" si="7"/>
        <v>-1</v>
      </c>
      <c r="K51" s="359" t="s">
        <v>22</v>
      </c>
      <c r="L51" s="323">
        <f>C67</f>
        <v>72.670000000000016</v>
      </c>
      <c r="M51" s="320">
        <f>E67</f>
        <v>69.402799999999999</v>
      </c>
      <c r="N51" s="344">
        <f t="shared" si="4"/>
        <v>1.047075910481998</v>
      </c>
      <c r="O51" s="446">
        <f>F67</f>
        <v>1.5075164009080917</v>
      </c>
      <c r="Q51" s="359" t="s">
        <v>22</v>
      </c>
      <c r="R51" s="323">
        <v>78.29000000000002</v>
      </c>
      <c r="S51" s="320">
        <v>72.670000000000016</v>
      </c>
      <c r="T51" s="360">
        <f t="shared" si="5"/>
        <v>-7.178439136543624E-2</v>
      </c>
    </row>
    <row r="52" spans="1:20" x14ac:dyDescent="0.35">
      <c r="A52" s="6" t="s">
        <v>26</v>
      </c>
      <c r="B52" s="12">
        <v>0.88</v>
      </c>
      <c r="C52" s="12">
        <v>1.04</v>
      </c>
      <c r="D52" s="12"/>
      <c r="E52" s="12"/>
      <c r="F52" s="12"/>
      <c r="G52" s="12"/>
      <c r="H52" s="12">
        <f t="shared" si="6"/>
        <v>0.16000000000000003</v>
      </c>
      <c r="I52" s="24">
        <f t="shared" si="7"/>
        <v>0.18181818181818188</v>
      </c>
    </row>
    <row r="53" spans="1:20" x14ac:dyDescent="0.35">
      <c r="A53" s="6" t="s">
        <v>27</v>
      </c>
      <c r="B53" s="12">
        <v>93.06</v>
      </c>
      <c r="C53" s="12">
        <v>93.38</v>
      </c>
      <c r="D53" s="12"/>
      <c r="E53" s="12"/>
      <c r="F53" s="12"/>
      <c r="G53" s="12"/>
      <c r="H53" s="12">
        <f t="shared" si="6"/>
        <v>0.31999999999999318</v>
      </c>
      <c r="I53" s="24">
        <f t="shared" si="7"/>
        <v>3.438641736513981E-3</v>
      </c>
    </row>
    <row r="54" spans="1:20" x14ac:dyDescent="0.35">
      <c r="A54" s="6" t="s">
        <v>29</v>
      </c>
      <c r="B54" s="12">
        <v>4.03</v>
      </c>
      <c r="C54" s="12">
        <v>4.03</v>
      </c>
      <c r="D54" s="12"/>
      <c r="E54" s="12"/>
      <c r="F54" s="12"/>
      <c r="G54" s="12"/>
      <c r="H54" s="12">
        <f t="shared" si="6"/>
        <v>0</v>
      </c>
      <c r="I54" s="24">
        <f t="shared" si="7"/>
        <v>0</v>
      </c>
    </row>
    <row r="55" spans="1:20" x14ac:dyDescent="0.35">
      <c r="A55" s="11" t="s">
        <v>13</v>
      </c>
      <c r="B55" s="28">
        <v>98.739999999999966</v>
      </c>
      <c r="C55" s="28">
        <f>SUM(C56:C58)</f>
        <v>136.87000000000003</v>
      </c>
      <c r="D55" s="28">
        <v>202.92849999999999</v>
      </c>
      <c r="E55" s="28">
        <v>216.5848</v>
      </c>
      <c r="F55" s="334">
        <f>IFERROR(B55/D55,"")</f>
        <v>0.48657532086424515</v>
      </c>
      <c r="G55" s="334">
        <f>IFERROR(C55/E55,"")</f>
        <v>0.6319464708511402</v>
      </c>
      <c r="H55" s="28">
        <f t="shared" si="6"/>
        <v>38.130000000000067</v>
      </c>
      <c r="I55" s="23">
        <f t="shared" si="7"/>
        <v>0.38616568766457449</v>
      </c>
    </row>
    <row r="56" spans="1:20" x14ac:dyDescent="0.35">
      <c r="A56" s="6" t="s">
        <v>34</v>
      </c>
      <c r="B56" s="12">
        <v>20.719999999999995</v>
      </c>
      <c r="C56" s="12">
        <v>30.740000000000002</v>
      </c>
      <c r="D56" s="12"/>
      <c r="E56" s="12"/>
      <c r="F56" s="12"/>
      <c r="G56" s="12"/>
      <c r="H56" s="12">
        <f t="shared" si="6"/>
        <v>10.020000000000007</v>
      </c>
      <c r="I56" s="24">
        <f t="shared" si="7"/>
        <v>0.48359073359073412</v>
      </c>
    </row>
    <row r="57" spans="1:20" x14ac:dyDescent="0.35">
      <c r="A57" s="6" t="s">
        <v>61</v>
      </c>
      <c r="B57" s="12">
        <v>10.479999999999997</v>
      </c>
      <c r="C57" s="12">
        <v>16.329999999999998</v>
      </c>
      <c r="D57" s="12"/>
      <c r="E57" s="12"/>
      <c r="F57" s="12"/>
      <c r="G57" s="12"/>
      <c r="H57" s="12">
        <f t="shared" si="6"/>
        <v>5.8500000000000014</v>
      </c>
      <c r="I57" s="24">
        <f t="shared" si="7"/>
        <v>0.55820610687022931</v>
      </c>
    </row>
    <row r="58" spans="1:20" x14ac:dyDescent="0.35">
      <c r="A58" s="6" t="s">
        <v>36</v>
      </c>
      <c r="B58" s="12">
        <v>67.539999999999978</v>
      </c>
      <c r="C58" s="12">
        <v>89.80000000000004</v>
      </c>
      <c r="D58" s="12"/>
      <c r="E58" s="12"/>
      <c r="F58" s="12"/>
      <c r="G58" s="12"/>
      <c r="H58" s="12">
        <f t="shared" si="6"/>
        <v>22.260000000000062</v>
      </c>
      <c r="I58" s="24">
        <f t="shared" si="7"/>
        <v>0.32958246964761728</v>
      </c>
    </row>
    <row r="59" spans="1:20" x14ac:dyDescent="0.35">
      <c r="A59" s="11" t="s">
        <v>14</v>
      </c>
      <c r="B59" s="28">
        <v>420.49000000000007</v>
      </c>
      <c r="C59" s="28">
        <f>SUM(C60:C62)</f>
        <v>443.97000000000014</v>
      </c>
      <c r="D59" s="28">
        <v>825.59040000000005</v>
      </c>
      <c r="E59" s="28">
        <v>863.76559999999995</v>
      </c>
      <c r="F59" s="334">
        <f>IFERROR(B59/D59,"")</f>
        <v>0.50932036031426731</v>
      </c>
      <c r="G59" s="334">
        <f>IFERROR(C59/E59,"")</f>
        <v>0.51399361122971343</v>
      </c>
      <c r="H59" s="28">
        <f t="shared" si="6"/>
        <v>23.480000000000075</v>
      </c>
      <c r="I59" s="23">
        <f t="shared" si="7"/>
        <v>5.5839615686461119E-2</v>
      </c>
    </row>
    <row r="60" spans="1:20" x14ac:dyDescent="0.35">
      <c r="A60" s="6" t="s">
        <v>37</v>
      </c>
      <c r="B60" s="55">
        <v>0.71</v>
      </c>
      <c r="C60" s="55">
        <v>0.71</v>
      </c>
      <c r="D60" s="55"/>
      <c r="E60" s="55"/>
      <c r="F60" s="55"/>
      <c r="G60" s="55"/>
      <c r="H60" s="12">
        <f t="shared" si="6"/>
        <v>0</v>
      </c>
      <c r="I60" s="24">
        <f t="shared" si="7"/>
        <v>0</v>
      </c>
    </row>
    <row r="61" spans="1:20" x14ac:dyDescent="0.35">
      <c r="A61" s="6" t="s">
        <v>39</v>
      </c>
      <c r="B61" s="55">
        <v>0.77</v>
      </c>
      <c r="C61" s="55">
        <v>0.77</v>
      </c>
      <c r="D61" s="55"/>
      <c r="E61" s="55"/>
      <c r="F61" s="55"/>
      <c r="G61" s="55"/>
      <c r="H61" s="12">
        <f t="shared" si="6"/>
        <v>0</v>
      </c>
      <c r="I61" s="24">
        <f t="shared" si="7"/>
        <v>0</v>
      </c>
    </row>
    <row r="62" spans="1:20" x14ac:dyDescent="0.35">
      <c r="A62" s="6" t="s">
        <v>40</v>
      </c>
      <c r="B62" s="12">
        <v>419.01000000000005</v>
      </c>
      <c r="C62" s="12">
        <v>442.49000000000012</v>
      </c>
      <c r="D62" s="12"/>
      <c r="E62" s="12"/>
      <c r="F62" s="12"/>
      <c r="G62" s="12"/>
      <c r="H62" s="12">
        <f t="shared" si="6"/>
        <v>23.480000000000075</v>
      </c>
      <c r="I62" s="24">
        <f t="shared" si="7"/>
        <v>5.6036848762559544E-2</v>
      </c>
    </row>
    <row r="63" spans="1:20" x14ac:dyDescent="0.35">
      <c r="A63" s="11" t="s">
        <v>17</v>
      </c>
      <c r="B63" s="333">
        <v>0.39</v>
      </c>
      <c r="C63" s="28">
        <v>0.56999999999999995</v>
      </c>
      <c r="D63" s="28"/>
      <c r="E63" s="28"/>
      <c r="F63" s="334" t="str">
        <f>IFERROR(B63/D63,"")</f>
        <v/>
      </c>
      <c r="G63" s="334" t="str">
        <f>IFERROR(C63/E63,"")</f>
        <v/>
      </c>
      <c r="H63" s="28">
        <f t="shared" si="6"/>
        <v>0.17999999999999994</v>
      </c>
      <c r="I63" s="23">
        <f t="shared" si="7"/>
        <v>0.46153846153846145</v>
      </c>
    </row>
    <row r="64" spans="1:20" x14ac:dyDescent="0.35">
      <c r="A64" s="6" t="s">
        <v>56</v>
      </c>
      <c r="B64" s="55">
        <v>0.39</v>
      </c>
      <c r="C64" s="55">
        <v>0.56999999999999995</v>
      </c>
      <c r="D64" s="55"/>
      <c r="E64" s="55"/>
      <c r="F64" s="55"/>
      <c r="G64" s="55"/>
      <c r="H64" s="12">
        <f t="shared" si="6"/>
        <v>0.17999999999999994</v>
      </c>
      <c r="I64" s="24">
        <f t="shared" si="7"/>
        <v>0.46153846153846145</v>
      </c>
    </row>
    <row r="65" spans="1:9" x14ac:dyDescent="0.35">
      <c r="A65" s="11" t="s">
        <v>18</v>
      </c>
      <c r="B65" s="28">
        <v>17.899999999999999</v>
      </c>
      <c r="C65" s="28">
        <v>16.91</v>
      </c>
      <c r="D65" s="28">
        <v>115.0562</v>
      </c>
      <c r="E65" s="28">
        <v>60.749600000000001</v>
      </c>
      <c r="F65" s="334">
        <f>IFERROR(B65/D65,"")</f>
        <v>0.15557614452763083</v>
      </c>
      <c r="G65" s="334">
        <f>IFERROR(C65/E65,"")</f>
        <v>0.27835574226003135</v>
      </c>
      <c r="H65" s="28">
        <f t="shared" si="6"/>
        <v>-0.98999999999999844</v>
      </c>
      <c r="I65" s="23">
        <f t="shared" si="7"/>
        <v>-5.5307262569832316E-2</v>
      </c>
    </row>
    <row r="66" spans="1:9" x14ac:dyDescent="0.35">
      <c r="A66" s="6" t="s">
        <v>18</v>
      </c>
      <c r="B66" s="12">
        <v>17.899999999999999</v>
      </c>
      <c r="C66" s="12">
        <v>16.91</v>
      </c>
      <c r="D66" s="12"/>
      <c r="E66" s="12"/>
      <c r="F66" s="12"/>
      <c r="G66" s="12"/>
      <c r="H66" s="12">
        <f t="shared" si="6"/>
        <v>-0.98999999999999844</v>
      </c>
      <c r="I66" s="24">
        <f t="shared" si="7"/>
        <v>-5.5307262569832316E-2</v>
      </c>
    </row>
    <row r="67" spans="1:9" x14ac:dyDescent="0.35">
      <c r="A67" s="11" t="s">
        <v>22</v>
      </c>
      <c r="B67" s="28">
        <v>78.29000000000002</v>
      </c>
      <c r="C67" s="28">
        <v>72.670000000000016</v>
      </c>
      <c r="D67" s="28">
        <v>51.933100000000003</v>
      </c>
      <c r="E67" s="28">
        <v>69.402799999999999</v>
      </c>
      <c r="F67" s="334">
        <f>IFERROR(B67/D67,"")</f>
        <v>1.5075164009080917</v>
      </c>
      <c r="G67" s="334">
        <f>IFERROR(C67/E67,"")</f>
        <v>1.047075910481998</v>
      </c>
      <c r="H67" s="68">
        <f t="shared" si="6"/>
        <v>-5.6200000000000045</v>
      </c>
      <c r="I67" s="69">
        <f t="shared" si="7"/>
        <v>-7.178439136543624E-2</v>
      </c>
    </row>
    <row r="68" spans="1:9" x14ac:dyDescent="0.35">
      <c r="A68" s="6" t="s">
        <v>22</v>
      </c>
      <c r="B68" s="12">
        <v>78.29000000000002</v>
      </c>
      <c r="C68" s="12">
        <v>72.670000000000016</v>
      </c>
      <c r="D68" s="12"/>
      <c r="E68" s="12"/>
      <c r="F68" s="12"/>
      <c r="G68" s="12"/>
      <c r="H68" s="12">
        <f t="shared" si="6"/>
        <v>-5.6200000000000045</v>
      </c>
      <c r="I68" s="24">
        <f t="shared" si="7"/>
        <v>-7.178439136543624E-2</v>
      </c>
    </row>
    <row r="69" spans="1:9" x14ac:dyDescent="0.35">
      <c r="A69" s="52" t="s">
        <v>25</v>
      </c>
      <c r="B69" s="67">
        <v>715.95</v>
      </c>
      <c r="C69" s="67">
        <f>SUM(C48,C55,C59,C63,C65,C67)</f>
        <v>774.40000000000032</v>
      </c>
      <c r="D69" s="67">
        <v>1231.896</v>
      </c>
      <c r="E69" s="67">
        <v>1486.5282</v>
      </c>
      <c r="F69" s="335">
        <f>IFERROR(B69/D69,"")</f>
        <v>0.58117730717528104</v>
      </c>
      <c r="G69" s="335">
        <f>IFERROR(C69/E69,"")</f>
        <v>0.52094538132542678</v>
      </c>
      <c r="H69" s="29">
        <f t="shared" si="6"/>
        <v>58.450000000000273</v>
      </c>
      <c r="I69" s="30">
        <f t="shared" si="7"/>
        <v>8.1639779314198302E-2</v>
      </c>
    </row>
    <row r="70" spans="1:9" x14ac:dyDescent="0.35">
      <c r="A70" t="s">
        <v>234</v>
      </c>
    </row>
  </sheetData>
  <mergeCells count="12">
    <mergeCell ref="C5:D5"/>
    <mergeCell ref="C6:D6"/>
    <mergeCell ref="A11:A12"/>
    <mergeCell ref="B11:C11"/>
    <mergeCell ref="H11:I11"/>
    <mergeCell ref="A46:A47"/>
    <mergeCell ref="B46:C46"/>
    <mergeCell ref="H46:I46"/>
    <mergeCell ref="D11:E11"/>
    <mergeCell ref="F11:G11"/>
    <mergeCell ref="D46:E46"/>
    <mergeCell ref="F46:G46"/>
  </mergeCells>
  <phoneticPr fontId="75" type="noConversion"/>
  <conditionalFormatting sqref="I48">
    <cfRule type="cellIs" dxfId="118" priority="11" operator="lessThan">
      <formula>0</formula>
    </cfRule>
  </conditionalFormatting>
  <conditionalFormatting sqref="H49:H69">
    <cfRule type="cellIs" dxfId="117" priority="10" operator="lessThan">
      <formula>0</formula>
    </cfRule>
  </conditionalFormatting>
  <conditionalFormatting sqref="I49:I69">
    <cfRule type="cellIs" dxfId="116" priority="9" operator="lessThan">
      <formula>0</formula>
    </cfRule>
  </conditionalFormatting>
  <conditionalFormatting sqref="H13">
    <cfRule type="cellIs" dxfId="115" priority="8" operator="lessThan">
      <formula>0</formula>
    </cfRule>
  </conditionalFormatting>
  <conditionalFormatting sqref="I13">
    <cfRule type="cellIs" dxfId="114" priority="7" operator="lessThan">
      <formula>0</formula>
    </cfRule>
  </conditionalFormatting>
  <conditionalFormatting sqref="H14:H39">
    <cfRule type="cellIs" dxfId="113" priority="6" operator="lessThan">
      <formula>0</formula>
    </cfRule>
  </conditionalFormatting>
  <conditionalFormatting sqref="I14:I39">
    <cfRule type="cellIs" dxfId="112" priority="5" operator="lessThan">
      <formula>0</formula>
    </cfRule>
  </conditionalFormatting>
  <conditionalFormatting sqref="L12:M16">
    <cfRule type="cellIs" dxfId="111" priority="4" operator="lessThan">
      <formula>0</formula>
    </cfRule>
  </conditionalFormatting>
  <conditionalFormatting sqref="R12:S16">
    <cfRule type="cellIs" dxfId="110" priority="3" operator="lessThan">
      <formula>0</formula>
    </cfRule>
  </conditionalFormatting>
  <conditionalFormatting sqref="L47:M51">
    <cfRule type="cellIs" dxfId="109" priority="2" operator="lessThan">
      <formula>0</formula>
    </cfRule>
  </conditionalFormatting>
  <conditionalFormatting sqref="R47:S51">
    <cfRule type="cellIs" dxfId="108" priority="1" operator="lessThan">
      <formula>0</formula>
    </cfRule>
  </conditionalFormatting>
  <hyperlinks>
    <hyperlink ref="B1" r:id="rId1" xr:uid="{00000000-0004-0000-0500-000000000000}"/>
    <hyperlink ref="O1" location="ÍNDICE!A1" display="ÍNDICE!A1" xr:uid="{00000000-0004-0000-0500-000001000000}"/>
    <hyperlink ref="C2" r:id="rId2" xr:uid="{00000000-0004-0000-0500-000002000000}"/>
    <hyperlink ref="C5" location="'PIS-REPR'!A7" display="ECOLÓGICO + CONVENCIONAL" xr:uid="{00000000-0004-0000-0500-000003000000}"/>
    <hyperlink ref="C6" location="'PIS-REPR'!A105" display="ECOLÓGICO + CONVENCIONAL" xr:uid="{00000000-0004-0000-0500-000004000000}"/>
    <hyperlink ref="C5:D5" location="'ALG-REPR'!A7" display="ECOLÓGICO + CONVENCIONAL" xr:uid="{00000000-0004-0000-0500-000005000000}"/>
    <hyperlink ref="C6:D6" location="'ALG-REPR'!A44" display="ECOLÓGICO + CONVENCIONAL" xr:uid="{00000000-0004-0000-0500-000006000000}"/>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80"/>
  <sheetViews>
    <sheetView workbookViewId="0"/>
  </sheetViews>
  <sheetFormatPr baseColWidth="10" defaultRowHeight="14.5" x14ac:dyDescent="0.35"/>
  <cols>
    <col min="1" max="1" width="21.54296875" bestFit="1" customWidth="1"/>
    <col min="3" max="7" width="11" customWidth="1"/>
    <col min="8" max="8" width="13" bestFit="1" customWidth="1"/>
    <col min="9" max="9" width="11.81640625" customWidth="1"/>
    <col min="11" max="11" width="15.54296875" customWidth="1"/>
    <col min="14" max="14" width="17.1796875" customWidth="1"/>
    <col min="15" max="15" width="16.453125" customWidth="1"/>
    <col min="16" max="16" width="14.81640625" customWidth="1"/>
  </cols>
  <sheetData>
    <row r="1" spans="1:20" x14ac:dyDescent="0.35">
      <c r="A1" s="240" t="s">
        <v>10</v>
      </c>
      <c r="B1" s="306" t="s">
        <v>222</v>
      </c>
      <c r="C1" s="305"/>
      <c r="D1" s="3"/>
      <c r="E1" s="3"/>
      <c r="F1" s="3"/>
      <c r="G1" s="3"/>
      <c r="H1" s="3"/>
      <c r="K1" s="286" t="s">
        <v>143</v>
      </c>
      <c r="L1" s="2" t="s">
        <v>144</v>
      </c>
    </row>
    <row r="2" spans="1:20" x14ac:dyDescent="0.35">
      <c r="B2" s="304" t="s">
        <v>221</v>
      </c>
    </row>
    <row r="8" spans="1:20" ht="15" customHeight="1" x14ac:dyDescent="0.35">
      <c r="A8" s="367" t="s">
        <v>85</v>
      </c>
      <c r="C8" s="220"/>
      <c r="D8" s="220"/>
      <c r="E8" s="220"/>
      <c r="F8" s="220"/>
      <c r="G8" s="220"/>
      <c r="H8" s="220"/>
    </row>
    <row r="9" spans="1:20" x14ac:dyDescent="0.35">
      <c r="K9" s="364" t="s">
        <v>225</v>
      </c>
      <c r="O9" s="342"/>
      <c r="Q9" s="364" t="s">
        <v>227</v>
      </c>
      <c r="R9" s="342"/>
      <c r="S9" s="342"/>
      <c r="T9" s="342"/>
    </row>
    <row r="10" spans="1:20" ht="43" customHeight="1" x14ac:dyDescent="0.35">
      <c r="A10" s="694" t="s">
        <v>0</v>
      </c>
      <c r="B10" s="696" t="s">
        <v>1</v>
      </c>
      <c r="C10" s="697"/>
      <c r="D10" s="693" t="s">
        <v>217</v>
      </c>
      <c r="E10" s="693"/>
      <c r="F10" s="693" t="s">
        <v>218</v>
      </c>
      <c r="G10" s="693"/>
      <c r="H10" s="696" t="s">
        <v>2</v>
      </c>
      <c r="I10" s="697"/>
      <c r="K10" s="342"/>
      <c r="L10" s="363" t="s">
        <v>228</v>
      </c>
      <c r="M10" s="363" t="s">
        <v>229</v>
      </c>
      <c r="N10" s="363" t="s">
        <v>282</v>
      </c>
      <c r="O10" s="445" t="s">
        <v>285</v>
      </c>
      <c r="Q10" s="342"/>
      <c r="R10" s="363" t="s">
        <v>226</v>
      </c>
      <c r="S10" s="363" t="s">
        <v>250</v>
      </c>
      <c r="T10" s="363" t="s">
        <v>247</v>
      </c>
    </row>
    <row r="11" spans="1:20" x14ac:dyDescent="0.35">
      <c r="A11" s="695"/>
      <c r="B11" s="362">
        <v>2020</v>
      </c>
      <c r="C11" s="362">
        <v>2021</v>
      </c>
      <c r="D11" s="362">
        <v>2020</v>
      </c>
      <c r="E11" s="362">
        <v>2021</v>
      </c>
      <c r="F11" s="362">
        <v>2020</v>
      </c>
      <c r="G11" s="362">
        <v>2021</v>
      </c>
      <c r="H11" s="362" t="s">
        <v>3</v>
      </c>
      <c r="I11" s="362" t="s">
        <v>4</v>
      </c>
      <c r="K11" s="471" t="s">
        <v>17</v>
      </c>
      <c r="L11" s="455">
        <f>C54</f>
        <v>2479.64</v>
      </c>
      <c r="M11" s="455">
        <f>E54</f>
        <v>2220</v>
      </c>
      <c r="N11" s="472">
        <f>L11/M11</f>
        <v>1.1169549549549549</v>
      </c>
      <c r="O11" s="460">
        <f>F54</f>
        <v>1.0136145610278373</v>
      </c>
      <c r="Q11" s="368" t="s">
        <v>17</v>
      </c>
      <c r="R11" s="323">
        <v>2366.79</v>
      </c>
      <c r="S11" s="320">
        <v>2479.64</v>
      </c>
      <c r="T11" s="318">
        <f>S11/R11-1</f>
        <v>4.7680613827166818E-2</v>
      </c>
    </row>
    <row r="12" spans="1:20" x14ac:dyDescent="0.35">
      <c r="A12" s="310" t="s">
        <v>5</v>
      </c>
      <c r="B12" s="311">
        <f>SUM(B13:B20)</f>
        <v>1332.3400000000001</v>
      </c>
      <c r="C12" s="311">
        <f>SUM(C13:C20)</f>
        <v>1055.6200000000001</v>
      </c>
      <c r="D12" s="311">
        <v>2382</v>
      </c>
      <c r="E12" s="311">
        <v>2450</v>
      </c>
      <c r="F12" s="312">
        <f>IFERROR(B12/D12,"")</f>
        <v>0.55933669185558366</v>
      </c>
      <c r="G12" s="312">
        <f>IFERROR(C12/E12,"")</f>
        <v>0.43086530612244905</v>
      </c>
      <c r="H12" s="311">
        <f t="shared" ref="H12:H75" si="0">IFERROR(C12-B12,"")</f>
        <v>-276.72000000000003</v>
      </c>
      <c r="I12" s="312">
        <f t="shared" ref="I12:I75" si="1">IFERROR((C12/B12)-1,"")</f>
        <v>-0.20769473257576898</v>
      </c>
      <c r="K12" s="471" t="s">
        <v>15</v>
      </c>
      <c r="L12" s="455">
        <f>C41</f>
        <v>1914.63</v>
      </c>
      <c r="M12" s="455">
        <f>E41</f>
        <v>1883</v>
      </c>
      <c r="N12" s="472">
        <f t="shared" ref="N12:N17" si="2">L12/M12</f>
        <v>1.0167976633032396</v>
      </c>
      <c r="O12" s="460">
        <f>F41</f>
        <v>1.0130862068965518</v>
      </c>
      <c r="Q12" s="368" t="s">
        <v>15</v>
      </c>
      <c r="R12" s="323">
        <v>1762.77</v>
      </c>
      <c r="S12" s="320">
        <v>1914.63</v>
      </c>
      <c r="T12" s="318">
        <f t="shared" ref="T12:T17" si="3">S12/R12-1</f>
        <v>8.6148504909886237E-2</v>
      </c>
    </row>
    <row r="13" spans="1:20" x14ac:dyDescent="0.35">
      <c r="A13" s="6" t="s">
        <v>6</v>
      </c>
      <c r="B13" s="12">
        <v>6.580000000000001</v>
      </c>
      <c r="C13" s="12">
        <v>10.01</v>
      </c>
      <c r="D13" s="12">
        <v>90</v>
      </c>
      <c r="E13" s="12">
        <v>92</v>
      </c>
      <c r="F13" s="22">
        <f>IFERROR(B13/D13,"")</f>
        <v>7.3111111111111127E-2</v>
      </c>
      <c r="G13" s="22">
        <f>IFERROR(C13/E13,"")</f>
        <v>0.10880434782608696</v>
      </c>
      <c r="H13" s="89">
        <f t="shared" si="0"/>
        <v>3.4299999999999988</v>
      </c>
      <c r="I13" s="48">
        <f t="shared" si="1"/>
        <v>0.52127659574468055</v>
      </c>
      <c r="K13" s="471" t="s">
        <v>5</v>
      </c>
      <c r="L13" s="455">
        <f>C12</f>
        <v>1055.6200000000001</v>
      </c>
      <c r="M13" s="455">
        <f>E12</f>
        <v>2450</v>
      </c>
      <c r="N13" s="472">
        <f t="shared" si="2"/>
        <v>0.43086530612244905</v>
      </c>
      <c r="O13" s="460">
        <f>F12</f>
        <v>0.55933669185558366</v>
      </c>
      <c r="Q13" s="368" t="s">
        <v>5</v>
      </c>
      <c r="R13" s="323">
        <v>1332.3400000000001</v>
      </c>
      <c r="S13" s="320">
        <v>1055.6200000000001</v>
      </c>
      <c r="T13" s="353">
        <f t="shared" si="3"/>
        <v>-0.20769473257576898</v>
      </c>
    </row>
    <row r="14" spans="1:20" x14ac:dyDescent="0.35">
      <c r="A14" s="6" t="s">
        <v>7</v>
      </c>
      <c r="B14" s="12">
        <v>11.3</v>
      </c>
      <c r="C14" s="12">
        <v>10.91</v>
      </c>
      <c r="D14" s="12">
        <v>13</v>
      </c>
      <c r="E14" s="12">
        <v>13</v>
      </c>
      <c r="F14" s="22">
        <f t="shared" ref="F14:F20" si="4">IFERROR(B14/D14,"")</f>
        <v>0.86923076923076925</v>
      </c>
      <c r="G14" s="22">
        <f t="shared" ref="G14:G20" si="5">IFERROR(C14/E14,"")</f>
        <v>0.83923076923076922</v>
      </c>
      <c r="H14" s="89">
        <f t="shared" si="0"/>
        <v>-0.39000000000000057</v>
      </c>
      <c r="I14" s="48">
        <f t="shared" si="1"/>
        <v>-3.4513274336283262E-2</v>
      </c>
      <c r="K14" s="471" t="s">
        <v>14</v>
      </c>
      <c r="L14" s="455">
        <f>C49</f>
        <v>1137.23</v>
      </c>
      <c r="M14" s="455">
        <f>E49</f>
        <v>1187</v>
      </c>
      <c r="N14" s="472">
        <f t="shared" si="2"/>
        <v>0.9580707666385847</v>
      </c>
      <c r="O14" s="460">
        <f>F49</f>
        <v>1.0342054433713783</v>
      </c>
      <c r="Q14" s="368" t="s">
        <v>14</v>
      </c>
      <c r="R14" s="323">
        <v>1177.9599999999998</v>
      </c>
      <c r="S14" s="320">
        <v>1137.23</v>
      </c>
      <c r="T14" s="353">
        <f t="shared" si="3"/>
        <v>-3.4576725865054669E-2</v>
      </c>
    </row>
    <row r="15" spans="1:20" x14ac:dyDescent="0.35">
      <c r="A15" s="5" t="s">
        <v>8</v>
      </c>
      <c r="B15" s="207">
        <v>361.66</v>
      </c>
      <c r="C15" s="207">
        <v>51.160000000000004</v>
      </c>
      <c r="D15" s="12">
        <v>362</v>
      </c>
      <c r="E15" s="207">
        <v>362</v>
      </c>
      <c r="F15" s="22">
        <f t="shared" si="4"/>
        <v>0.99906077348066302</v>
      </c>
      <c r="G15" s="22">
        <f t="shared" si="5"/>
        <v>0.14132596685082874</v>
      </c>
      <c r="H15" s="89">
        <f t="shared" si="0"/>
        <v>-310.5</v>
      </c>
      <c r="I15" s="48">
        <f t="shared" si="1"/>
        <v>-0.85854117126582974</v>
      </c>
      <c r="K15" s="471" t="s">
        <v>12</v>
      </c>
      <c r="L15" s="455">
        <f>C21</f>
        <v>1280.2299999999998</v>
      </c>
      <c r="M15" s="455">
        <f>E21</f>
        <v>1310</v>
      </c>
      <c r="N15" s="472">
        <f t="shared" si="2"/>
        <v>0.97727480916030518</v>
      </c>
      <c r="O15" s="460">
        <f>F21</f>
        <v>1.0266729147141516</v>
      </c>
      <c r="Q15" s="368" t="s">
        <v>12</v>
      </c>
      <c r="R15" s="323">
        <v>1095.4599999999998</v>
      </c>
      <c r="S15" s="320">
        <v>1280.2299999999998</v>
      </c>
      <c r="T15" s="318">
        <f t="shared" si="3"/>
        <v>0.16866886969857409</v>
      </c>
    </row>
    <row r="16" spans="1:20" x14ac:dyDescent="0.35">
      <c r="A16" s="6" t="s">
        <v>26</v>
      </c>
      <c r="B16" s="12">
        <v>424.74000000000029</v>
      </c>
      <c r="C16" s="12">
        <v>396.09000000000015</v>
      </c>
      <c r="D16" s="12">
        <v>901</v>
      </c>
      <c r="E16" s="12">
        <v>926</v>
      </c>
      <c r="F16" s="22">
        <f t="shared" si="4"/>
        <v>0.47140954495005583</v>
      </c>
      <c r="G16" s="22">
        <f t="shared" si="5"/>
        <v>0.42774298056155524</v>
      </c>
      <c r="H16" s="89">
        <f t="shared" si="0"/>
        <v>-28.650000000000148</v>
      </c>
      <c r="I16" s="48">
        <f t="shared" si="1"/>
        <v>-6.7453030088995947E-2</v>
      </c>
      <c r="K16" s="471" t="s">
        <v>13</v>
      </c>
      <c r="L16" s="455">
        <f>C27</f>
        <v>743.1400000000001</v>
      </c>
      <c r="M16" s="455">
        <f>E27</f>
        <v>1119</v>
      </c>
      <c r="N16" s="472">
        <f t="shared" si="2"/>
        <v>0.66411081322609478</v>
      </c>
      <c r="O16" s="460">
        <f>F27</f>
        <v>0.62866258741258751</v>
      </c>
      <c r="Q16" s="368" t="s">
        <v>13</v>
      </c>
      <c r="R16" s="323">
        <v>719.19</v>
      </c>
      <c r="S16" s="320">
        <v>743.1400000000001</v>
      </c>
      <c r="T16" s="318">
        <f t="shared" si="3"/>
        <v>3.3301352910913629E-2</v>
      </c>
    </row>
    <row r="17" spans="1:20" x14ac:dyDescent="0.35">
      <c r="A17" s="6" t="s">
        <v>27</v>
      </c>
      <c r="B17" s="12">
        <v>19.28</v>
      </c>
      <c r="C17" s="12">
        <v>19.28</v>
      </c>
      <c r="D17" s="12">
        <v>20</v>
      </c>
      <c r="E17" s="12">
        <v>24</v>
      </c>
      <c r="F17" s="22">
        <f t="shared" si="4"/>
        <v>0.96400000000000008</v>
      </c>
      <c r="G17" s="22">
        <f t="shared" si="5"/>
        <v>0.80333333333333334</v>
      </c>
      <c r="H17" s="89">
        <f t="shared" si="0"/>
        <v>0</v>
      </c>
      <c r="I17" s="48">
        <f t="shared" si="1"/>
        <v>0</v>
      </c>
      <c r="K17" s="471" t="s">
        <v>231</v>
      </c>
      <c r="L17" s="455">
        <f>C31</f>
        <v>574.71</v>
      </c>
      <c r="M17" s="455">
        <f>E31</f>
        <v>790</v>
      </c>
      <c r="N17" s="472">
        <f t="shared" si="2"/>
        <v>0.72748101265822784</v>
      </c>
      <c r="O17" s="460">
        <f>F31</f>
        <v>0.72016551724137934</v>
      </c>
      <c r="Q17" s="368" t="s">
        <v>231</v>
      </c>
      <c r="R17" s="323">
        <v>522.12</v>
      </c>
      <c r="S17" s="320">
        <v>574.71</v>
      </c>
      <c r="T17" s="318">
        <f t="shared" si="3"/>
        <v>0.10072397150080437</v>
      </c>
    </row>
    <row r="18" spans="1:20" x14ac:dyDescent="0.35">
      <c r="A18" s="6" t="s">
        <v>28</v>
      </c>
      <c r="B18" s="12">
        <v>87.509999999999977</v>
      </c>
      <c r="C18" s="12">
        <v>92.929999999999993</v>
      </c>
      <c r="D18" s="12">
        <v>175</v>
      </c>
      <c r="E18" s="12">
        <v>171</v>
      </c>
      <c r="F18" s="22">
        <f t="shared" si="4"/>
        <v>0.50005714285714276</v>
      </c>
      <c r="G18" s="22">
        <f t="shared" si="5"/>
        <v>0.54345029239766074</v>
      </c>
      <c r="H18" s="89">
        <f t="shared" si="0"/>
        <v>5.4200000000000159</v>
      </c>
      <c r="I18" s="48">
        <f t="shared" si="1"/>
        <v>6.1935778768140937E-2</v>
      </c>
    </row>
    <row r="19" spans="1:20" x14ac:dyDescent="0.35">
      <c r="A19" s="6" t="s">
        <v>29</v>
      </c>
      <c r="B19" s="12">
        <v>300.45999999999998</v>
      </c>
      <c r="C19" s="12">
        <v>312.23000000000008</v>
      </c>
      <c r="D19" s="12">
        <v>698</v>
      </c>
      <c r="E19" s="12">
        <v>698</v>
      </c>
      <c r="F19" s="22">
        <f t="shared" si="4"/>
        <v>0.43045845272206301</v>
      </c>
      <c r="G19" s="22">
        <f t="shared" si="5"/>
        <v>0.44732091690544423</v>
      </c>
      <c r="H19" s="89">
        <f t="shared" si="0"/>
        <v>11.770000000000095</v>
      </c>
      <c r="I19" s="48">
        <f t="shared" si="1"/>
        <v>3.9173267656260613E-2</v>
      </c>
    </row>
    <row r="20" spans="1:20" x14ac:dyDescent="0.35">
      <c r="A20" s="6" t="s">
        <v>30</v>
      </c>
      <c r="B20" s="12">
        <v>120.80999999999999</v>
      </c>
      <c r="C20" s="12">
        <v>163.01</v>
      </c>
      <c r="D20" s="12">
        <v>123</v>
      </c>
      <c r="E20" s="12">
        <v>164</v>
      </c>
      <c r="F20" s="22">
        <f t="shared" si="4"/>
        <v>0.98219512195121939</v>
      </c>
      <c r="G20" s="22">
        <f t="shared" si="5"/>
        <v>0.99396341463414628</v>
      </c>
      <c r="H20" s="89">
        <f t="shared" si="0"/>
        <v>42.2</v>
      </c>
      <c r="I20" s="48">
        <f t="shared" si="1"/>
        <v>0.34930883205032703</v>
      </c>
    </row>
    <row r="21" spans="1:20" x14ac:dyDescent="0.35">
      <c r="A21" s="310" t="s">
        <v>12</v>
      </c>
      <c r="B21" s="311">
        <f>SUM(B22:B24)</f>
        <v>1095.4599999999998</v>
      </c>
      <c r="C21" s="311">
        <f>SUM(C22:C24)</f>
        <v>1280.2299999999998</v>
      </c>
      <c r="D21" s="311">
        <v>1067</v>
      </c>
      <c r="E21" s="311">
        <v>1310</v>
      </c>
      <c r="F21" s="312">
        <f>IFERROR(B21/D21,"")</f>
        <v>1.0266729147141516</v>
      </c>
      <c r="G21" s="312">
        <f>IFERROR(C21/E21,"")</f>
        <v>0.97727480916030518</v>
      </c>
      <c r="H21" s="311">
        <f t="shared" si="0"/>
        <v>184.76999999999998</v>
      </c>
      <c r="I21" s="312">
        <f t="shared" si="1"/>
        <v>0.16866886969857409</v>
      </c>
    </row>
    <row r="22" spans="1:20" x14ac:dyDescent="0.35">
      <c r="A22" s="6" t="s">
        <v>31</v>
      </c>
      <c r="B22" s="12">
        <v>699.40999999999974</v>
      </c>
      <c r="C22" s="12">
        <v>798.88999999999976</v>
      </c>
      <c r="D22" s="12">
        <v>652</v>
      </c>
      <c r="E22" s="12">
        <v>800</v>
      </c>
      <c r="F22" s="22">
        <f t="shared" ref="F22:F78" si="6">IFERROR(B22/D22,"")</f>
        <v>1.0727147239263799</v>
      </c>
      <c r="G22" s="22">
        <f t="shared" ref="G22:G78" si="7">IFERROR(C22/E22,"")</f>
        <v>0.99861249999999968</v>
      </c>
      <c r="H22" s="89">
        <f t="shared" si="0"/>
        <v>99.480000000000018</v>
      </c>
      <c r="I22" s="48">
        <f t="shared" si="1"/>
        <v>0.14223416879941664</v>
      </c>
    </row>
    <row r="23" spans="1:20" x14ac:dyDescent="0.35">
      <c r="A23" s="6" t="s">
        <v>32</v>
      </c>
      <c r="B23" s="12">
        <v>136.45000000000002</v>
      </c>
      <c r="C23" s="12">
        <v>152.36000000000001</v>
      </c>
      <c r="D23" s="12">
        <v>155</v>
      </c>
      <c r="E23" s="12">
        <v>182</v>
      </c>
      <c r="F23" s="22">
        <f t="shared" si="6"/>
        <v>0.88032258064516145</v>
      </c>
      <c r="G23" s="22">
        <f t="shared" si="7"/>
        <v>0.83714285714285719</v>
      </c>
      <c r="H23" s="89">
        <f t="shared" si="0"/>
        <v>15.909999999999997</v>
      </c>
      <c r="I23" s="48">
        <f t="shared" si="1"/>
        <v>0.11659948699157185</v>
      </c>
    </row>
    <row r="24" spans="1:20" x14ac:dyDescent="0.35">
      <c r="A24" s="6" t="s">
        <v>33</v>
      </c>
      <c r="B24" s="12">
        <v>259.59999999999997</v>
      </c>
      <c r="C24" s="12">
        <v>328.98</v>
      </c>
      <c r="D24" s="12">
        <v>260</v>
      </c>
      <c r="E24" s="12">
        <v>328</v>
      </c>
      <c r="F24" s="22">
        <f t="shared" si="6"/>
        <v>0.99846153846153829</v>
      </c>
      <c r="G24" s="22">
        <f t="shared" si="7"/>
        <v>1.0029878048780487</v>
      </c>
      <c r="H24" s="89">
        <f t="shared" si="0"/>
        <v>69.380000000000052</v>
      </c>
      <c r="I24" s="48">
        <f t="shared" si="1"/>
        <v>0.26725731895223448</v>
      </c>
    </row>
    <row r="25" spans="1:20" x14ac:dyDescent="0.35">
      <c r="A25" s="310" t="s">
        <v>69</v>
      </c>
      <c r="B25" s="311">
        <f>B26</f>
        <v>0.12</v>
      </c>
      <c r="C25" s="311">
        <v>2.2800000000000002</v>
      </c>
      <c r="D25" s="311"/>
      <c r="E25" s="311">
        <v>22</v>
      </c>
      <c r="F25" s="312" t="str">
        <f>IFERROR(B25/D25,"")</f>
        <v/>
      </c>
      <c r="G25" s="312">
        <f>IFERROR(C25/E25,"")</f>
        <v>0.10363636363636365</v>
      </c>
      <c r="H25" s="311">
        <f t="shared" si="0"/>
        <v>2.16</v>
      </c>
      <c r="I25" s="312">
        <f t="shared" si="1"/>
        <v>18.000000000000004</v>
      </c>
    </row>
    <row r="26" spans="1:20" x14ac:dyDescent="0.35">
      <c r="A26" s="6" t="s">
        <v>69</v>
      </c>
      <c r="B26" s="12">
        <v>0.12</v>
      </c>
      <c r="C26" s="12">
        <v>2.2800000000000002</v>
      </c>
      <c r="D26" s="12"/>
      <c r="E26" s="12">
        <v>22</v>
      </c>
      <c r="F26" s="22" t="str">
        <f t="shared" si="6"/>
        <v/>
      </c>
      <c r="G26" s="22">
        <f t="shared" si="7"/>
        <v>0.10363636363636365</v>
      </c>
      <c r="H26" s="89">
        <f t="shared" si="0"/>
        <v>2.16</v>
      </c>
      <c r="I26" s="48">
        <f t="shared" si="1"/>
        <v>18.000000000000004</v>
      </c>
    </row>
    <row r="27" spans="1:20" x14ac:dyDescent="0.35">
      <c r="A27" s="310" t="s">
        <v>13</v>
      </c>
      <c r="B27" s="311">
        <f>SUM(B28:B30)</f>
        <v>719.19</v>
      </c>
      <c r="C27" s="311">
        <f>SUM(C28:C30)</f>
        <v>743.1400000000001</v>
      </c>
      <c r="D27" s="311">
        <v>1144</v>
      </c>
      <c r="E27" s="311">
        <v>1119</v>
      </c>
      <c r="F27" s="312">
        <f>IFERROR(B27/D27,"")</f>
        <v>0.62866258741258751</v>
      </c>
      <c r="G27" s="312">
        <f>IFERROR(C27/E27,"")</f>
        <v>0.66411081322609478</v>
      </c>
      <c r="H27" s="311">
        <f t="shared" si="0"/>
        <v>23.950000000000045</v>
      </c>
      <c r="I27" s="312">
        <f t="shared" si="1"/>
        <v>3.3301352910913629E-2</v>
      </c>
    </row>
    <row r="28" spans="1:20" x14ac:dyDescent="0.35">
      <c r="A28" s="6" t="s">
        <v>34</v>
      </c>
      <c r="B28" s="12">
        <v>31.789999999999996</v>
      </c>
      <c r="C28" s="12">
        <v>37.019999999999996</v>
      </c>
      <c r="D28" s="12">
        <v>98</v>
      </c>
      <c r="E28" s="12">
        <v>98</v>
      </c>
      <c r="F28" s="22">
        <f t="shared" si="6"/>
        <v>0.32438775510204076</v>
      </c>
      <c r="G28" s="22">
        <f t="shared" si="7"/>
        <v>0.3777551020408163</v>
      </c>
      <c r="H28" s="89">
        <f t="shared" si="0"/>
        <v>5.23</v>
      </c>
      <c r="I28" s="48">
        <f t="shared" si="1"/>
        <v>0.1645171437558981</v>
      </c>
    </row>
    <row r="29" spans="1:20" x14ac:dyDescent="0.35">
      <c r="A29" s="6" t="s">
        <v>61</v>
      </c>
      <c r="B29" s="12">
        <v>148.6700000000001</v>
      </c>
      <c r="C29" s="12">
        <v>148.62000000000006</v>
      </c>
      <c r="D29" s="12">
        <v>358</v>
      </c>
      <c r="E29" s="12">
        <v>348</v>
      </c>
      <c r="F29" s="22">
        <f t="shared" si="6"/>
        <v>0.41527932960893882</v>
      </c>
      <c r="G29" s="22">
        <f t="shared" si="7"/>
        <v>0.42706896551724155</v>
      </c>
      <c r="H29" s="90">
        <f t="shared" si="0"/>
        <v>-5.000000000003979E-2</v>
      </c>
      <c r="I29" s="91">
        <f t="shared" si="1"/>
        <v>-3.3631532925293417E-4</v>
      </c>
    </row>
    <row r="30" spans="1:20" x14ac:dyDescent="0.35">
      <c r="A30" s="6" t="s">
        <v>36</v>
      </c>
      <c r="B30" s="12">
        <v>538.73</v>
      </c>
      <c r="C30" s="12">
        <v>557.50000000000011</v>
      </c>
      <c r="D30" s="12">
        <v>688</v>
      </c>
      <c r="E30" s="12">
        <v>673</v>
      </c>
      <c r="F30" s="22">
        <f t="shared" si="6"/>
        <v>0.78303779069767443</v>
      </c>
      <c r="G30" s="22">
        <f t="shared" si="7"/>
        <v>0.82838038632986644</v>
      </c>
      <c r="H30" s="89">
        <f t="shared" si="0"/>
        <v>18.770000000000095</v>
      </c>
      <c r="I30" s="48">
        <f t="shared" si="1"/>
        <v>3.4841200601414712E-2</v>
      </c>
    </row>
    <row r="31" spans="1:20" x14ac:dyDescent="0.35">
      <c r="A31" s="310" t="s">
        <v>16</v>
      </c>
      <c r="B31" s="311">
        <f>SUM(B32:B40)</f>
        <v>522.12</v>
      </c>
      <c r="C31" s="311">
        <f>SUM(C32:C40)</f>
        <v>574.71</v>
      </c>
      <c r="D31" s="311">
        <v>725</v>
      </c>
      <c r="E31" s="311">
        <v>790</v>
      </c>
      <c r="F31" s="312">
        <f>IFERROR(B31/D31,"")</f>
        <v>0.72016551724137934</v>
      </c>
      <c r="G31" s="312">
        <f>IFERROR(C31/E31,"")</f>
        <v>0.72748101265822784</v>
      </c>
      <c r="H31" s="311">
        <f t="shared" si="0"/>
        <v>52.590000000000032</v>
      </c>
      <c r="I31" s="312">
        <f t="shared" si="1"/>
        <v>0.10072397150080437</v>
      </c>
    </row>
    <row r="32" spans="1:20" x14ac:dyDescent="0.35">
      <c r="A32" s="6" t="s">
        <v>46</v>
      </c>
      <c r="B32" s="12">
        <v>3.33</v>
      </c>
      <c r="C32" s="12">
        <v>3.58</v>
      </c>
      <c r="D32" s="12">
        <v>5</v>
      </c>
      <c r="E32" s="12">
        <v>5</v>
      </c>
      <c r="F32" s="22">
        <f t="shared" si="6"/>
        <v>0.66600000000000004</v>
      </c>
      <c r="G32" s="22">
        <f t="shared" si="7"/>
        <v>0.71599999999999997</v>
      </c>
      <c r="H32" s="89">
        <f t="shared" si="0"/>
        <v>0.25</v>
      </c>
      <c r="I32" s="48">
        <f t="shared" si="1"/>
        <v>7.5075075075075048E-2</v>
      </c>
    </row>
    <row r="33" spans="1:9" x14ac:dyDescent="0.35">
      <c r="A33" s="6" t="s">
        <v>47</v>
      </c>
      <c r="B33" s="12">
        <v>196.06000000000006</v>
      </c>
      <c r="C33" s="12">
        <v>186.32999999999998</v>
      </c>
      <c r="D33" s="12">
        <v>343</v>
      </c>
      <c r="E33" s="12">
        <v>346</v>
      </c>
      <c r="F33" s="22">
        <f t="shared" si="6"/>
        <v>0.57160349854227421</v>
      </c>
      <c r="G33" s="22">
        <f t="shared" si="7"/>
        <v>0.53852601156069357</v>
      </c>
      <c r="H33" s="89">
        <f t="shared" si="0"/>
        <v>-9.730000000000075</v>
      </c>
      <c r="I33" s="48">
        <f t="shared" si="1"/>
        <v>-4.9627665000510413E-2</v>
      </c>
    </row>
    <row r="34" spans="1:9" x14ac:dyDescent="0.35">
      <c r="A34" s="6" t="s">
        <v>48</v>
      </c>
      <c r="B34" s="12">
        <v>33.440000000000005</v>
      </c>
      <c r="C34" s="12">
        <v>38.080000000000005</v>
      </c>
      <c r="D34" s="12">
        <v>44</v>
      </c>
      <c r="E34" s="12">
        <v>48</v>
      </c>
      <c r="F34" s="22">
        <f t="shared" si="6"/>
        <v>0.76000000000000012</v>
      </c>
      <c r="G34" s="22">
        <f t="shared" si="7"/>
        <v>0.79333333333333345</v>
      </c>
      <c r="H34" s="89">
        <f t="shared" si="0"/>
        <v>4.6400000000000006</v>
      </c>
      <c r="I34" s="48">
        <f t="shared" si="1"/>
        <v>0.13875598086124397</v>
      </c>
    </row>
    <row r="35" spans="1:9" x14ac:dyDescent="0.35">
      <c r="A35" s="6" t="s">
        <v>49</v>
      </c>
      <c r="B35" s="12">
        <v>18.28</v>
      </c>
      <c r="C35" s="12">
        <v>23.070000000000004</v>
      </c>
      <c r="D35" s="12">
        <v>18</v>
      </c>
      <c r="E35" s="12">
        <v>23</v>
      </c>
      <c r="F35" s="22">
        <f t="shared" si="6"/>
        <v>1.0155555555555555</v>
      </c>
      <c r="G35" s="22">
        <f t="shared" si="7"/>
        <v>1.0030434782608697</v>
      </c>
      <c r="H35" s="89">
        <f t="shared" si="0"/>
        <v>4.7900000000000027</v>
      </c>
      <c r="I35" s="48">
        <f t="shared" si="1"/>
        <v>0.26203501094091908</v>
      </c>
    </row>
    <row r="36" spans="1:9" x14ac:dyDescent="0.35">
      <c r="A36" s="6" t="s">
        <v>50</v>
      </c>
      <c r="B36" s="12">
        <v>2.6199999999999997</v>
      </c>
      <c r="C36" s="12">
        <v>5.8900000000000006</v>
      </c>
      <c r="D36" s="12">
        <v>15</v>
      </c>
      <c r="E36" s="12">
        <v>15</v>
      </c>
      <c r="F36" s="22">
        <f t="shared" si="6"/>
        <v>0.17466666666666664</v>
      </c>
      <c r="G36" s="22">
        <f t="shared" si="7"/>
        <v>0.39266666666666672</v>
      </c>
      <c r="H36" s="89">
        <f t="shared" si="0"/>
        <v>3.2700000000000009</v>
      </c>
      <c r="I36" s="48">
        <f t="shared" si="1"/>
        <v>1.2480916030534357</v>
      </c>
    </row>
    <row r="37" spans="1:9" x14ac:dyDescent="0.35">
      <c r="A37" s="6" t="s">
        <v>51</v>
      </c>
      <c r="B37" s="12">
        <v>1.54</v>
      </c>
      <c r="C37" s="12">
        <v>1.54</v>
      </c>
      <c r="D37" s="12">
        <v>1</v>
      </c>
      <c r="E37" s="12">
        <v>1</v>
      </c>
      <c r="F37" s="22">
        <f t="shared" si="6"/>
        <v>1.54</v>
      </c>
      <c r="G37" s="22">
        <f t="shared" si="7"/>
        <v>1.54</v>
      </c>
      <c r="H37" s="89">
        <f t="shared" si="0"/>
        <v>0</v>
      </c>
      <c r="I37" s="48">
        <f t="shared" si="1"/>
        <v>0</v>
      </c>
    </row>
    <row r="38" spans="1:9" x14ac:dyDescent="0.35">
      <c r="A38" s="6" t="s">
        <v>52</v>
      </c>
      <c r="B38" s="12">
        <v>5.6800000000000006</v>
      </c>
      <c r="C38" s="12">
        <v>5.410000000000001</v>
      </c>
      <c r="D38" s="12">
        <v>7</v>
      </c>
      <c r="E38" s="12">
        <v>6</v>
      </c>
      <c r="F38" s="22">
        <f t="shared" si="6"/>
        <v>0.8114285714285715</v>
      </c>
      <c r="G38" s="22">
        <f t="shared" si="7"/>
        <v>0.90166666666666684</v>
      </c>
      <c r="H38" s="89">
        <f t="shared" si="0"/>
        <v>-0.26999999999999957</v>
      </c>
      <c r="I38" s="48">
        <f t="shared" si="1"/>
        <v>-4.7535211267605515E-2</v>
      </c>
    </row>
    <row r="39" spans="1:9" x14ac:dyDescent="0.35">
      <c r="A39" s="6" t="s">
        <v>53</v>
      </c>
      <c r="B39" s="12">
        <v>212.26</v>
      </c>
      <c r="C39" s="12">
        <v>217.71999999999994</v>
      </c>
      <c r="D39" s="12">
        <v>245</v>
      </c>
      <c r="E39" s="12">
        <v>253</v>
      </c>
      <c r="F39" s="22">
        <f t="shared" si="6"/>
        <v>0.86636734693877548</v>
      </c>
      <c r="G39" s="22">
        <f t="shared" si="7"/>
        <v>0.86055335968379421</v>
      </c>
      <c r="H39" s="89">
        <f t="shared" si="0"/>
        <v>5.4599999999999511</v>
      </c>
      <c r="I39" s="48">
        <f t="shared" si="1"/>
        <v>2.5723169697540627E-2</v>
      </c>
    </row>
    <row r="40" spans="1:9" x14ac:dyDescent="0.35">
      <c r="A40" s="6" t="s">
        <v>54</v>
      </c>
      <c r="B40" s="12">
        <v>48.909999999999989</v>
      </c>
      <c r="C40" s="12">
        <v>93.090000000000018</v>
      </c>
      <c r="D40" s="12">
        <v>47</v>
      </c>
      <c r="E40" s="12">
        <v>93</v>
      </c>
      <c r="F40" s="22">
        <f t="shared" si="6"/>
        <v>1.0406382978723403</v>
      </c>
      <c r="G40" s="22">
        <f t="shared" si="7"/>
        <v>1.0009677419354841</v>
      </c>
      <c r="H40" s="89">
        <f t="shared" si="0"/>
        <v>44.180000000000028</v>
      </c>
      <c r="I40" s="48">
        <f t="shared" si="1"/>
        <v>0.90329176037620185</v>
      </c>
    </row>
    <row r="41" spans="1:9" x14ac:dyDescent="0.35">
      <c r="A41" s="310" t="s">
        <v>15</v>
      </c>
      <c r="B41" s="311">
        <f>SUM(B42:B46)</f>
        <v>1762.77</v>
      </c>
      <c r="C41" s="311">
        <f>SUM(C42:C46)</f>
        <v>1914.63</v>
      </c>
      <c r="D41" s="311">
        <v>1740</v>
      </c>
      <c r="E41" s="311">
        <v>1883</v>
      </c>
      <c r="F41" s="312">
        <f>IFERROR(B41/D41,"")</f>
        <v>1.0130862068965518</v>
      </c>
      <c r="G41" s="312">
        <f>IFERROR(C41/E41,"")</f>
        <v>1.0167976633032396</v>
      </c>
      <c r="H41" s="311">
        <f t="shared" si="0"/>
        <v>151.86000000000013</v>
      </c>
      <c r="I41" s="312">
        <f t="shared" si="1"/>
        <v>8.6148504909886237E-2</v>
      </c>
    </row>
    <row r="42" spans="1:9" x14ac:dyDescent="0.35">
      <c r="A42" s="6" t="s">
        <v>41</v>
      </c>
      <c r="B42" s="12">
        <v>906.14999999999975</v>
      </c>
      <c r="C42" s="12">
        <v>983.82000000000016</v>
      </c>
      <c r="D42" s="12">
        <v>906</v>
      </c>
      <c r="E42" s="12">
        <v>984</v>
      </c>
      <c r="F42" s="22">
        <f t="shared" si="6"/>
        <v>1.000165562913907</v>
      </c>
      <c r="G42" s="22">
        <f t="shared" si="7"/>
        <v>0.99981707317073187</v>
      </c>
      <c r="H42" s="89">
        <f t="shared" si="0"/>
        <v>77.670000000000414</v>
      </c>
      <c r="I42" s="48">
        <f t="shared" si="1"/>
        <v>8.5714285714286298E-2</v>
      </c>
    </row>
    <row r="43" spans="1:9" x14ac:dyDescent="0.35">
      <c r="A43" s="6" t="s">
        <v>42</v>
      </c>
      <c r="B43" s="12">
        <v>221.56000000000003</v>
      </c>
      <c r="C43" s="12">
        <v>262.94</v>
      </c>
      <c r="D43" s="12">
        <v>222</v>
      </c>
      <c r="E43" s="12">
        <v>257</v>
      </c>
      <c r="F43" s="22">
        <f t="shared" si="6"/>
        <v>0.99801801801801815</v>
      </c>
      <c r="G43" s="22">
        <f t="shared" si="7"/>
        <v>1.0231128404669261</v>
      </c>
      <c r="H43" s="89">
        <f t="shared" si="0"/>
        <v>41.379999999999967</v>
      </c>
      <c r="I43" s="48">
        <f t="shared" si="1"/>
        <v>0.18676656436179795</v>
      </c>
    </row>
    <row r="44" spans="1:9" x14ac:dyDescent="0.35">
      <c r="A44" s="6" t="s">
        <v>43</v>
      </c>
      <c r="B44" s="12">
        <v>254.84000000000015</v>
      </c>
      <c r="C44" s="12">
        <v>255.95999999999992</v>
      </c>
      <c r="D44" s="12">
        <v>255</v>
      </c>
      <c r="E44" s="12">
        <v>258</v>
      </c>
      <c r="F44" s="22">
        <f t="shared" si="6"/>
        <v>0.99937254901960837</v>
      </c>
      <c r="G44" s="22">
        <f t="shared" si="7"/>
        <v>0.99209302325581361</v>
      </c>
      <c r="H44" s="89">
        <f t="shared" si="0"/>
        <v>1.1199999999997772</v>
      </c>
      <c r="I44" s="48">
        <f t="shared" si="1"/>
        <v>4.3949144561283848E-3</v>
      </c>
    </row>
    <row r="45" spans="1:9" x14ac:dyDescent="0.35">
      <c r="A45" s="6" t="s">
        <v>44</v>
      </c>
      <c r="B45" s="12">
        <v>52.899999999999984</v>
      </c>
      <c r="C45" s="12">
        <v>64.789999999999992</v>
      </c>
      <c r="D45" s="12">
        <v>53</v>
      </c>
      <c r="E45" s="12">
        <v>65</v>
      </c>
      <c r="F45" s="22">
        <f t="shared" si="6"/>
        <v>0.99811320754716948</v>
      </c>
      <c r="G45" s="22">
        <f t="shared" si="7"/>
        <v>0.99676923076923063</v>
      </c>
      <c r="H45" s="89">
        <f t="shared" si="0"/>
        <v>11.890000000000008</v>
      </c>
      <c r="I45" s="48">
        <f t="shared" si="1"/>
        <v>0.22476370510396992</v>
      </c>
    </row>
    <row r="46" spans="1:9" x14ac:dyDescent="0.35">
      <c r="A46" s="6" t="s">
        <v>45</v>
      </c>
      <c r="B46" s="12">
        <v>327.32</v>
      </c>
      <c r="C46" s="12">
        <v>347.12</v>
      </c>
      <c r="D46" s="12">
        <v>304</v>
      </c>
      <c r="E46" s="12">
        <v>319</v>
      </c>
      <c r="F46" s="22">
        <f t="shared" si="6"/>
        <v>1.0767105263157895</v>
      </c>
      <c r="G46" s="22">
        <f t="shared" si="7"/>
        <v>1.0881504702194358</v>
      </c>
      <c r="H46" s="89">
        <f t="shared" si="0"/>
        <v>19.800000000000011</v>
      </c>
      <c r="I46" s="48">
        <f t="shared" si="1"/>
        <v>6.0491262373212784E-2</v>
      </c>
    </row>
    <row r="47" spans="1:9" x14ac:dyDescent="0.35">
      <c r="A47" s="310" t="s">
        <v>70</v>
      </c>
      <c r="B47" s="311">
        <f>B48</f>
        <v>7.99</v>
      </c>
      <c r="C47" s="311">
        <v>7.7500000000000009</v>
      </c>
      <c r="D47" s="311">
        <v>15</v>
      </c>
      <c r="E47" s="311">
        <v>21</v>
      </c>
      <c r="F47" s="312">
        <f>IFERROR(B47/D47,"")</f>
        <v>0.53266666666666673</v>
      </c>
      <c r="G47" s="312">
        <f>IFERROR(C47/E47,"")</f>
        <v>0.36904761904761907</v>
      </c>
      <c r="H47" s="311">
        <f t="shared" si="0"/>
        <v>-0.23999999999999932</v>
      </c>
      <c r="I47" s="312">
        <f t="shared" si="1"/>
        <v>-3.0037546933667003E-2</v>
      </c>
    </row>
    <row r="48" spans="1:9" x14ac:dyDescent="0.35">
      <c r="A48" s="6" t="s">
        <v>70</v>
      </c>
      <c r="B48" s="12">
        <v>7.99</v>
      </c>
      <c r="C48" s="12">
        <v>7.7500000000000009</v>
      </c>
      <c r="D48" s="12">
        <v>15</v>
      </c>
      <c r="E48" s="12">
        <v>21</v>
      </c>
      <c r="F48" s="22">
        <f t="shared" si="6"/>
        <v>0.53266666666666673</v>
      </c>
      <c r="G48" s="22">
        <f t="shared" si="7"/>
        <v>0.36904761904761907</v>
      </c>
      <c r="H48" s="89">
        <f t="shared" si="0"/>
        <v>-0.23999999999999932</v>
      </c>
      <c r="I48" s="48">
        <f t="shared" si="1"/>
        <v>-3.0037546933667003E-2</v>
      </c>
    </row>
    <row r="49" spans="1:9" x14ac:dyDescent="0.35">
      <c r="A49" s="310" t="s">
        <v>14</v>
      </c>
      <c r="B49" s="311">
        <f>SUM(B50:B53)</f>
        <v>1177.9599999999998</v>
      </c>
      <c r="C49" s="311">
        <f>SUM(C50:C53)</f>
        <v>1137.23</v>
      </c>
      <c r="D49" s="311">
        <v>1139</v>
      </c>
      <c r="E49" s="311">
        <v>1187</v>
      </c>
      <c r="F49" s="312">
        <f>IFERROR(B49/D49,"")</f>
        <v>1.0342054433713783</v>
      </c>
      <c r="G49" s="312">
        <f>IFERROR(C49/E49,"")</f>
        <v>0.9580707666385847</v>
      </c>
      <c r="H49" s="311">
        <f t="shared" si="0"/>
        <v>-40.729999999999791</v>
      </c>
      <c r="I49" s="312">
        <f t="shared" si="1"/>
        <v>-3.4576725865054669E-2</v>
      </c>
    </row>
    <row r="50" spans="1:9" x14ac:dyDescent="0.35">
      <c r="A50" s="6" t="s">
        <v>37</v>
      </c>
      <c r="B50" s="12">
        <v>108.63999999999996</v>
      </c>
      <c r="C50" s="12">
        <v>104.74</v>
      </c>
      <c r="D50" s="12">
        <v>108</v>
      </c>
      <c r="E50" s="12">
        <v>106</v>
      </c>
      <c r="F50" s="22">
        <f t="shared" si="6"/>
        <v>1.0059259259259254</v>
      </c>
      <c r="G50" s="22">
        <f t="shared" si="7"/>
        <v>0.9881132075471698</v>
      </c>
      <c r="H50" s="89">
        <f t="shared" si="0"/>
        <v>-3.8999999999999631</v>
      </c>
      <c r="I50" s="48">
        <f t="shared" si="1"/>
        <v>-3.5898379970544569E-2</v>
      </c>
    </row>
    <row r="51" spans="1:9" x14ac:dyDescent="0.35">
      <c r="A51" s="6" t="s">
        <v>38</v>
      </c>
      <c r="B51" s="12">
        <v>226.99000000000007</v>
      </c>
      <c r="C51" s="12">
        <v>214.94</v>
      </c>
      <c r="D51" s="12">
        <v>234</v>
      </c>
      <c r="E51" s="12">
        <v>225</v>
      </c>
      <c r="F51" s="22">
        <f t="shared" si="6"/>
        <v>0.9700427350427353</v>
      </c>
      <c r="G51" s="22">
        <f t="shared" si="7"/>
        <v>0.95528888888888885</v>
      </c>
      <c r="H51" s="89">
        <f t="shared" si="0"/>
        <v>-12.050000000000068</v>
      </c>
      <c r="I51" s="48">
        <f t="shared" si="1"/>
        <v>-5.308603903255682E-2</v>
      </c>
    </row>
    <row r="52" spans="1:9" x14ac:dyDescent="0.35">
      <c r="A52" s="6" t="s">
        <v>39</v>
      </c>
      <c r="B52" s="12">
        <v>601.78999999999974</v>
      </c>
      <c r="C52" s="12">
        <v>566.78</v>
      </c>
      <c r="D52" s="12">
        <v>536</v>
      </c>
      <c r="E52" s="12">
        <v>591</v>
      </c>
      <c r="F52" s="22">
        <f t="shared" si="6"/>
        <v>1.1227425373134323</v>
      </c>
      <c r="G52" s="22">
        <f t="shared" si="7"/>
        <v>0.9590186125211505</v>
      </c>
      <c r="H52" s="89">
        <f t="shared" si="0"/>
        <v>-35.009999999999764</v>
      </c>
      <c r="I52" s="48">
        <f t="shared" si="1"/>
        <v>-5.8176440286478281E-2</v>
      </c>
    </row>
    <row r="53" spans="1:9" x14ac:dyDescent="0.35">
      <c r="A53" s="6" t="s">
        <v>40</v>
      </c>
      <c r="B53" s="12">
        <v>240.54</v>
      </c>
      <c r="C53" s="12">
        <v>250.77</v>
      </c>
      <c r="D53" s="12">
        <v>261</v>
      </c>
      <c r="E53" s="12">
        <v>265</v>
      </c>
      <c r="F53" s="22">
        <f t="shared" si="6"/>
        <v>0.9216091954022988</v>
      </c>
      <c r="G53" s="22">
        <f t="shared" si="7"/>
        <v>0.94630188679245286</v>
      </c>
      <c r="H53" s="89">
        <f t="shared" si="0"/>
        <v>10.230000000000018</v>
      </c>
      <c r="I53" s="48">
        <f t="shared" si="1"/>
        <v>4.2529309054627262E-2</v>
      </c>
    </row>
    <row r="54" spans="1:9" x14ac:dyDescent="0.35">
      <c r="A54" s="310" t="s">
        <v>17</v>
      </c>
      <c r="B54" s="311">
        <f>SUM(B55:B56)</f>
        <v>2366.79</v>
      </c>
      <c r="C54" s="311">
        <f>SUM(C55:C56)</f>
        <v>2479.64</v>
      </c>
      <c r="D54" s="311">
        <v>2335</v>
      </c>
      <c r="E54" s="311">
        <v>2220</v>
      </c>
      <c r="F54" s="312">
        <f>IFERROR(B54/D54,"")</f>
        <v>1.0136145610278373</v>
      </c>
      <c r="G54" s="312">
        <f>IFERROR(C54/E54,"")</f>
        <v>1.1169549549549549</v>
      </c>
      <c r="H54" s="311">
        <f t="shared" si="0"/>
        <v>112.84999999999991</v>
      </c>
      <c r="I54" s="312">
        <f t="shared" si="1"/>
        <v>4.7680613827166818E-2</v>
      </c>
    </row>
    <row r="55" spans="1:9" x14ac:dyDescent="0.35">
      <c r="A55" s="6" t="s">
        <v>55</v>
      </c>
      <c r="B55" s="12">
        <v>992.69</v>
      </c>
      <c r="C55" s="12">
        <v>1013.9500000000002</v>
      </c>
      <c r="D55" s="12">
        <v>985</v>
      </c>
      <c r="E55" s="12">
        <v>973</v>
      </c>
      <c r="F55" s="22">
        <f t="shared" si="6"/>
        <v>1.0078071065989849</v>
      </c>
      <c r="G55" s="22">
        <f t="shared" si="7"/>
        <v>1.0420863309352519</v>
      </c>
      <c r="H55" s="89">
        <f t="shared" si="0"/>
        <v>21.260000000000105</v>
      </c>
      <c r="I55" s="48">
        <f t="shared" si="1"/>
        <v>2.1416555017175654E-2</v>
      </c>
    </row>
    <row r="56" spans="1:9" x14ac:dyDescent="0.35">
      <c r="A56" s="6" t="s">
        <v>56</v>
      </c>
      <c r="B56" s="12">
        <v>1374.0999999999997</v>
      </c>
      <c r="C56" s="12">
        <v>1465.6899999999998</v>
      </c>
      <c r="D56" s="12">
        <v>1350</v>
      </c>
      <c r="E56" s="12">
        <v>1247</v>
      </c>
      <c r="F56" s="22">
        <f t="shared" si="6"/>
        <v>1.0178518518518516</v>
      </c>
      <c r="G56" s="22">
        <f t="shared" si="7"/>
        <v>1.1753728949478748</v>
      </c>
      <c r="H56" s="89">
        <f t="shared" si="0"/>
        <v>91.590000000000146</v>
      </c>
      <c r="I56" s="48">
        <f t="shared" si="1"/>
        <v>6.6654537515464796E-2</v>
      </c>
    </row>
    <row r="57" spans="1:9" x14ac:dyDescent="0.35">
      <c r="A57" s="310" t="s">
        <v>64</v>
      </c>
      <c r="B57" s="311">
        <f>SUM(B58:B61)</f>
        <v>20.81</v>
      </c>
      <c r="C57" s="311">
        <f>SUM(C58:C61)</f>
        <v>52.46</v>
      </c>
      <c r="D57" s="311">
        <v>573</v>
      </c>
      <c r="E57" s="311">
        <v>564</v>
      </c>
      <c r="F57" s="312">
        <f>IFERROR(B57/D57,"")</f>
        <v>3.631762652705061E-2</v>
      </c>
      <c r="G57" s="312">
        <f>IFERROR(C57/E57,"")</f>
        <v>9.3014184397163122E-2</v>
      </c>
      <c r="H57" s="311">
        <f t="shared" si="0"/>
        <v>31.650000000000002</v>
      </c>
      <c r="I57" s="312">
        <f t="shared" si="1"/>
        <v>1.5209034118212399</v>
      </c>
    </row>
    <row r="58" spans="1:9" x14ac:dyDescent="0.35">
      <c r="A58" s="6" t="s">
        <v>71</v>
      </c>
      <c r="B58" s="12">
        <v>2.7100000000000004</v>
      </c>
      <c r="C58" s="12">
        <v>32.64</v>
      </c>
      <c r="D58" s="12">
        <v>135</v>
      </c>
      <c r="E58" s="12">
        <v>129</v>
      </c>
      <c r="F58" s="22">
        <f t="shared" si="6"/>
        <v>2.0074074074074078E-2</v>
      </c>
      <c r="G58" s="22">
        <f t="shared" si="7"/>
        <v>0.25302325581395352</v>
      </c>
      <c r="H58" s="89">
        <f t="shared" si="0"/>
        <v>29.93</v>
      </c>
      <c r="I58" s="48">
        <f t="shared" si="1"/>
        <v>11.044280442804427</v>
      </c>
    </row>
    <row r="59" spans="1:9" x14ac:dyDescent="0.35">
      <c r="A59" s="6" t="s">
        <v>65</v>
      </c>
      <c r="B59" s="12">
        <v>14.360000000000001</v>
      </c>
      <c r="C59" s="12">
        <v>14.03</v>
      </c>
      <c r="D59" s="12">
        <v>261</v>
      </c>
      <c r="E59" s="12">
        <v>246</v>
      </c>
      <c r="F59" s="22">
        <f t="shared" si="6"/>
        <v>5.5019157088122612E-2</v>
      </c>
      <c r="G59" s="22">
        <f t="shared" si="7"/>
        <v>5.7032520325203249E-2</v>
      </c>
      <c r="H59" s="89">
        <f t="shared" si="0"/>
        <v>-0.33000000000000185</v>
      </c>
      <c r="I59" s="48">
        <f t="shared" si="1"/>
        <v>-2.2980501392757757E-2</v>
      </c>
    </row>
    <row r="60" spans="1:9" x14ac:dyDescent="0.35">
      <c r="A60" s="6" t="s">
        <v>66</v>
      </c>
      <c r="B60" s="12">
        <v>1.06</v>
      </c>
      <c r="C60" s="12">
        <v>2.1799999999999997</v>
      </c>
      <c r="D60" s="12">
        <v>140</v>
      </c>
      <c r="E60" s="12">
        <v>149</v>
      </c>
      <c r="F60" s="22">
        <f t="shared" si="6"/>
        <v>7.5714285714285718E-3</v>
      </c>
      <c r="G60" s="22">
        <f t="shared" si="7"/>
        <v>1.4630872483221475E-2</v>
      </c>
      <c r="H60" s="89">
        <f t="shared" si="0"/>
        <v>1.1199999999999997</v>
      </c>
      <c r="I60" s="48">
        <f t="shared" si="1"/>
        <v>1.0566037735849054</v>
      </c>
    </row>
    <row r="61" spans="1:9" x14ac:dyDescent="0.35">
      <c r="A61" s="6" t="s">
        <v>72</v>
      </c>
      <c r="B61" s="12">
        <v>2.6799999999999997</v>
      </c>
      <c r="C61" s="12">
        <v>3.61</v>
      </c>
      <c r="D61" s="12">
        <v>37</v>
      </c>
      <c r="E61" s="12">
        <v>40</v>
      </c>
      <c r="F61" s="22">
        <f t="shared" si="6"/>
        <v>7.2432432432432428E-2</v>
      </c>
      <c r="G61" s="22">
        <f t="shared" si="7"/>
        <v>9.0249999999999997E-2</v>
      </c>
      <c r="H61" s="89">
        <f t="shared" si="0"/>
        <v>0.93000000000000016</v>
      </c>
      <c r="I61" s="48">
        <f t="shared" si="1"/>
        <v>0.3470149253731345</v>
      </c>
    </row>
    <row r="62" spans="1:9" x14ac:dyDescent="0.35">
      <c r="A62" s="310" t="s">
        <v>86</v>
      </c>
      <c r="B62" s="311">
        <f>B63</f>
        <v>2.94</v>
      </c>
      <c r="C62" s="311">
        <v>2.2000000000000002</v>
      </c>
      <c r="D62" s="311">
        <v>11</v>
      </c>
      <c r="E62" s="311">
        <v>11</v>
      </c>
      <c r="F62" s="312">
        <f>IFERROR(B62/D62,"")</f>
        <v>0.26727272727272727</v>
      </c>
      <c r="G62" s="312">
        <f>IFERROR(C62/E62,"")</f>
        <v>0.2</v>
      </c>
      <c r="H62" s="311">
        <f t="shared" si="0"/>
        <v>-0.73999999999999977</v>
      </c>
      <c r="I62" s="312">
        <f t="shared" si="1"/>
        <v>-0.25170068027210879</v>
      </c>
    </row>
    <row r="63" spans="1:9" x14ac:dyDescent="0.35">
      <c r="A63" s="6" t="s">
        <v>18</v>
      </c>
      <c r="B63" s="12">
        <v>2.94</v>
      </c>
      <c r="C63" s="12">
        <v>2.2000000000000002</v>
      </c>
      <c r="D63" s="12">
        <v>11</v>
      </c>
      <c r="E63" s="12">
        <v>11</v>
      </c>
      <c r="F63" s="22">
        <f t="shared" si="6"/>
        <v>0.26727272727272727</v>
      </c>
      <c r="G63" s="22">
        <f t="shared" si="7"/>
        <v>0.2</v>
      </c>
      <c r="H63" s="89">
        <f t="shared" si="0"/>
        <v>-0.73999999999999977</v>
      </c>
      <c r="I63" s="48">
        <f t="shared" si="1"/>
        <v>-0.25170068027210879</v>
      </c>
    </row>
    <row r="64" spans="1:9" x14ac:dyDescent="0.35">
      <c r="A64" s="310" t="s">
        <v>19</v>
      </c>
      <c r="B64" s="311"/>
      <c r="C64" s="311"/>
      <c r="D64" s="311">
        <v>9</v>
      </c>
      <c r="E64" s="311">
        <v>9</v>
      </c>
      <c r="F64" s="312">
        <f>IFERROR(B64/D64,"")</f>
        <v>0</v>
      </c>
      <c r="G64" s="312">
        <f>IFERROR(C64/E64,"")</f>
        <v>0</v>
      </c>
      <c r="H64" s="311"/>
      <c r="I64" s="312"/>
    </row>
    <row r="65" spans="1:9" x14ac:dyDescent="0.35">
      <c r="A65" s="6" t="s">
        <v>57</v>
      </c>
      <c r="B65" s="12"/>
      <c r="C65" s="12"/>
      <c r="D65" s="12">
        <v>8</v>
      </c>
      <c r="E65" s="12">
        <v>8</v>
      </c>
      <c r="F65" s="22">
        <f t="shared" si="6"/>
        <v>0</v>
      </c>
      <c r="G65" s="22">
        <f t="shared" si="7"/>
        <v>0</v>
      </c>
      <c r="H65" s="89"/>
      <c r="I65" s="48" t="str">
        <f t="shared" si="1"/>
        <v/>
      </c>
    </row>
    <row r="66" spans="1:9" x14ac:dyDescent="0.35">
      <c r="A66" s="6" t="s">
        <v>62</v>
      </c>
      <c r="B66" s="12"/>
      <c r="C66" s="12"/>
      <c r="D66" s="12">
        <v>1</v>
      </c>
      <c r="E66" s="12">
        <v>1</v>
      </c>
      <c r="F66" s="22">
        <f t="shared" si="6"/>
        <v>0</v>
      </c>
      <c r="G66" s="22">
        <f t="shared" si="7"/>
        <v>0</v>
      </c>
      <c r="H66" s="89"/>
      <c r="I66" s="48" t="str">
        <f t="shared" si="1"/>
        <v/>
      </c>
    </row>
    <row r="67" spans="1:9" x14ac:dyDescent="0.35">
      <c r="A67" s="310" t="s">
        <v>20</v>
      </c>
      <c r="B67" s="311">
        <f>B68</f>
        <v>169.71000000000004</v>
      </c>
      <c r="C67" s="311">
        <v>183.31999999999991</v>
      </c>
      <c r="D67" s="311">
        <v>449</v>
      </c>
      <c r="E67" s="311">
        <v>461</v>
      </c>
      <c r="F67" s="312">
        <f>IFERROR(B67/D67,"")</f>
        <v>0.37797327394209362</v>
      </c>
      <c r="G67" s="312">
        <f>IFERROR(C67/E67,"")</f>
        <v>0.39765726681127961</v>
      </c>
      <c r="H67" s="311">
        <f t="shared" si="0"/>
        <v>13.609999999999872</v>
      </c>
      <c r="I67" s="312">
        <f t="shared" si="1"/>
        <v>8.0195627835718986E-2</v>
      </c>
    </row>
    <row r="68" spans="1:9" x14ac:dyDescent="0.35">
      <c r="A68" s="6" t="s">
        <v>20</v>
      </c>
      <c r="B68" s="12">
        <v>169.71000000000004</v>
      </c>
      <c r="C68" s="12">
        <v>183.31999999999991</v>
      </c>
      <c r="D68" s="12">
        <v>449</v>
      </c>
      <c r="E68" s="12">
        <v>461</v>
      </c>
      <c r="F68" s="22">
        <f t="shared" si="6"/>
        <v>0.37797327394209362</v>
      </c>
      <c r="G68" s="22">
        <f t="shared" si="7"/>
        <v>0.39765726681127961</v>
      </c>
      <c r="H68" s="89">
        <f t="shared" si="0"/>
        <v>13.609999999999872</v>
      </c>
      <c r="I68" s="48">
        <f t="shared" si="1"/>
        <v>8.0195627835718986E-2</v>
      </c>
    </row>
    <row r="69" spans="1:9" x14ac:dyDescent="0.35">
      <c r="A69" s="310" t="s">
        <v>21</v>
      </c>
      <c r="B69" s="311">
        <f>B70</f>
        <v>3.87</v>
      </c>
      <c r="C69" s="311">
        <v>3.3200000000000003</v>
      </c>
      <c r="D69" s="311">
        <v>7</v>
      </c>
      <c r="E69" s="311">
        <v>7</v>
      </c>
      <c r="F69" s="312">
        <f>IFERROR(B69/D69,"")</f>
        <v>0.55285714285714282</v>
      </c>
      <c r="G69" s="312">
        <f>IFERROR(C69/E69,"")</f>
        <v>0.47428571428571431</v>
      </c>
      <c r="H69" s="311">
        <f t="shared" si="0"/>
        <v>-0.54999999999999982</v>
      </c>
      <c r="I69" s="312">
        <f t="shared" si="1"/>
        <v>-0.1421188630490956</v>
      </c>
    </row>
    <row r="70" spans="1:9" x14ac:dyDescent="0.35">
      <c r="A70" s="6" t="s">
        <v>21</v>
      </c>
      <c r="B70" s="12">
        <v>3.87</v>
      </c>
      <c r="C70" s="12">
        <v>3.3200000000000003</v>
      </c>
      <c r="D70" s="12">
        <v>7</v>
      </c>
      <c r="E70" s="12">
        <v>7</v>
      </c>
      <c r="F70" s="22">
        <f t="shared" si="6"/>
        <v>0.55285714285714282</v>
      </c>
      <c r="G70" s="22">
        <f t="shared" si="7"/>
        <v>0.47428571428571431</v>
      </c>
      <c r="H70" s="89">
        <f t="shared" si="0"/>
        <v>-0.54999999999999982</v>
      </c>
      <c r="I70" s="48">
        <f t="shared" si="1"/>
        <v>-0.1421188630490956</v>
      </c>
    </row>
    <row r="71" spans="1:9" x14ac:dyDescent="0.35">
      <c r="A71" s="310" t="s">
        <v>22</v>
      </c>
      <c r="B71" s="311">
        <f>B72</f>
        <v>91.420000000000016</v>
      </c>
      <c r="C71" s="311">
        <v>157.93999999999997</v>
      </c>
      <c r="D71" s="311">
        <v>232</v>
      </c>
      <c r="E71" s="311">
        <v>230</v>
      </c>
      <c r="F71" s="312">
        <f>IFERROR(B71/D71,"")</f>
        <v>0.3940517241379311</v>
      </c>
      <c r="G71" s="312">
        <f>IFERROR(C71/E71,"")</f>
        <v>0.68669565217391293</v>
      </c>
      <c r="H71" s="311">
        <f t="shared" si="0"/>
        <v>66.519999999999953</v>
      </c>
      <c r="I71" s="312">
        <f t="shared" si="1"/>
        <v>0.72763071537956625</v>
      </c>
    </row>
    <row r="72" spans="1:9" x14ac:dyDescent="0.35">
      <c r="A72" s="6" t="s">
        <v>22</v>
      </c>
      <c r="B72" s="12">
        <v>91.420000000000016</v>
      </c>
      <c r="C72" s="12">
        <v>157.93999999999997</v>
      </c>
      <c r="D72" s="12">
        <v>232</v>
      </c>
      <c r="E72" s="12">
        <v>230</v>
      </c>
      <c r="F72" s="22">
        <f t="shared" si="6"/>
        <v>0.3940517241379311</v>
      </c>
      <c r="G72" s="22">
        <f t="shared" si="7"/>
        <v>0.68669565217391293</v>
      </c>
      <c r="H72" s="89">
        <f t="shared" si="0"/>
        <v>66.519999999999953</v>
      </c>
      <c r="I72" s="48">
        <f t="shared" si="1"/>
        <v>0.72763071537956625</v>
      </c>
    </row>
    <row r="73" spans="1:9" x14ac:dyDescent="0.35">
      <c r="A73" s="310" t="s">
        <v>23</v>
      </c>
      <c r="B73" s="311">
        <f>B74</f>
        <v>182.12999999999994</v>
      </c>
      <c r="C73" s="311">
        <v>172.48000000000002</v>
      </c>
      <c r="D73" s="311">
        <v>308</v>
      </c>
      <c r="E73" s="311">
        <v>319</v>
      </c>
      <c r="F73" s="312">
        <f>IFERROR(B73/D73,"")</f>
        <v>0.59133116883116865</v>
      </c>
      <c r="G73" s="312">
        <f>IFERROR(C73/E73,"")</f>
        <v>0.54068965517241385</v>
      </c>
      <c r="H73" s="311">
        <f t="shared" si="0"/>
        <v>-9.6499999999999204</v>
      </c>
      <c r="I73" s="312">
        <f t="shared" si="1"/>
        <v>-5.2984132213253821E-2</v>
      </c>
    </row>
    <row r="74" spans="1:9" x14ac:dyDescent="0.35">
      <c r="A74" s="6" t="s">
        <v>23</v>
      </c>
      <c r="B74" s="12">
        <v>182.12999999999994</v>
      </c>
      <c r="C74" s="12">
        <v>172.48000000000002</v>
      </c>
      <c r="D74" s="12">
        <v>308</v>
      </c>
      <c r="E74" s="12">
        <v>319</v>
      </c>
      <c r="F74" s="22">
        <f t="shared" si="6"/>
        <v>0.59133116883116865</v>
      </c>
      <c r="G74" s="22">
        <f t="shared" si="7"/>
        <v>0.54068965517241385</v>
      </c>
      <c r="H74" s="89">
        <f t="shared" si="0"/>
        <v>-9.6499999999999204</v>
      </c>
      <c r="I74" s="48">
        <f t="shared" si="1"/>
        <v>-5.2984132213253821E-2</v>
      </c>
    </row>
    <row r="75" spans="1:9" x14ac:dyDescent="0.35">
      <c r="A75" s="310" t="s">
        <v>76</v>
      </c>
      <c r="B75" s="311">
        <f>SUM(B76:B78)</f>
        <v>95.81</v>
      </c>
      <c r="C75" s="311">
        <f>SUM(C76:C78)</f>
        <v>137.97</v>
      </c>
      <c r="D75" s="311">
        <v>154</v>
      </c>
      <c r="E75" s="311">
        <v>178</v>
      </c>
      <c r="F75" s="312">
        <f>IFERROR(B75/D75,"")</f>
        <v>0.62214285714285711</v>
      </c>
      <c r="G75" s="312">
        <f>IFERROR(C75/E75,"")</f>
        <v>0.77511235955056179</v>
      </c>
      <c r="H75" s="311">
        <f t="shared" si="0"/>
        <v>42.16</v>
      </c>
      <c r="I75" s="312">
        <f t="shared" si="1"/>
        <v>0.4400375743659326</v>
      </c>
    </row>
    <row r="76" spans="1:9" x14ac:dyDescent="0.35">
      <c r="A76" s="6" t="s">
        <v>59</v>
      </c>
      <c r="B76" s="12">
        <v>23.330000000000005</v>
      </c>
      <c r="C76" s="12">
        <v>28.53</v>
      </c>
      <c r="D76" s="12">
        <v>23</v>
      </c>
      <c r="E76" s="12">
        <v>25</v>
      </c>
      <c r="F76" s="22">
        <f t="shared" si="6"/>
        <v>1.0143478260869567</v>
      </c>
      <c r="G76" s="22">
        <f t="shared" si="7"/>
        <v>1.1412</v>
      </c>
      <c r="H76" s="89">
        <f>IFERROR(C76-B76,"")</f>
        <v>5.1999999999999957</v>
      </c>
      <c r="I76" s="48">
        <f>IFERROR((C76/B76)-1,"")</f>
        <v>0.22288898414059122</v>
      </c>
    </row>
    <row r="77" spans="1:9" x14ac:dyDescent="0.35">
      <c r="A77" s="6" t="s">
        <v>73</v>
      </c>
      <c r="B77" s="12">
        <v>68.48</v>
      </c>
      <c r="C77" s="12">
        <v>84.390000000000015</v>
      </c>
      <c r="D77" s="12">
        <v>67</v>
      </c>
      <c r="E77" s="12">
        <v>89</v>
      </c>
      <c r="F77" s="22">
        <f t="shared" si="6"/>
        <v>1.022089552238806</v>
      </c>
      <c r="G77" s="22">
        <f t="shared" si="7"/>
        <v>0.94820224719101143</v>
      </c>
      <c r="H77" s="89">
        <f>IFERROR(C77-B77,"")</f>
        <v>15.910000000000011</v>
      </c>
      <c r="I77" s="48">
        <f>IFERROR((C77/B77)-1,"")</f>
        <v>0.23233060747663559</v>
      </c>
    </row>
    <row r="78" spans="1:9" x14ac:dyDescent="0.35">
      <c r="A78" s="6" t="s">
        <v>74</v>
      </c>
      <c r="B78" s="12">
        <v>4</v>
      </c>
      <c r="C78" s="12">
        <v>25.049999999999994</v>
      </c>
      <c r="D78" s="12">
        <v>64</v>
      </c>
      <c r="E78" s="12">
        <v>64</v>
      </c>
      <c r="F78" s="22">
        <f t="shared" si="6"/>
        <v>6.25E-2</v>
      </c>
      <c r="G78" s="22">
        <f t="shared" si="7"/>
        <v>0.3914062499999999</v>
      </c>
      <c r="H78" s="89">
        <f>IFERROR(C78-B78,"")</f>
        <v>21.049999999999994</v>
      </c>
      <c r="I78" s="48">
        <f>IFERROR((C78/B78)-1,"")</f>
        <v>5.2624999999999984</v>
      </c>
    </row>
    <row r="79" spans="1:9" x14ac:dyDescent="0.35">
      <c r="A79" s="365" t="s">
        <v>25</v>
      </c>
      <c r="B79" s="314">
        <v>9551.43</v>
      </c>
      <c r="C79" s="314">
        <v>9904.9199999999983</v>
      </c>
      <c r="D79" s="314">
        <v>12290</v>
      </c>
      <c r="E79" s="314">
        <v>12781</v>
      </c>
      <c r="F79" s="366">
        <f t="shared" ref="F79" si="8">IFERROR(B79/D79,"")</f>
        <v>0.77717087062652568</v>
      </c>
      <c r="G79" s="366">
        <f t="shared" ref="G79" si="9">IFERROR(C79/E79,"")</f>
        <v>0.77497222439558711</v>
      </c>
      <c r="H79" s="316">
        <f>IFERROR(C79-B79,"")</f>
        <v>353.48999999999796</v>
      </c>
      <c r="I79" s="366">
        <f>IFERROR((C79/B79)-1,"")</f>
        <v>3.7009118006413377E-2</v>
      </c>
    </row>
    <row r="80" spans="1:9" x14ac:dyDescent="0.35">
      <c r="C80" s="141"/>
    </row>
  </sheetData>
  <mergeCells count="5">
    <mergeCell ref="D10:E10"/>
    <mergeCell ref="F10:G10"/>
    <mergeCell ref="A10:A11"/>
    <mergeCell ref="B10:C10"/>
    <mergeCell ref="H10:I10"/>
  </mergeCells>
  <phoneticPr fontId="75" type="noConversion"/>
  <conditionalFormatting sqref="H13:H20 H65:H66 H22:H24 H26 H28:H30 H32:H40 H55:H56 H50:H53 H48 H42:H46 H76:H79 H74 H72 H70 H68 H63 H58:H61">
    <cfRule type="cellIs" dxfId="107" priority="39" operator="lessThan">
      <formula>0</formula>
    </cfRule>
  </conditionalFormatting>
  <conditionalFormatting sqref="I13:I20 I65:I66 I22:I24 I26 I28:I30 I32:I40 I55:I56 I50:I53 I48 I42:I46 I76:I79 I74 I72 I70 I68 I63 I58:I61">
    <cfRule type="cellIs" dxfId="106" priority="38" operator="lessThan">
      <formula>0</formula>
    </cfRule>
  </conditionalFormatting>
  <conditionalFormatting sqref="F79:G79">
    <cfRule type="cellIs" dxfId="105" priority="37" operator="lessThan">
      <formula>0</formula>
    </cfRule>
  </conditionalFormatting>
  <conditionalFormatting sqref="L11:M17">
    <cfRule type="cellIs" dxfId="104" priority="36" operator="lessThan">
      <formula>0</formula>
    </cfRule>
  </conditionalFormatting>
  <conditionalFormatting sqref="R11:S17">
    <cfRule type="cellIs" dxfId="103" priority="35" operator="lessThan">
      <formula>0</formula>
    </cfRule>
  </conditionalFormatting>
  <conditionalFormatting sqref="H12">
    <cfRule type="cellIs" dxfId="102" priority="34" operator="lessThan">
      <formula>0</formula>
    </cfRule>
  </conditionalFormatting>
  <conditionalFormatting sqref="I12">
    <cfRule type="cellIs" dxfId="101" priority="33" operator="lessThan">
      <formula>0</formula>
    </cfRule>
  </conditionalFormatting>
  <conditionalFormatting sqref="H21">
    <cfRule type="cellIs" dxfId="100" priority="32" operator="lessThan">
      <formula>0</formula>
    </cfRule>
  </conditionalFormatting>
  <conditionalFormatting sqref="I21">
    <cfRule type="cellIs" dxfId="99" priority="31" operator="lessThan">
      <formula>0</formula>
    </cfRule>
  </conditionalFormatting>
  <conditionalFormatting sqref="H25">
    <cfRule type="cellIs" dxfId="98" priority="30" operator="lessThan">
      <formula>0</formula>
    </cfRule>
  </conditionalFormatting>
  <conditionalFormatting sqref="I25">
    <cfRule type="cellIs" dxfId="97" priority="29" operator="lessThan">
      <formula>0</formula>
    </cfRule>
  </conditionalFormatting>
  <conditionalFormatting sqref="H27">
    <cfRule type="cellIs" dxfId="96" priority="28" operator="lessThan">
      <formula>0</formula>
    </cfRule>
  </conditionalFormatting>
  <conditionalFormatting sqref="I27">
    <cfRule type="cellIs" dxfId="95" priority="27" operator="lessThan">
      <formula>0</formula>
    </cfRule>
  </conditionalFormatting>
  <conditionalFormatting sqref="H31">
    <cfRule type="cellIs" dxfId="94" priority="26" operator="lessThan">
      <formula>0</formula>
    </cfRule>
  </conditionalFormatting>
  <conditionalFormatting sqref="I31">
    <cfRule type="cellIs" dxfId="93" priority="25" operator="lessThan">
      <formula>0</formula>
    </cfRule>
  </conditionalFormatting>
  <conditionalFormatting sqref="H54">
    <cfRule type="cellIs" dxfId="92" priority="24" operator="lessThan">
      <formula>0</formula>
    </cfRule>
  </conditionalFormatting>
  <conditionalFormatting sqref="I54">
    <cfRule type="cellIs" dxfId="91" priority="23" operator="lessThan">
      <formula>0</formula>
    </cfRule>
  </conditionalFormatting>
  <conditionalFormatting sqref="H49">
    <cfRule type="cellIs" dxfId="90" priority="22" operator="lessThan">
      <formula>0</formula>
    </cfRule>
  </conditionalFormatting>
  <conditionalFormatting sqref="I49">
    <cfRule type="cellIs" dxfId="89" priority="21" operator="lessThan">
      <formula>0</formula>
    </cfRule>
  </conditionalFormatting>
  <conditionalFormatting sqref="H47">
    <cfRule type="cellIs" dxfId="88" priority="20" operator="lessThan">
      <formula>0</formula>
    </cfRule>
  </conditionalFormatting>
  <conditionalFormatting sqref="I47">
    <cfRule type="cellIs" dxfId="87" priority="19" operator="lessThan">
      <formula>0</formula>
    </cfRule>
  </conditionalFormatting>
  <conditionalFormatting sqref="H41">
    <cfRule type="cellIs" dxfId="86" priority="18" operator="lessThan">
      <formula>0</formula>
    </cfRule>
  </conditionalFormatting>
  <conditionalFormatting sqref="I41">
    <cfRule type="cellIs" dxfId="85" priority="17" operator="lessThan">
      <formula>0</formula>
    </cfRule>
  </conditionalFormatting>
  <conditionalFormatting sqref="H75">
    <cfRule type="cellIs" dxfId="84" priority="16" operator="lessThan">
      <formula>0</formula>
    </cfRule>
  </conditionalFormatting>
  <conditionalFormatting sqref="I75">
    <cfRule type="cellIs" dxfId="83" priority="15" operator="lessThan">
      <formula>0</formula>
    </cfRule>
  </conditionalFormatting>
  <conditionalFormatting sqref="H73">
    <cfRule type="cellIs" dxfId="82" priority="14" operator="lessThan">
      <formula>0</formula>
    </cfRule>
  </conditionalFormatting>
  <conditionalFormatting sqref="I73">
    <cfRule type="cellIs" dxfId="81" priority="13" operator="lessThan">
      <formula>0</formula>
    </cfRule>
  </conditionalFormatting>
  <conditionalFormatting sqref="H71">
    <cfRule type="cellIs" dxfId="80" priority="12" operator="lessThan">
      <formula>0</formula>
    </cfRule>
  </conditionalFormatting>
  <conditionalFormatting sqref="I71">
    <cfRule type="cellIs" dxfId="79" priority="11" operator="lessThan">
      <formula>0</formula>
    </cfRule>
  </conditionalFormatting>
  <conditionalFormatting sqref="H69">
    <cfRule type="cellIs" dxfId="78" priority="10" operator="lessThan">
      <formula>0</formula>
    </cfRule>
  </conditionalFormatting>
  <conditionalFormatting sqref="I69">
    <cfRule type="cellIs" dxfId="77" priority="9" operator="lessThan">
      <formula>0</formula>
    </cfRule>
  </conditionalFormatting>
  <conditionalFormatting sqref="H67">
    <cfRule type="cellIs" dxfId="76" priority="8" operator="lessThan">
      <formula>0</formula>
    </cfRule>
  </conditionalFormatting>
  <conditionalFormatting sqref="I67">
    <cfRule type="cellIs" dxfId="75" priority="7" operator="lessThan">
      <formula>0</formula>
    </cfRule>
  </conditionalFormatting>
  <conditionalFormatting sqref="H64">
    <cfRule type="cellIs" dxfId="74" priority="6" operator="lessThan">
      <formula>0</formula>
    </cfRule>
  </conditionalFormatting>
  <conditionalFormatting sqref="I64">
    <cfRule type="cellIs" dxfId="73" priority="5" operator="lessThan">
      <formula>0</formula>
    </cfRule>
  </conditionalFormatting>
  <conditionalFormatting sqref="H62">
    <cfRule type="cellIs" dxfId="72" priority="4" operator="lessThan">
      <formula>0</formula>
    </cfRule>
  </conditionalFormatting>
  <conditionalFormatting sqref="I62">
    <cfRule type="cellIs" dxfId="71" priority="3" operator="lessThan">
      <formula>0</formula>
    </cfRule>
  </conditionalFormatting>
  <conditionalFormatting sqref="H57">
    <cfRule type="cellIs" dxfId="70" priority="2" operator="lessThan">
      <formula>0</formula>
    </cfRule>
  </conditionalFormatting>
  <conditionalFormatting sqref="I57">
    <cfRule type="cellIs" dxfId="69" priority="1" operator="lessThan">
      <formula>0</formula>
    </cfRule>
  </conditionalFormatting>
  <hyperlinks>
    <hyperlink ref="B1" r:id="rId1" xr:uid="{00000000-0004-0000-0600-000000000000}"/>
    <hyperlink ref="L1" location="ÍNDICE!A1" display="ÍNDICE!A1" xr:uid="{00000000-0004-0000-0600-000001000000}"/>
    <hyperlink ref="B2" r:id="rId2" xr:uid="{00000000-0004-0000-0600-000002000000}"/>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T60"/>
  <sheetViews>
    <sheetView workbookViewId="0"/>
  </sheetViews>
  <sheetFormatPr baseColWidth="10" defaultRowHeight="14.5" x14ac:dyDescent="0.35"/>
  <cols>
    <col min="1" max="1" width="21.54296875" bestFit="1" customWidth="1"/>
    <col min="3" max="7" width="11" customWidth="1"/>
    <col min="8" max="8" width="13" bestFit="1" customWidth="1"/>
    <col min="9" max="9" width="11.81640625" customWidth="1"/>
    <col min="11" max="11" width="13.81640625" customWidth="1"/>
    <col min="14" max="15" width="18.1796875" customWidth="1"/>
    <col min="16" max="16" width="17.6328125" customWidth="1"/>
    <col min="17" max="17" width="15.1796875" customWidth="1"/>
  </cols>
  <sheetData>
    <row r="1" spans="1:20" x14ac:dyDescent="0.35">
      <c r="A1" s="240" t="s">
        <v>10</v>
      </c>
      <c r="B1" s="2" t="s">
        <v>84</v>
      </c>
      <c r="C1" s="3"/>
      <c r="D1" s="3"/>
      <c r="E1" s="3"/>
      <c r="F1" s="3"/>
      <c r="G1" s="3"/>
      <c r="H1" s="3"/>
      <c r="K1" t="s">
        <v>143</v>
      </c>
      <c r="L1" s="2" t="s">
        <v>144</v>
      </c>
    </row>
    <row r="2" spans="1:20" x14ac:dyDescent="0.35">
      <c r="B2" s="304" t="s">
        <v>221</v>
      </c>
    </row>
    <row r="8" spans="1:20" ht="18.5" x14ac:dyDescent="0.35">
      <c r="A8" s="367" t="s">
        <v>87</v>
      </c>
      <c r="B8" s="220"/>
      <c r="C8" s="220"/>
      <c r="D8" s="220"/>
      <c r="E8" s="220"/>
      <c r="F8" s="220"/>
      <c r="G8" s="220"/>
    </row>
    <row r="9" spans="1:20" x14ac:dyDescent="0.35">
      <c r="K9" s="364" t="s">
        <v>225</v>
      </c>
      <c r="P9" s="342"/>
      <c r="Q9" s="364" t="s">
        <v>227</v>
      </c>
      <c r="R9" s="342"/>
      <c r="S9" s="342"/>
      <c r="T9" s="342"/>
    </row>
    <row r="10" spans="1:20" ht="43" customHeight="1" x14ac:dyDescent="0.35">
      <c r="A10" s="694" t="s">
        <v>0</v>
      </c>
      <c r="B10" s="696" t="s">
        <v>1</v>
      </c>
      <c r="C10" s="697"/>
      <c r="D10" s="693" t="s">
        <v>217</v>
      </c>
      <c r="E10" s="693"/>
      <c r="F10" s="693" t="s">
        <v>218</v>
      </c>
      <c r="G10" s="693"/>
      <c r="H10" s="696" t="s">
        <v>2</v>
      </c>
      <c r="I10" s="697"/>
      <c r="K10" s="342"/>
      <c r="L10" s="363" t="s">
        <v>228</v>
      </c>
      <c r="M10" s="363" t="s">
        <v>229</v>
      </c>
      <c r="N10" s="474" t="s">
        <v>282</v>
      </c>
      <c r="O10" s="473" t="s">
        <v>285</v>
      </c>
      <c r="P10" s="355"/>
      <c r="Q10" s="342"/>
      <c r="R10" s="363" t="s">
        <v>226</v>
      </c>
      <c r="S10" s="363" t="s">
        <v>250</v>
      </c>
      <c r="T10" s="363" t="s">
        <v>247</v>
      </c>
    </row>
    <row r="11" spans="1:20" ht="15" customHeight="1" x14ac:dyDescent="0.35">
      <c r="A11" s="695"/>
      <c r="B11" s="362">
        <v>2020</v>
      </c>
      <c r="C11" s="362">
        <v>2021</v>
      </c>
      <c r="D11" s="362">
        <v>2020</v>
      </c>
      <c r="E11" s="362">
        <v>2021</v>
      </c>
      <c r="F11" s="362">
        <v>2020</v>
      </c>
      <c r="G11" s="362">
        <v>2021</v>
      </c>
      <c r="H11" s="362" t="s">
        <v>3</v>
      </c>
      <c r="I11" s="362" t="s">
        <v>4</v>
      </c>
      <c r="K11" s="471" t="s">
        <v>64</v>
      </c>
      <c r="L11" s="455">
        <f>C46</f>
        <v>2943.2000000000007</v>
      </c>
      <c r="M11" s="455">
        <f>E46</f>
        <v>25069</v>
      </c>
      <c r="N11" s="472">
        <f>L11/M11</f>
        <v>0.11740396505644424</v>
      </c>
      <c r="O11" s="472">
        <f>F46</f>
        <v>9.6458183273309309E-2</v>
      </c>
      <c r="P11" s="342"/>
      <c r="Q11" s="368" t="s">
        <v>64</v>
      </c>
      <c r="R11" s="323">
        <v>2410.4899999999998</v>
      </c>
      <c r="S11" s="320">
        <v>2943.2000000000007</v>
      </c>
      <c r="T11" s="344">
        <f>S11/R11-1</f>
        <v>0.22099656086521868</v>
      </c>
    </row>
    <row r="12" spans="1:20" x14ac:dyDescent="0.35">
      <c r="A12" s="310" t="s">
        <v>5</v>
      </c>
      <c r="B12" s="311">
        <v>3814.6200000000003</v>
      </c>
      <c r="C12" s="311">
        <f>SUM(C13:C19)</f>
        <v>3846.9000000000024</v>
      </c>
      <c r="D12" s="311">
        <v>8891</v>
      </c>
      <c r="E12" s="311">
        <v>9094</v>
      </c>
      <c r="F12" s="312">
        <f>IFERROR(B12/D12,"")</f>
        <v>0.42904285232257344</v>
      </c>
      <c r="G12" s="312">
        <f>IFERROR(C12/E12,"")</f>
        <v>0.42301517484055445</v>
      </c>
      <c r="H12" s="311">
        <f t="shared" ref="H12:H19" si="0">IFERROR(C12-B12,"")</f>
        <v>32.280000000002019</v>
      </c>
      <c r="I12" s="312">
        <f t="shared" ref="I12:I19" si="1">IFERROR((C12/B12)-1,"")</f>
        <v>8.4621797190813641E-3</v>
      </c>
      <c r="K12" s="471" t="s">
        <v>5</v>
      </c>
      <c r="L12" s="455">
        <f>C12</f>
        <v>3846.9000000000024</v>
      </c>
      <c r="M12" s="455">
        <f>E12</f>
        <v>9094</v>
      </c>
      <c r="N12" s="472">
        <f t="shared" ref="N12:N14" si="2">L12/M12</f>
        <v>0.42301517484055445</v>
      </c>
      <c r="O12" s="472">
        <f>F12</f>
        <v>0.42904285232257344</v>
      </c>
      <c r="P12" s="342"/>
      <c r="Q12" s="368" t="s">
        <v>5</v>
      </c>
      <c r="R12" s="323">
        <v>3814.6200000000003</v>
      </c>
      <c r="S12" s="320">
        <v>3846.9000000000024</v>
      </c>
      <c r="T12" s="344">
        <f t="shared" ref="T12:T14" si="3">S12/R12-1</f>
        <v>8.4621797190813641E-3</v>
      </c>
    </row>
    <row r="13" spans="1:20" x14ac:dyDescent="0.35">
      <c r="A13" s="6" t="s">
        <v>6</v>
      </c>
      <c r="B13" s="12">
        <v>0.01</v>
      </c>
      <c r="C13" s="12">
        <v>0.01</v>
      </c>
      <c r="D13" s="12">
        <v>69</v>
      </c>
      <c r="E13" s="12">
        <v>69</v>
      </c>
      <c r="F13" s="22">
        <f>IFERROR(B13/D13,"")</f>
        <v>1.4492753623188405E-4</v>
      </c>
      <c r="G13" s="22">
        <f>IFERROR(C13/E13,"")</f>
        <v>1.4492753623188405E-4</v>
      </c>
      <c r="H13" s="89">
        <f t="shared" si="0"/>
        <v>0</v>
      </c>
      <c r="I13" s="48">
        <f t="shared" si="1"/>
        <v>0</v>
      </c>
      <c r="K13" s="471" t="s">
        <v>17</v>
      </c>
      <c r="L13" s="455">
        <f>C43</f>
        <v>3108.48</v>
      </c>
      <c r="M13" s="455">
        <f>E43</f>
        <v>3093</v>
      </c>
      <c r="N13" s="472">
        <f t="shared" si="2"/>
        <v>1.0050048496605237</v>
      </c>
      <c r="O13" s="472">
        <f>F43</f>
        <v>1.0741369955917259</v>
      </c>
      <c r="P13" s="342"/>
      <c r="Q13" s="368" t="s">
        <v>17</v>
      </c>
      <c r="R13" s="323">
        <v>3167.6299999999997</v>
      </c>
      <c r="S13" s="320">
        <v>3108.48</v>
      </c>
      <c r="T13" s="369">
        <f t="shared" si="3"/>
        <v>-1.867326676411063E-2</v>
      </c>
    </row>
    <row r="14" spans="1:20" x14ac:dyDescent="0.35">
      <c r="A14" s="6" t="s">
        <v>7</v>
      </c>
      <c r="B14" s="12">
        <v>57.02</v>
      </c>
      <c r="C14" s="93">
        <v>57.42</v>
      </c>
      <c r="D14" s="12">
        <v>412</v>
      </c>
      <c r="E14" s="93">
        <v>412</v>
      </c>
      <c r="F14" s="22">
        <f t="shared" ref="F14:F59" si="4">IFERROR(B14/D14,"")</f>
        <v>0.13839805825242718</v>
      </c>
      <c r="G14" s="22">
        <f t="shared" ref="G14:G59" si="5">IFERROR(C14/E14,"")</f>
        <v>0.13936893203883496</v>
      </c>
      <c r="H14" s="89">
        <f t="shared" si="0"/>
        <v>0.39999999999999858</v>
      </c>
      <c r="I14" s="48">
        <f t="shared" si="1"/>
        <v>7.0150824272185996E-3</v>
      </c>
      <c r="K14" s="471" t="s">
        <v>231</v>
      </c>
      <c r="L14" s="455">
        <f>C28</f>
        <v>307.94</v>
      </c>
      <c r="M14" s="455">
        <f>E28</f>
        <v>832</v>
      </c>
      <c r="N14" s="472">
        <f t="shared" si="2"/>
        <v>0.37012019230769233</v>
      </c>
      <c r="O14" s="472">
        <f>F28</f>
        <v>0.31523227383863084</v>
      </c>
      <c r="P14" s="342"/>
      <c r="Q14" s="368" t="s">
        <v>231</v>
      </c>
      <c r="R14" s="323">
        <v>257.86</v>
      </c>
      <c r="S14" s="320">
        <v>307.94</v>
      </c>
      <c r="T14" s="344">
        <f t="shared" si="3"/>
        <v>0.19421391452726278</v>
      </c>
    </row>
    <row r="15" spans="1:20" x14ac:dyDescent="0.35">
      <c r="A15" s="6" t="s">
        <v>26</v>
      </c>
      <c r="B15" s="12">
        <v>107.98000000000002</v>
      </c>
      <c r="C15" s="93">
        <v>109.93</v>
      </c>
      <c r="D15" s="12">
        <v>211</v>
      </c>
      <c r="E15" s="93">
        <v>230</v>
      </c>
      <c r="F15" s="22">
        <f t="shared" si="4"/>
        <v>0.5117535545023697</v>
      </c>
      <c r="G15" s="22">
        <f t="shared" si="5"/>
        <v>0.47795652173913045</v>
      </c>
      <c r="H15" s="89">
        <f t="shared" si="0"/>
        <v>1.9499999999999886</v>
      </c>
      <c r="I15" s="48">
        <f t="shared" si="1"/>
        <v>1.8058899796258521E-2</v>
      </c>
    </row>
    <row r="16" spans="1:20" x14ac:dyDescent="0.35">
      <c r="A16" s="6" t="s">
        <v>27</v>
      </c>
      <c r="B16" s="12">
        <v>2153.0500000000002</v>
      </c>
      <c r="C16" s="93">
        <v>2230.9300000000012</v>
      </c>
      <c r="D16" s="12">
        <v>5000</v>
      </c>
      <c r="E16" s="93">
        <v>5000</v>
      </c>
      <c r="F16" s="22">
        <f t="shared" si="4"/>
        <v>0.43061000000000005</v>
      </c>
      <c r="G16" s="22">
        <f t="shared" si="5"/>
        <v>0.44618600000000025</v>
      </c>
      <c r="H16" s="89">
        <f t="shared" si="0"/>
        <v>77.880000000001019</v>
      </c>
      <c r="I16" s="48">
        <f t="shared" si="1"/>
        <v>3.6171942128608636E-2</v>
      </c>
    </row>
    <row r="17" spans="1:9" x14ac:dyDescent="0.35">
      <c r="A17" s="6" t="s">
        <v>28</v>
      </c>
      <c r="B17" s="12">
        <v>5.27</v>
      </c>
      <c r="C17" s="93">
        <v>1.53</v>
      </c>
      <c r="D17" s="12">
        <v>8</v>
      </c>
      <c r="E17" s="93">
        <v>4</v>
      </c>
      <c r="F17" s="22">
        <f t="shared" si="4"/>
        <v>0.65874999999999995</v>
      </c>
      <c r="G17" s="22">
        <f t="shared" si="5"/>
        <v>0.38250000000000001</v>
      </c>
      <c r="H17" s="89">
        <f t="shared" si="0"/>
        <v>-3.7399999999999993</v>
      </c>
      <c r="I17" s="48">
        <f t="shared" si="1"/>
        <v>-0.70967741935483875</v>
      </c>
    </row>
    <row r="18" spans="1:9" x14ac:dyDescent="0.35">
      <c r="A18" s="6" t="s">
        <v>29</v>
      </c>
      <c r="B18" s="12">
        <v>1413.9899999999998</v>
      </c>
      <c r="C18" s="93">
        <v>1376.5800000000011</v>
      </c>
      <c r="D18" s="12">
        <v>3112</v>
      </c>
      <c r="E18" s="93">
        <v>3300</v>
      </c>
      <c r="F18" s="22">
        <f t="shared" si="4"/>
        <v>0.45436696658097681</v>
      </c>
      <c r="G18" s="22">
        <f t="shared" si="5"/>
        <v>0.41714545454545487</v>
      </c>
      <c r="H18" s="89">
        <f t="shared" si="0"/>
        <v>-37.409999999998718</v>
      </c>
      <c r="I18" s="48">
        <f t="shared" si="1"/>
        <v>-2.6457047079539997E-2</v>
      </c>
    </row>
    <row r="19" spans="1:9" x14ac:dyDescent="0.35">
      <c r="A19" s="6" t="s">
        <v>30</v>
      </c>
      <c r="B19" s="12">
        <v>77.3</v>
      </c>
      <c r="C19" s="93">
        <v>70.5</v>
      </c>
      <c r="D19" s="12">
        <v>79</v>
      </c>
      <c r="E19" s="93">
        <v>79</v>
      </c>
      <c r="F19" s="22">
        <f t="shared" si="4"/>
        <v>0.97848101265822784</v>
      </c>
      <c r="G19" s="22">
        <f t="shared" si="5"/>
        <v>0.89240506329113922</v>
      </c>
      <c r="H19" s="89">
        <f t="shared" si="0"/>
        <v>-6.7999999999999972</v>
      </c>
      <c r="I19" s="48">
        <f t="shared" si="1"/>
        <v>-8.7968952134540701E-2</v>
      </c>
    </row>
    <row r="20" spans="1:9" x14ac:dyDescent="0.35">
      <c r="A20" s="310" t="s">
        <v>12</v>
      </c>
      <c r="B20" s="311"/>
      <c r="C20" s="311"/>
      <c r="D20" s="311"/>
      <c r="E20" s="311"/>
      <c r="F20" s="312" t="str">
        <f>IFERROR(B20/D20,"")</f>
        <v/>
      </c>
      <c r="G20" s="312" t="str">
        <f>IFERROR(C20/E20,"")</f>
        <v/>
      </c>
      <c r="H20" s="311"/>
      <c r="I20" s="312"/>
    </row>
    <row r="21" spans="1:9" x14ac:dyDescent="0.35">
      <c r="A21" s="92" t="s">
        <v>31</v>
      </c>
      <c r="B21" s="89"/>
      <c r="C21" s="89"/>
      <c r="D21" s="89"/>
      <c r="E21" s="89"/>
      <c r="F21" s="22" t="str">
        <f t="shared" si="4"/>
        <v/>
      </c>
      <c r="G21" s="22" t="str">
        <f t="shared" si="5"/>
        <v/>
      </c>
      <c r="H21" s="89"/>
      <c r="I21" s="89"/>
    </row>
    <row r="22" spans="1:9" x14ac:dyDescent="0.35">
      <c r="A22" s="92" t="s">
        <v>32</v>
      </c>
      <c r="B22" s="89"/>
      <c r="C22" s="89"/>
      <c r="D22" s="89"/>
      <c r="E22" s="89"/>
      <c r="F22" s="22" t="str">
        <f t="shared" si="4"/>
        <v/>
      </c>
      <c r="G22" s="22" t="str">
        <f t="shared" si="5"/>
        <v/>
      </c>
      <c r="H22" s="89"/>
      <c r="I22" s="89"/>
    </row>
    <row r="23" spans="1:9" x14ac:dyDescent="0.35">
      <c r="A23" s="92" t="s">
        <v>33</v>
      </c>
      <c r="B23" s="89"/>
      <c r="C23" s="89"/>
      <c r="D23" s="89"/>
      <c r="E23" s="89"/>
      <c r="F23" s="22" t="str">
        <f t="shared" si="4"/>
        <v/>
      </c>
      <c r="G23" s="22" t="str">
        <f t="shared" si="5"/>
        <v/>
      </c>
      <c r="H23" s="89"/>
      <c r="I23" s="89"/>
    </row>
    <row r="24" spans="1:9" x14ac:dyDescent="0.35">
      <c r="A24" s="310" t="s">
        <v>69</v>
      </c>
      <c r="B24" s="311">
        <v>25.75</v>
      </c>
      <c r="C24" s="311">
        <v>33.339999999999996</v>
      </c>
      <c r="D24" s="311"/>
      <c r="E24" s="311"/>
      <c r="F24" s="312" t="str">
        <f>IFERROR(B24/D24,"")</f>
        <v/>
      </c>
      <c r="G24" s="312" t="str">
        <f>IFERROR(C24/E24,"")</f>
        <v/>
      </c>
      <c r="H24" s="311">
        <f t="shared" ref="H24:H50" si="6">IFERROR(C24-B24,"")</f>
        <v>7.5899999999999963</v>
      </c>
      <c r="I24" s="312">
        <f t="shared" ref="I24:I50" si="7">IFERROR((C24/B24)-1,"")</f>
        <v>0.29475728155339787</v>
      </c>
    </row>
    <row r="25" spans="1:9" x14ac:dyDescent="0.35">
      <c r="A25" s="6" t="s">
        <v>69</v>
      </c>
      <c r="B25" s="12">
        <v>25.75</v>
      </c>
      <c r="C25" s="12">
        <v>33.339999999999996</v>
      </c>
      <c r="D25" s="12"/>
      <c r="E25" s="12"/>
      <c r="F25" s="22" t="str">
        <f t="shared" si="4"/>
        <v/>
      </c>
      <c r="G25" s="22" t="str">
        <f t="shared" si="5"/>
        <v/>
      </c>
      <c r="H25" s="89">
        <f t="shared" si="6"/>
        <v>7.5899999999999963</v>
      </c>
      <c r="I25" s="48">
        <f t="shared" si="7"/>
        <v>0.29475728155339787</v>
      </c>
    </row>
    <row r="26" spans="1:9" x14ac:dyDescent="0.35">
      <c r="A26" s="310" t="s">
        <v>13</v>
      </c>
      <c r="B26" s="311">
        <v>0.1</v>
      </c>
      <c r="C26" s="311">
        <v>0.1</v>
      </c>
      <c r="D26" s="311"/>
      <c r="E26" s="311"/>
      <c r="F26" s="312" t="str">
        <f>IFERROR(B26/D26,"")</f>
        <v/>
      </c>
      <c r="G26" s="312" t="str">
        <f>IFERROR(C26/E26,"")</f>
        <v/>
      </c>
      <c r="H26" s="311">
        <f t="shared" si="6"/>
        <v>0</v>
      </c>
      <c r="I26" s="312">
        <f t="shared" si="7"/>
        <v>0</v>
      </c>
    </row>
    <row r="27" spans="1:9" x14ac:dyDescent="0.35">
      <c r="A27" s="6" t="s">
        <v>34</v>
      </c>
      <c r="B27" s="12">
        <v>0.1</v>
      </c>
      <c r="C27" s="12">
        <v>0.1</v>
      </c>
      <c r="D27" s="12"/>
      <c r="E27" s="12"/>
      <c r="F27" s="22" t="str">
        <f t="shared" si="4"/>
        <v/>
      </c>
      <c r="G27" s="22" t="str">
        <f t="shared" si="5"/>
        <v/>
      </c>
      <c r="H27" s="89">
        <f t="shared" si="6"/>
        <v>0</v>
      </c>
      <c r="I27" s="48">
        <f t="shared" si="7"/>
        <v>0</v>
      </c>
    </row>
    <row r="28" spans="1:9" x14ac:dyDescent="0.35">
      <c r="A28" s="310" t="s">
        <v>16</v>
      </c>
      <c r="B28" s="311">
        <v>257.86</v>
      </c>
      <c r="C28" s="311">
        <f>SUM(C29:C33)</f>
        <v>307.94</v>
      </c>
      <c r="D28" s="311">
        <v>818</v>
      </c>
      <c r="E28" s="311">
        <v>832</v>
      </c>
      <c r="F28" s="312">
        <f>IFERROR(B28/D28,"")</f>
        <v>0.31523227383863084</v>
      </c>
      <c r="G28" s="312">
        <f>IFERROR(C28/E28,"")</f>
        <v>0.37012019230769233</v>
      </c>
      <c r="H28" s="311">
        <f t="shared" si="6"/>
        <v>50.079999999999984</v>
      </c>
      <c r="I28" s="312">
        <f t="shared" si="7"/>
        <v>0.19421391452726278</v>
      </c>
    </row>
    <row r="29" spans="1:9" x14ac:dyDescent="0.35">
      <c r="A29" s="6" t="s">
        <v>46</v>
      </c>
      <c r="B29" s="12">
        <v>16.690000000000001</v>
      </c>
      <c r="C29" s="12">
        <v>14.33</v>
      </c>
      <c r="D29" s="12">
        <v>399</v>
      </c>
      <c r="E29" s="12">
        <v>399</v>
      </c>
      <c r="F29" s="22">
        <f t="shared" si="4"/>
        <v>4.1829573934837098E-2</v>
      </c>
      <c r="G29" s="22">
        <f t="shared" si="5"/>
        <v>3.5914786967418545E-2</v>
      </c>
      <c r="H29" s="89">
        <f t="shared" si="6"/>
        <v>-2.3600000000000012</v>
      </c>
      <c r="I29" s="48">
        <f t="shared" si="7"/>
        <v>-0.14140203714799282</v>
      </c>
    </row>
    <row r="30" spans="1:9" x14ac:dyDescent="0.35">
      <c r="A30" s="6" t="s">
        <v>47</v>
      </c>
      <c r="B30" s="12">
        <v>0.92</v>
      </c>
      <c r="C30" s="12">
        <v>0.92</v>
      </c>
      <c r="D30" s="12">
        <v>1</v>
      </c>
      <c r="E30" s="12">
        <v>1</v>
      </c>
      <c r="F30" s="22">
        <f t="shared" si="4"/>
        <v>0.92</v>
      </c>
      <c r="G30" s="22">
        <f t="shared" si="5"/>
        <v>0.92</v>
      </c>
      <c r="H30" s="89">
        <f t="shared" si="6"/>
        <v>0</v>
      </c>
      <c r="I30" s="48">
        <f t="shared" si="7"/>
        <v>0</v>
      </c>
    </row>
    <row r="31" spans="1:9" x14ac:dyDescent="0.35">
      <c r="A31" s="6" t="s">
        <v>48</v>
      </c>
      <c r="B31" s="12">
        <v>116.05</v>
      </c>
      <c r="C31" s="12">
        <v>120.56000000000002</v>
      </c>
      <c r="D31" s="12">
        <v>247</v>
      </c>
      <c r="E31" s="12">
        <v>261</v>
      </c>
      <c r="F31" s="22">
        <f t="shared" si="4"/>
        <v>0.46983805668016193</v>
      </c>
      <c r="G31" s="22">
        <f t="shared" si="5"/>
        <v>0.46191570881226057</v>
      </c>
      <c r="H31" s="89">
        <f t="shared" si="6"/>
        <v>4.5100000000000193</v>
      </c>
      <c r="I31" s="48">
        <f t="shared" si="7"/>
        <v>3.8862559241706229E-2</v>
      </c>
    </row>
    <row r="32" spans="1:9" x14ac:dyDescent="0.35">
      <c r="A32" s="6" t="s">
        <v>50</v>
      </c>
      <c r="B32" s="12">
        <v>32.82</v>
      </c>
      <c r="C32" s="12">
        <v>39.440000000000005</v>
      </c>
      <c r="D32" s="12">
        <v>20</v>
      </c>
      <c r="E32" s="12">
        <v>20</v>
      </c>
      <c r="F32" s="22">
        <f t="shared" si="4"/>
        <v>1.641</v>
      </c>
      <c r="G32" s="22">
        <f t="shared" si="5"/>
        <v>1.9720000000000002</v>
      </c>
      <c r="H32" s="89">
        <f t="shared" si="6"/>
        <v>6.6200000000000045</v>
      </c>
      <c r="I32" s="48">
        <f t="shared" si="7"/>
        <v>0.20170627666057306</v>
      </c>
    </row>
    <row r="33" spans="1:9" x14ac:dyDescent="0.35">
      <c r="A33" s="6" t="s">
        <v>54</v>
      </c>
      <c r="B33" s="12">
        <v>91.38</v>
      </c>
      <c r="C33" s="12">
        <v>132.69</v>
      </c>
      <c r="D33" s="12">
        <v>151</v>
      </c>
      <c r="E33" s="12">
        <v>151</v>
      </c>
      <c r="F33" s="22">
        <f t="shared" si="4"/>
        <v>0.60516556291390722</v>
      </c>
      <c r="G33" s="22">
        <f t="shared" si="5"/>
        <v>0.87874172185430466</v>
      </c>
      <c r="H33" s="89">
        <f t="shared" si="6"/>
        <v>41.31</v>
      </c>
      <c r="I33" s="48">
        <f>IFERROR((C33/B33)-1,"")</f>
        <v>0.45206828627708484</v>
      </c>
    </row>
    <row r="34" spans="1:9" x14ac:dyDescent="0.35">
      <c r="A34" s="310" t="s">
        <v>15</v>
      </c>
      <c r="B34" s="311">
        <v>2.13</v>
      </c>
      <c r="C34" s="311">
        <v>1.4</v>
      </c>
      <c r="D34" s="311">
        <v>2</v>
      </c>
      <c r="E34" s="311">
        <v>2</v>
      </c>
      <c r="F34" s="312">
        <f>IFERROR(B34/D34,"")</f>
        <v>1.0649999999999999</v>
      </c>
      <c r="G34" s="312">
        <f>IFERROR(C34/E34,"")</f>
        <v>0.7</v>
      </c>
      <c r="H34" s="311">
        <f t="shared" si="6"/>
        <v>-0.73</v>
      </c>
      <c r="I34" s="312">
        <f>IFERROR((C34/B34)-1,"")</f>
        <v>-0.34272300469483574</v>
      </c>
    </row>
    <row r="35" spans="1:9" x14ac:dyDescent="0.35">
      <c r="A35" s="6" t="s">
        <v>45</v>
      </c>
      <c r="B35" s="12">
        <v>2.13</v>
      </c>
      <c r="C35" s="12">
        <v>1.4</v>
      </c>
      <c r="D35" s="12">
        <v>2</v>
      </c>
      <c r="E35" s="12">
        <v>2</v>
      </c>
      <c r="F35" s="22">
        <f t="shared" si="4"/>
        <v>1.0649999999999999</v>
      </c>
      <c r="G35" s="22">
        <f t="shared" si="5"/>
        <v>0.7</v>
      </c>
      <c r="H35" s="89">
        <f t="shared" si="6"/>
        <v>-0.73</v>
      </c>
      <c r="I35" s="48">
        <f>IFERROR((C35/B35)-1,"")</f>
        <v>-0.34272300469483574</v>
      </c>
    </row>
    <row r="36" spans="1:9" x14ac:dyDescent="0.35">
      <c r="A36" s="310" t="s">
        <v>70</v>
      </c>
      <c r="B36" s="311">
        <v>4.4700000000000006</v>
      </c>
      <c r="C36" s="311">
        <v>4.57</v>
      </c>
      <c r="D36" s="311">
        <v>2</v>
      </c>
      <c r="E36" s="311">
        <v>6</v>
      </c>
      <c r="F36" s="312">
        <f>IFERROR(B36/D36,"")</f>
        <v>2.2350000000000003</v>
      </c>
      <c r="G36" s="312">
        <f>IFERROR(C36/E36,"")</f>
        <v>0.76166666666666671</v>
      </c>
      <c r="H36" s="311">
        <f t="shared" si="6"/>
        <v>9.9999999999999645E-2</v>
      </c>
      <c r="I36" s="312">
        <f>IFERROR((C36/B36)-1,"")</f>
        <v>2.2371364653243742E-2</v>
      </c>
    </row>
    <row r="37" spans="1:9" x14ac:dyDescent="0.35">
      <c r="A37" s="6" t="s">
        <v>70</v>
      </c>
      <c r="B37" s="12">
        <v>4.4700000000000006</v>
      </c>
      <c r="C37" s="12">
        <v>4.57</v>
      </c>
      <c r="D37" s="12">
        <v>2</v>
      </c>
      <c r="E37" s="12">
        <v>6</v>
      </c>
      <c r="F37" s="22">
        <f t="shared" si="4"/>
        <v>2.2350000000000003</v>
      </c>
      <c r="G37" s="22">
        <f t="shared" si="5"/>
        <v>0.76166666666666671</v>
      </c>
      <c r="H37" s="89">
        <f t="shared" si="6"/>
        <v>9.9999999999999645E-2</v>
      </c>
      <c r="I37" s="48">
        <f>IFERROR((C37/B37)-1,"")</f>
        <v>2.2371364653243742E-2</v>
      </c>
    </row>
    <row r="38" spans="1:9" x14ac:dyDescent="0.35">
      <c r="A38" s="310" t="s">
        <v>14</v>
      </c>
      <c r="B38" s="311">
        <v>9.25</v>
      </c>
      <c r="C38" s="311">
        <f>SUM(C42,C40)</f>
        <v>8.24</v>
      </c>
      <c r="D38" s="311">
        <v>101</v>
      </c>
      <c r="E38" s="311">
        <v>103</v>
      </c>
      <c r="F38" s="312">
        <f>IFERROR(B38/D38,"")</f>
        <v>9.1584158415841582E-2</v>
      </c>
      <c r="G38" s="312">
        <f>IFERROR(C38/E38,"")</f>
        <v>0.08</v>
      </c>
      <c r="H38" s="311">
        <f t="shared" si="6"/>
        <v>-1.0099999999999998</v>
      </c>
      <c r="I38" s="312">
        <f t="shared" si="7"/>
        <v>-0.10918918918918918</v>
      </c>
    </row>
    <row r="39" spans="1:9" x14ac:dyDescent="0.35">
      <c r="A39" s="92" t="s">
        <v>37</v>
      </c>
      <c r="B39" s="89"/>
      <c r="C39" s="89"/>
      <c r="D39" s="89"/>
      <c r="E39" s="89"/>
      <c r="F39" s="22" t="str">
        <f t="shared" si="4"/>
        <v/>
      </c>
      <c r="G39" s="22" t="str">
        <f t="shared" si="5"/>
        <v/>
      </c>
      <c r="H39" s="89">
        <f t="shared" si="6"/>
        <v>0</v>
      </c>
      <c r="I39" s="48" t="str">
        <f t="shared" si="7"/>
        <v/>
      </c>
    </row>
    <row r="40" spans="1:9" x14ac:dyDescent="0.35">
      <c r="A40" s="6" t="s">
        <v>38</v>
      </c>
      <c r="B40" s="12">
        <v>2.09</v>
      </c>
      <c r="C40" s="89">
        <v>1.58</v>
      </c>
      <c r="D40" s="12">
        <v>92</v>
      </c>
      <c r="E40" s="89">
        <v>92</v>
      </c>
      <c r="F40" s="22">
        <f t="shared" si="4"/>
        <v>2.2717391304347825E-2</v>
      </c>
      <c r="G40" s="22">
        <f t="shared" si="5"/>
        <v>1.7173913043478262E-2</v>
      </c>
      <c r="H40" s="89">
        <f t="shared" si="6"/>
        <v>-0.50999999999999979</v>
      </c>
      <c r="I40" s="48">
        <f t="shared" si="7"/>
        <v>-0.2440191387559808</v>
      </c>
    </row>
    <row r="41" spans="1:9" x14ac:dyDescent="0.35">
      <c r="A41" s="6" t="s">
        <v>39</v>
      </c>
      <c r="B41" s="12"/>
      <c r="C41" s="89"/>
      <c r="D41" s="12"/>
      <c r="E41" s="89">
        <v>0</v>
      </c>
      <c r="F41" s="22" t="str">
        <f t="shared" si="4"/>
        <v/>
      </c>
      <c r="G41" s="22" t="str">
        <f t="shared" si="5"/>
        <v/>
      </c>
      <c r="H41" s="89">
        <f t="shared" si="6"/>
        <v>0</v>
      </c>
      <c r="I41" s="48" t="str">
        <f t="shared" si="7"/>
        <v/>
      </c>
    </row>
    <row r="42" spans="1:9" x14ac:dyDescent="0.35">
      <c r="A42" s="6" t="s">
        <v>40</v>
      </c>
      <c r="B42" s="12">
        <v>7.16</v>
      </c>
      <c r="C42" s="89">
        <v>6.66</v>
      </c>
      <c r="D42" s="12">
        <v>9</v>
      </c>
      <c r="E42" s="89">
        <v>11</v>
      </c>
      <c r="F42" s="22">
        <f t="shared" si="4"/>
        <v>0.79555555555555557</v>
      </c>
      <c r="G42" s="22">
        <f t="shared" si="5"/>
        <v>0.60545454545454547</v>
      </c>
      <c r="H42" s="89">
        <f t="shared" si="6"/>
        <v>-0.5</v>
      </c>
      <c r="I42" s="48">
        <f t="shared" si="7"/>
        <v>-6.9832402234636826E-2</v>
      </c>
    </row>
    <row r="43" spans="1:9" x14ac:dyDescent="0.35">
      <c r="A43" s="310" t="s">
        <v>17</v>
      </c>
      <c r="B43" s="311">
        <v>3167.6299999999997</v>
      </c>
      <c r="C43" s="311">
        <f>SUM(C44:C45)</f>
        <v>3108.48</v>
      </c>
      <c r="D43" s="311">
        <v>2949</v>
      </c>
      <c r="E43" s="311">
        <v>3093</v>
      </c>
      <c r="F43" s="312">
        <f>IFERROR(B43/D43,"")</f>
        <v>1.0741369955917259</v>
      </c>
      <c r="G43" s="312">
        <f>IFERROR(C43/E43,"")</f>
        <v>1.0050048496605237</v>
      </c>
      <c r="H43" s="311">
        <f t="shared" si="6"/>
        <v>-59.149999999999636</v>
      </c>
      <c r="I43" s="312">
        <f t="shared" si="7"/>
        <v>-1.867326676411063E-2</v>
      </c>
    </row>
    <row r="44" spans="1:9" x14ac:dyDescent="0.35">
      <c r="A44" s="6" t="s">
        <v>55</v>
      </c>
      <c r="B44" s="12">
        <v>49.620000000000005</v>
      </c>
      <c r="C44" s="12">
        <v>44.879999999999995</v>
      </c>
      <c r="D44" s="12">
        <v>50</v>
      </c>
      <c r="E44" s="12">
        <v>47</v>
      </c>
      <c r="F44" s="22">
        <f t="shared" si="4"/>
        <v>0.99240000000000006</v>
      </c>
      <c r="G44" s="22">
        <f t="shared" si="5"/>
        <v>0.95489361702127651</v>
      </c>
      <c r="H44" s="89">
        <f t="shared" si="6"/>
        <v>-4.7400000000000091</v>
      </c>
      <c r="I44" s="48">
        <f t="shared" si="7"/>
        <v>-9.5525997581620503E-2</v>
      </c>
    </row>
    <row r="45" spans="1:9" x14ac:dyDescent="0.35">
      <c r="A45" s="6" t="s">
        <v>56</v>
      </c>
      <c r="B45" s="12">
        <v>3118.0099999999998</v>
      </c>
      <c r="C45" s="12">
        <v>3063.6</v>
      </c>
      <c r="D45" s="12">
        <v>2899</v>
      </c>
      <c r="E45" s="12">
        <v>3046</v>
      </c>
      <c r="F45" s="22">
        <f t="shared" si="4"/>
        <v>1.0755467402552603</v>
      </c>
      <c r="G45" s="22">
        <f t="shared" si="5"/>
        <v>1.0057780695994747</v>
      </c>
      <c r="H45" s="89">
        <f t="shared" si="6"/>
        <v>-54.409999999999854</v>
      </c>
      <c r="I45" s="48">
        <f t="shared" si="7"/>
        <v>-1.7450232680459643E-2</v>
      </c>
    </row>
    <row r="46" spans="1:9" x14ac:dyDescent="0.35">
      <c r="A46" s="310" t="s">
        <v>64</v>
      </c>
      <c r="B46" s="311">
        <v>2410.4899999999998</v>
      </c>
      <c r="C46" s="311">
        <f>SUM(C47:C50)</f>
        <v>2943.2000000000007</v>
      </c>
      <c r="D46" s="311">
        <v>24990</v>
      </c>
      <c r="E46" s="311">
        <v>25069</v>
      </c>
      <c r="F46" s="312">
        <f>IFERROR(B46/D46,"")</f>
        <v>9.6458183273309309E-2</v>
      </c>
      <c r="G46" s="312">
        <f>IFERROR(C46/E46,"")</f>
        <v>0.11740396505644424</v>
      </c>
      <c r="H46" s="311">
        <f t="shared" si="6"/>
        <v>532.71000000000095</v>
      </c>
      <c r="I46" s="312">
        <f t="shared" si="7"/>
        <v>0.22099656086521868</v>
      </c>
    </row>
    <row r="47" spans="1:9" x14ac:dyDescent="0.35">
      <c r="A47" s="6" t="s">
        <v>71</v>
      </c>
      <c r="B47" s="12">
        <v>51.779999999999994</v>
      </c>
      <c r="C47" s="12">
        <v>94.050000000000011</v>
      </c>
      <c r="D47" s="12">
        <v>2865</v>
      </c>
      <c r="E47" s="12">
        <v>2875</v>
      </c>
      <c r="F47" s="22">
        <f t="shared" si="4"/>
        <v>1.807329842931937E-2</v>
      </c>
      <c r="G47" s="22">
        <f t="shared" si="5"/>
        <v>3.2713043478260873E-2</v>
      </c>
      <c r="H47" s="89">
        <f t="shared" si="6"/>
        <v>42.270000000000017</v>
      </c>
      <c r="I47" s="48">
        <f t="shared" si="7"/>
        <v>0.81633835457705728</v>
      </c>
    </row>
    <row r="48" spans="1:9" x14ac:dyDescent="0.35">
      <c r="A48" s="6" t="s">
        <v>65</v>
      </c>
      <c r="B48" s="12">
        <v>1052.4499999999998</v>
      </c>
      <c r="C48" s="12">
        <v>1211.0500000000002</v>
      </c>
      <c r="D48" s="12">
        <v>7396</v>
      </c>
      <c r="E48" s="12">
        <v>7420</v>
      </c>
      <c r="F48" s="22">
        <f t="shared" si="4"/>
        <v>0.14229989183342345</v>
      </c>
      <c r="G48" s="22">
        <f t="shared" si="5"/>
        <v>0.16321428571428573</v>
      </c>
      <c r="H48" s="89">
        <f t="shared" si="6"/>
        <v>158.60000000000036</v>
      </c>
      <c r="I48" s="48">
        <f t="shared" si="7"/>
        <v>0.15069599505914799</v>
      </c>
    </row>
    <row r="49" spans="1:9" x14ac:dyDescent="0.35">
      <c r="A49" s="6" t="s">
        <v>66</v>
      </c>
      <c r="B49" s="12">
        <v>1175.56</v>
      </c>
      <c r="C49" s="12">
        <v>1410.6800000000003</v>
      </c>
      <c r="D49" s="12">
        <v>13812</v>
      </c>
      <c r="E49" s="12">
        <v>13811</v>
      </c>
      <c r="F49" s="22">
        <f t="shared" si="4"/>
        <v>8.511149724876918E-2</v>
      </c>
      <c r="G49" s="22">
        <f t="shared" si="5"/>
        <v>0.10214177105205997</v>
      </c>
      <c r="H49" s="89">
        <f t="shared" si="6"/>
        <v>235.12000000000035</v>
      </c>
      <c r="I49" s="48">
        <f t="shared" si="7"/>
        <v>0.20000680526727721</v>
      </c>
    </row>
    <row r="50" spans="1:9" x14ac:dyDescent="0.35">
      <c r="A50" s="6" t="s">
        <v>72</v>
      </c>
      <c r="B50" s="12">
        <v>130.69999999999999</v>
      </c>
      <c r="C50" s="12">
        <v>227.42000000000002</v>
      </c>
      <c r="D50" s="12">
        <v>917</v>
      </c>
      <c r="E50" s="12">
        <v>963</v>
      </c>
      <c r="F50" s="22">
        <f t="shared" si="4"/>
        <v>0.14252998909487458</v>
      </c>
      <c r="G50" s="22">
        <f t="shared" si="5"/>
        <v>0.23615784008307375</v>
      </c>
      <c r="H50" s="89">
        <f t="shared" si="6"/>
        <v>96.720000000000027</v>
      </c>
      <c r="I50" s="48">
        <f t="shared" si="7"/>
        <v>0.74001530221882206</v>
      </c>
    </row>
    <row r="51" spans="1:9" x14ac:dyDescent="0.35">
      <c r="A51" s="310" t="s">
        <v>19</v>
      </c>
      <c r="B51" s="311"/>
      <c r="C51" s="311"/>
      <c r="D51" s="311">
        <v>24</v>
      </c>
      <c r="E51" s="311">
        <v>24</v>
      </c>
      <c r="F51" s="312">
        <f>IFERROR(B51/D51,"")</f>
        <v>0</v>
      </c>
      <c r="G51" s="312">
        <f>IFERROR(C51/E51,"")</f>
        <v>0</v>
      </c>
      <c r="H51" s="311"/>
      <c r="I51" s="312"/>
    </row>
    <row r="52" spans="1:9" x14ac:dyDescent="0.35">
      <c r="A52" s="92" t="s">
        <v>62</v>
      </c>
      <c r="B52" s="89"/>
      <c r="C52" s="89"/>
      <c r="D52" s="89">
        <v>24</v>
      </c>
      <c r="E52" s="89">
        <v>24</v>
      </c>
      <c r="F52" s="22">
        <f t="shared" si="4"/>
        <v>0</v>
      </c>
      <c r="G52" s="22">
        <f t="shared" si="5"/>
        <v>0</v>
      </c>
      <c r="H52" s="89"/>
      <c r="I52" s="89"/>
    </row>
    <row r="53" spans="1:9" x14ac:dyDescent="0.35">
      <c r="A53" s="310" t="s">
        <v>20</v>
      </c>
      <c r="B53" s="311"/>
      <c r="C53" s="311"/>
      <c r="D53" s="311"/>
      <c r="E53" s="311"/>
      <c r="F53" s="312" t="str">
        <f>IFERROR(B53/D53,"")</f>
        <v/>
      </c>
      <c r="G53" s="312" t="str">
        <f>IFERROR(C53/E53,"")</f>
        <v/>
      </c>
      <c r="H53" s="311"/>
      <c r="I53" s="312"/>
    </row>
    <row r="54" spans="1:9" x14ac:dyDescent="0.35">
      <c r="A54" s="6" t="s">
        <v>20</v>
      </c>
      <c r="B54" s="12"/>
      <c r="C54" s="12"/>
      <c r="D54" s="12"/>
      <c r="E54" s="12"/>
      <c r="F54" s="22" t="str">
        <f t="shared" si="4"/>
        <v/>
      </c>
      <c r="G54" s="22" t="str">
        <f t="shared" si="5"/>
        <v/>
      </c>
      <c r="H54" s="12"/>
      <c r="I54" s="12"/>
    </row>
    <row r="55" spans="1:9" x14ac:dyDescent="0.35">
      <c r="A55" s="310" t="s">
        <v>23</v>
      </c>
      <c r="B55" s="311">
        <v>0.89</v>
      </c>
      <c r="C55" s="311">
        <v>0.74</v>
      </c>
      <c r="D55" s="311"/>
      <c r="E55" s="311"/>
      <c r="F55" s="312" t="str">
        <f>IFERROR(B55/D55,"")</f>
        <v/>
      </c>
      <c r="G55" s="312" t="str">
        <f>IFERROR(C55/E55,"")</f>
        <v/>
      </c>
      <c r="H55" s="311">
        <f>IFERROR(C55-B55,"")</f>
        <v>-0.15000000000000002</v>
      </c>
      <c r="I55" s="312">
        <f>IFERROR((C55/B55)-1,"")</f>
        <v>-0.1685393258426966</v>
      </c>
    </row>
    <row r="56" spans="1:9" x14ac:dyDescent="0.35">
      <c r="A56" s="6" t="s">
        <v>23</v>
      </c>
      <c r="B56" s="12">
        <v>0.89</v>
      </c>
      <c r="C56" s="12">
        <v>0.74</v>
      </c>
      <c r="D56" s="12"/>
      <c r="E56" s="12"/>
      <c r="F56" s="22" t="str">
        <f t="shared" si="4"/>
        <v/>
      </c>
      <c r="G56" s="22" t="str">
        <f t="shared" si="5"/>
        <v/>
      </c>
      <c r="H56" s="89">
        <f>IFERROR(C56-B56,"")</f>
        <v>-0.15000000000000002</v>
      </c>
      <c r="I56" s="48">
        <f>IFERROR((C56/B56)-1,"")</f>
        <v>-0.1685393258426966</v>
      </c>
    </row>
    <row r="57" spans="1:9" x14ac:dyDescent="0.35">
      <c r="A57" s="310" t="s">
        <v>76</v>
      </c>
      <c r="B57" s="311">
        <v>1.1600000000000001</v>
      </c>
      <c r="C57" s="311">
        <v>1.9700000000000002</v>
      </c>
      <c r="D57" s="311">
        <v>2</v>
      </c>
      <c r="E57" s="311">
        <v>2</v>
      </c>
      <c r="F57" s="312">
        <f>IFERROR(B57/D57,"")</f>
        <v>0.58000000000000007</v>
      </c>
      <c r="G57" s="312">
        <f>IFERROR(C57/E57,"")</f>
        <v>0.9850000000000001</v>
      </c>
      <c r="H57" s="311">
        <f>IFERROR(C57-B57,"")</f>
        <v>0.81</v>
      </c>
      <c r="I57" s="312">
        <f>IFERROR((C57/B57)-1,"")</f>
        <v>0.69827586206896552</v>
      </c>
    </row>
    <row r="58" spans="1:9" x14ac:dyDescent="0.35">
      <c r="A58" s="6" t="s">
        <v>73</v>
      </c>
      <c r="B58" s="12">
        <v>1.1600000000000001</v>
      </c>
      <c r="C58" s="12">
        <v>1.9700000000000002</v>
      </c>
      <c r="D58" s="12">
        <v>2</v>
      </c>
      <c r="E58" s="12">
        <v>2</v>
      </c>
      <c r="F58" s="22">
        <f t="shared" si="4"/>
        <v>0.58000000000000007</v>
      </c>
      <c r="G58" s="22">
        <f t="shared" si="5"/>
        <v>0.9850000000000001</v>
      </c>
      <c r="H58" s="89">
        <f>IFERROR(C58-B58,"")</f>
        <v>0.81</v>
      </c>
      <c r="I58" s="48">
        <f>IFERROR((C58/B58)-1,"")</f>
        <v>0.69827586206896552</v>
      </c>
    </row>
    <row r="59" spans="1:9" x14ac:dyDescent="0.35">
      <c r="A59" s="313" t="s">
        <v>25</v>
      </c>
      <c r="B59" s="316">
        <v>9694.3499999999949</v>
      </c>
      <c r="C59" s="316">
        <v>10256.880000000003</v>
      </c>
      <c r="D59" s="316">
        <v>37779</v>
      </c>
      <c r="E59" s="316">
        <v>38231</v>
      </c>
      <c r="F59" s="366">
        <f t="shared" si="4"/>
        <v>0.2566068450726593</v>
      </c>
      <c r="G59" s="366">
        <f t="shared" si="5"/>
        <v>0.26828699223143532</v>
      </c>
      <c r="H59" s="316">
        <f>IFERROR(C59-B59,"")</f>
        <v>562.53000000000793</v>
      </c>
      <c r="I59" s="366">
        <f>IFERROR((C59/B59)-1,"")</f>
        <v>5.802658249392767E-2</v>
      </c>
    </row>
    <row r="60" spans="1:9" x14ac:dyDescent="0.35">
      <c r="C60" s="141"/>
    </row>
  </sheetData>
  <mergeCells count="5">
    <mergeCell ref="D10:E10"/>
    <mergeCell ref="F10:G10"/>
    <mergeCell ref="A10:A11"/>
    <mergeCell ref="B10:C10"/>
    <mergeCell ref="H10:I10"/>
  </mergeCells>
  <conditionalFormatting sqref="H14:H19">
    <cfRule type="cellIs" dxfId="68" priority="51" operator="lessThan">
      <formula>0</formula>
    </cfRule>
  </conditionalFormatting>
  <conditionalFormatting sqref="I14:I19">
    <cfRule type="cellIs" dxfId="67" priority="50" operator="lessThan">
      <formula>0</formula>
    </cfRule>
  </conditionalFormatting>
  <conditionalFormatting sqref="H25 H27 H29:H33 H44:H45 H39:H42 H37 H35 H47:H50">
    <cfRule type="cellIs" dxfId="66" priority="47" operator="lessThan">
      <formula>0</formula>
    </cfRule>
  </conditionalFormatting>
  <conditionalFormatting sqref="I25 I27 I29:I33 I44:I45 I39:I42 I37 I35 I47:I50">
    <cfRule type="cellIs" dxfId="65" priority="46" operator="lessThan">
      <formula>0</formula>
    </cfRule>
  </conditionalFormatting>
  <conditionalFormatting sqref="H56">
    <cfRule type="cellIs" dxfId="64" priority="45" operator="lessThan">
      <formula>0</formula>
    </cfRule>
  </conditionalFormatting>
  <conditionalFormatting sqref="I58:I59">
    <cfRule type="cellIs" dxfId="63" priority="37" operator="lessThan">
      <formula>0</formula>
    </cfRule>
  </conditionalFormatting>
  <conditionalFormatting sqref="I56">
    <cfRule type="cellIs" dxfId="62" priority="42" operator="lessThan">
      <formula>0</formula>
    </cfRule>
  </conditionalFormatting>
  <conditionalFormatting sqref="H58:H59">
    <cfRule type="cellIs" dxfId="61" priority="38" operator="lessThan">
      <formula>0</formula>
    </cfRule>
  </conditionalFormatting>
  <conditionalFormatting sqref="F59:G59">
    <cfRule type="cellIs" dxfId="60" priority="36" operator="lessThan">
      <formula>0</formula>
    </cfRule>
  </conditionalFormatting>
  <conditionalFormatting sqref="L13:M14">
    <cfRule type="cellIs" dxfId="59" priority="35" operator="lessThan">
      <formula>0</formula>
    </cfRule>
  </conditionalFormatting>
  <conditionalFormatting sqref="H13">
    <cfRule type="cellIs" dxfId="58" priority="33" operator="lessThan">
      <formula>0</formula>
    </cfRule>
  </conditionalFormatting>
  <conditionalFormatting sqref="I13">
    <cfRule type="cellIs" dxfId="57" priority="32" operator="lessThan">
      <formula>0</formula>
    </cfRule>
  </conditionalFormatting>
  <conditionalFormatting sqref="H12">
    <cfRule type="cellIs" dxfId="56" priority="31" operator="lessThan">
      <formula>0</formula>
    </cfRule>
  </conditionalFormatting>
  <conditionalFormatting sqref="I12">
    <cfRule type="cellIs" dxfId="55" priority="30" operator="lessThan">
      <formula>0</formula>
    </cfRule>
  </conditionalFormatting>
  <conditionalFormatting sqref="H20">
    <cfRule type="cellIs" dxfId="54" priority="29" operator="lessThan">
      <formula>0</formula>
    </cfRule>
  </conditionalFormatting>
  <conditionalFormatting sqref="I20">
    <cfRule type="cellIs" dxfId="53" priority="28" operator="lessThan">
      <formula>0</formula>
    </cfRule>
  </conditionalFormatting>
  <conditionalFormatting sqref="H24">
    <cfRule type="cellIs" dxfId="52" priority="27" operator="lessThan">
      <formula>0</formula>
    </cfRule>
  </conditionalFormatting>
  <conditionalFormatting sqref="I24">
    <cfRule type="cellIs" dxfId="51" priority="26" operator="lessThan">
      <formula>0</formula>
    </cfRule>
  </conditionalFormatting>
  <conditionalFormatting sqref="H26">
    <cfRule type="cellIs" dxfId="50" priority="25" operator="lessThan">
      <formula>0</formula>
    </cfRule>
  </conditionalFormatting>
  <conditionalFormatting sqref="I26">
    <cfRule type="cellIs" dxfId="49" priority="24" operator="lessThan">
      <formula>0</formula>
    </cfRule>
  </conditionalFormatting>
  <conditionalFormatting sqref="H28">
    <cfRule type="cellIs" dxfId="48" priority="23" operator="lessThan">
      <formula>0</formula>
    </cfRule>
  </conditionalFormatting>
  <conditionalFormatting sqref="I28">
    <cfRule type="cellIs" dxfId="47" priority="22" operator="lessThan">
      <formula>0</formula>
    </cfRule>
  </conditionalFormatting>
  <conditionalFormatting sqref="H43">
    <cfRule type="cellIs" dxfId="46" priority="21" operator="lessThan">
      <formula>0</formula>
    </cfRule>
  </conditionalFormatting>
  <conditionalFormatting sqref="I43">
    <cfRule type="cellIs" dxfId="45" priority="20" operator="lessThan">
      <formula>0</formula>
    </cfRule>
  </conditionalFormatting>
  <conditionalFormatting sqref="H38">
    <cfRule type="cellIs" dxfId="44" priority="19" operator="lessThan">
      <formula>0</formula>
    </cfRule>
  </conditionalFormatting>
  <conditionalFormatting sqref="I38">
    <cfRule type="cellIs" dxfId="43" priority="18" operator="lessThan">
      <formula>0</formula>
    </cfRule>
  </conditionalFormatting>
  <conditionalFormatting sqref="H36">
    <cfRule type="cellIs" dxfId="42" priority="17" operator="lessThan">
      <formula>0</formula>
    </cfRule>
  </conditionalFormatting>
  <conditionalFormatting sqref="I36">
    <cfRule type="cellIs" dxfId="41" priority="16" operator="lessThan">
      <formula>0</formula>
    </cfRule>
  </conditionalFormatting>
  <conditionalFormatting sqref="H34">
    <cfRule type="cellIs" dxfId="40" priority="15" operator="lessThan">
      <formula>0</formula>
    </cfRule>
  </conditionalFormatting>
  <conditionalFormatting sqref="I34">
    <cfRule type="cellIs" dxfId="39" priority="14" operator="lessThan">
      <formula>0</formula>
    </cfRule>
  </conditionalFormatting>
  <conditionalFormatting sqref="H57">
    <cfRule type="cellIs" dxfId="38" priority="13" operator="lessThan">
      <formula>0</formula>
    </cfRule>
  </conditionalFormatting>
  <conditionalFormatting sqref="I57">
    <cfRule type="cellIs" dxfId="37" priority="12" operator="lessThan">
      <formula>0</formula>
    </cfRule>
  </conditionalFormatting>
  <conditionalFormatting sqref="H55">
    <cfRule type="cellIs" dxfId="36" priority="11" operator="lessThan">
      <formula>0</formula>
    </cfRule>
  </conditionalFormatting>
  <conditionalFormatting sqref="I55">
    <cfRule type="cellIs" dxfId="35" priority="10" operator="lessThan">
      <formula>0</formula>
    </cfRule>
  </conditionalFormatting>
  <conditionalFormatting sqref="H53">
    <cfRule type="cellIs" dxfId="34" priority="9" operator="lessThan">
      <formula>0</formula>
    </cfRule>
  </conditionalFormatting>
  <conditionalFormatting sqref="I53">
    <cfRule type="cellIs" dxfId="33" priority="8" operator="lessThan">
      <formula>0</formula>
    </cfRule>
  </conditionalFormatting>
  <conditionalFormatting sqref="H51">
    <cfRule type="cellIs" dxfId="32" priority="7" operator="lessThan">
      <formula>0</formula>
    </cfRule>
  </conditionalFormatting>
  <conditionalFormatting sqref="I51">
    <cfRule type="cellIs" dxfId="31" priority="6" operator="lessThan">
      <formula>0</formula>
    </cfRule>
  </conditionalFormatting>
  <conditionalFormatting sqref="H46">
    <cfRule type="cellIs" dxfId="30" priority="5" operator="lessThan">
      <formula>0</formula>
    </cfRule>
  </conditionalFormatting>
  <conditionalFormatting sqref="I46">
    <cfRule type="cellIs" dxfId="29" priority="4" operator="lessThan">
      <formula>0</formula>
    </cfRule>
  </conditionalFormatting>
  <conditionalFormatting sqref="L11:M12">
    <cfRule type="cellIs" dxfId="28" priority="3" operator="lessThan">
      <formula>0</formula>
    </cfRule>
  </conditionalFormatting>
  <conditionalFormatting sqref="R13:S14">
    <cfRule type="cellIs" dxfId="27" priority="2" operator="lessThan">
      <formula>0</formula>
    </cfRule>
  </conditionalFormatting>
  <conditionalFormatting sqref="R11:S12">
    <cfRule type="cellIs" dxfId="26" priority="1" operator="lessThan">
      <formula>0</formula>
    </cfRule>
  </conditionalFormatting>
  <hyperlinks>
    <hyperlink ref="B1" r:id="rId1" xr:uid="{00000000-0004-0000-0700-000000000000}"/>
    <hyperlink ref="L1" location="ÍNDICE!A1" display="ÍNDICE!A1" xr:uid="{00000000-0004-0000-0700-000001000000}"/>
    <hyperlink ref="B2" r:id="rId2" xr:uid="{00000000-0004-0000-0700-000002000000}"/>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K129"/>
  <sheetViews>
    <sheetView topLeftCell="E1" workbookViewId="0">
      <selection activeCell="N8" sqref="N8"/>
    </sheetView>
  </sheetViews>
  <sheetFormatPr baseColWidth="10" defaultRowHeight="14.5" x14ac:dyDescent="0.35"/>
  <cols>
    <col min="1" max="1" width="21.54296875" bestFit="1" customWidth="1"/>
    <col min="2" max="2" width="18" customWidth="1"/>
    <col min="3" max="3" width="20.54296875" customWidth="1"/>
    <col min="4" max="4" width="18.453125" bestFit="1" customWidth="1"/>
    <col min="5" max="5" width="19.81640625" customWidth="1"/>
    <col min="6" max="6" width="16.1796875" customWidth="1"/>
    <col min="7" max="7" width="17.54296875" customWidth="1"/>
    <col min="8" max="8" width="18.1796875" customWidth="1"/>
    <col min="9" max="9" width="20.81640625" customWidth="1"/>
    <col min="11" max="11" width="16" customWidth="1"/>
    <col min="12" max="12" width="25.1796875" customWidth="1"/>
    <col min="13" max="13" width="16.54296875" customWidth="1"/>
    <col min="14" max="14" width="20" customWidth="1"/>
    <col min="16" max="16" width="14.81640625" customWidth="1"/>
  </cols>
  <sheetData>
    <row r="1" spans="1:11" x14ac:dyDescent="0.35">
      <c r="A1" s="240" t="s">
        <v>10</v>
      </c>
      <c r="B1" s="2" t="s">
        <v>9</v>
      </c>
      <c r="J1" t="s">
        <v>143</v>
      </c>
      <c r="K1" s="2" t="s">
        <v>144</v>
      </c>
    </row>
    <row r="3" spans="1:11" ht="15.5" x14ac:dyDescent="0.35">
      <c r="A3" t="s">
        <v>243</v>
      </c>
      <c r="C3" s="630"/>
      <c r="D3" s="631" t="s">
        <v>304</v>
      </c>
      <c r="E3" s="631" t="s">
        <v>302</v>
      </c>
      <c r="F3" s="632" t="s">
        <v>303</v>
      </c>
    </row>
    <row r="4" spans="1:11" ht="21" x14ac:dyDescent="0.5">
      <c r="A4" s="332" t="s">
        <v>11</v>
      </c>
      <c r="C4" s="640" t="s">
        <v>346</v>
      </c>
      <c r="D4" s="636">
        <f>C67</f>
        <v>109754.40000000002</v>
      </c>
      <c r="E4" s="637">
        <f>D67</f>
        <v>0.21458904184266001</v>
      </c>
      <c r="F4" s="634">
        <f>D4/D6</f>
        <v>0.8854490293044045</v>
      </c>
    </row>
    <row r="5" spans="1:11" ht="21" x14ac:dyDescent="0.5">
      <c r="A5" s="332" t="s">
        <v>60</v>
      </c>
      <c r="C5" s="640" t="s">
        <v>347</v>
      </c>
      <c r="D5" s="636">
        <f>C129</f>
        <v>14198.980000000003</v>
      </c>
      <c r="E5" s="637">
        <f>D129</f>
        <v>0.12379474046000721</v>
      </c>
      <c r="F5" s="635">
        <f>D5/D6</f>
        <v>0.11455097069559539</v>
      </c>
    </row>
    <row r="6" spans="1:11" ht="21" x14ac:dyDescent="0.5">
      <c r="C6" s="641" t="s">
        <v>348</v>
      </c>
      <c r="D6" s="638">
        <f>SUM(D4:D5)</f>
        <v>123953.38000000003</v>
      </c>
      <c r="E6" s="639">
        <f>D6/'ALM-REPR'!G7</f>
        <v>0.19795769009326908</v>
      </c>
      <c r="F6" s="633" t="s">
        <v>213</v>
      </c>
    </row>
    <row r="7" spans="1:11" ht="15" x14ac:dyDescent="0.35">
      <c r="A7" s="283" t="s">
        <v>11</v>
      </c>
      <c r="E7" s="382">
        <v>0.8</v>
      </c>
      <c r="F7" t="s">
        <v>242</v>
      </c>
    </row>
    <row r="8" spans="1:11" ht="18.5" x14ac:dyDescent="0.35">
      <c r="A8" s="287" t="s">
        <v>213</v>
      </c>
      <c r="B8" s="220"/>
      <c r="C8" s="221"/>
    </row>
    <row r="9" spans="1:11" x14ac:dyDescent="0.35">
      <c r="E9" s="420"/>
      <c r="F9" s="375" t="s">
        <v>225</v>
      </c>
      <c r="J9" s="110"/>
    </row>
    <row r="10" spans="1:11" ht="43.5" x14ac:dyDescent="0.35">
      <c r="A10" s="373" t="s">
        <v>0</v>
      </c>
      <c r="B10" s="373" t="s">
        <v>81</v>
      </c>
      <c r="C10" s="373" t="s">
        <v>82</v>
      </c>
      <c r="D10" s="373" t="s">
        <v>83</v>
      </c>
      <c r="E10" s="421"/>
      <c r="F10" s="342"/>
      <c r="G10" s="478" t="s">
        <v>251</v>
      </c>
      <c r="H10" s="479" t="s">
        <v>252</v>
      </c>
      <c r="I10" s="480" t="s">
        <v>301</v>
      </c>
      <c r="J10" s="110"/>
    </row>
    <row r="11" spans="1:11" ht="15" customHeight="1" x14ac:dyDescent="0.35">
      <c r="A11" s="370" t="s">
        <v>5</v>
      </c>
      <c r="B11" s="371">
        <v>148042.47140000013</v>
      </c>
      <c r="C11" s="371">
        <f>SUM(C12:C19)</f>
        <v>37133.750000000015</v>
      </c>
      <c r="D11" s="372">
        <f t="shared" ref="D11:D53" si="0">(C11/B11)</f>
        <v>0.25083173530430525</v>
      </c>
      <c r="E11" s="422"/>
      <c r="F11" s="374" t="s">
        <v>5</v>
      </c>
      <c r="G11" s="476">
        <v>37133.750000000015</v>
      </c>
      <c r="H11" s="477">
        <f>B11</f>
        <v>148042.47140000013</v>
      </c>
      <c r="I11" s="481">
        <f>G11/H11</f>
        <v>0.25083173530430525</v>
      </c>
      <c r="J11" s="110"/>
    </row>
    <row r="12" spans="1:11" ht="15" customHeight="1" x14ac:dyDescent="0.35">
      <c r="A12" s="5" t="s">
        <v>6</v>
      </c>
      <c r="B12" s="33">
        <v>44169.8073</v>
      </c>
      <c r="C12" s="33">
        <v>8736.5499999999993</v>
      </c>
      <c r="D12" s="84">
        <f t="shared" si="0"/>
        <v>0.19779461433149606</v>
      </c>
      <c r="E12" s="423"/>
      <c r="F12" s="374" t="s">
        <v>22</v>
      </c>
      <c r="G12" s="323">
        <v>28544.010000000013</v>
      </c>
      <c r="H12" s="475">
        <f>B61</f>
        <v>74140.410000000062</v>
      </c>
      <c r="I12" s="481">
        <f t="shared" ref="I12:I15" si="1">G12/H12</f>
        <v>0.38499935460297546</v>
      </c>
      <c r="J12" s="110"/>
    </row>
    <row r="13" spans="1:11" x14ac:dyDescent="0.35">
      <c r="A13" s="6" t="s">
        <v>7</v>
      </c>
      <c r="B13" s="13">
        <v>1162.9974999999997</v>
      </c>
      <c r="C13" s="33">
        <v>144.36999999999998</v>
      </c>
      <c r="D13" s="84">
        <f t="shared" si="0"/>
        <v>0.12413612239063283</v>
      </c>
      <c r="E13" s="423"/>
      <c r="F13" s="374" t="s">
        <v>15</v>
      </c>
      <c r="G13" s="323">
        <v>25518.689999999995</v>
      </c>
      <c r="H13" s="475">
        <f>B33</f>
        <v>128880.31080000008</v>
      </c>
      <c r="I13" s="481">
        <f t="shared" si="1"/>
        <v>0.19800301412680935</v>
      </c>
      <c r="J13" s="110"/>
    </row>
    <row r="14" spans="1:11" x14ac:dyDescent="0.35">
      <c r="A14" s="6" t="s">
        <v>8</v>
      </c>
      <c r="B14" s="13">
        <v>5041.5900000000011</v>
      </c>
      <c r="C14" s="33">
        <v>236.17000000000002</v>
      </c>
      <c r="D14" s="84">
        <f t="shared" si="0"/>
        <v>4.6844348707451411E-2</v>
      </c>
      <c r="E14" s="423"/>
      <c r="F14" s="374" t="s">
        <v>13</v>
      </c>
      <c r="G14" s="323">
        <v>8689.4400000000023</v>
      </c>
      <c r="H14" s="475">
        <f>B24</f>
        <v>54378.517699999968</v>
      </c>
      <c r="I14" s="481">
        <f t="shared" si="1"/>
        <v>0.15979545540278689</v>
      </c>
      <c r="J14" s="110"/>
    </row>
    <row r="15" spans="1:11" x14ac:dyDescent="0.35">
      <c r="A15" s="6" t="s">
        <v>26</v>
      </c>
      <c r="B15" s="13">
        <v>82587.188400000101</v>
      </c>
      <c r="C15" s="33">
        <v>26208.130000000016</v>
      </c>
      <c r="D15" s="84">
        <f t="shared" si="0"/>
        <v>0.3173389300173825</v>
      </c>
      <c r="E15" s="423"/>
      <c r="F15" s="374" t="s">
        <v>12</v>
      </c>
      <c r="G15" s="323">
        <v>6175.17</v>
      </c>
      <c r="H15" s="475">
        <f>B20</f>
        <v>58530.640000000029</v>
      </c>
      <c r="I15" s="481">
        <f t="shared" si="1"/>
        <v>0.10550320310866235</v>
      </c>
      <c r="J15" s="110"/>
    </row>
    <row r="16" spans="1:11" x14ac:dyDescent="0.35">
      <c r="A16" s="6" t="s">
        <v>27</v>
      </c>
      <c r="B16" s="13">
        <v>649.94999999999993</v>
      </c>
      <c r="C16" s="86">
        <v>0.09</v>
      </c>
      <c r="D16" s="85">
        <f t="shared" si="0"/>
        <v>1.384721901684745E-4</v>
      </c>
      <c r="E16" s="423"/>
      <c r="J16" s="110"/>
    </row>
    <row r="17" spans="1:10" x14ac:dyDescent="0.35">
      <c r="A17" s="6" t="s">
        <v>28</v>
      </c>
      <c r="B17" s="13">
        <v>3270.502</v>
      </c>
      <c r="C17" s="33">
        <v>423.53999999999996</v>
      </c>
      <c r="D17" s="84">
        <f t="shared" si="0"/>
        <v>0.12950305488270608</v>
      </c>
      <c r="E17" s="423"/>
      <c r="J17" s="110"/>
    </row>
    <row r="18" spans="1:10" x14ac:dyDescent="0.35">
      <c r="A18" s="6" t="s">
        <v>29</v>
      </c>
      <c r="B18" s="13">
        <v>7153.1591999999973</v>
      </c>
      <c r="C18" s="33">
        <v>1033.71</v>
      </c>
      <c r="D18" s="84">
        <f t="shared" si="0"/>
        <v>0.14451097355697051</v>
      </c>
      <c r="E18" s="423"/>
    </row>
    <row r="19" spans="1:10" x14ac:dyDescent="0.35">
      <c r="A19" s="6" t="s">
        <v>30</v>
      </c>
      <c r="B19" s="36">
        <v>4007.2770000000005</v>
      </c>
      <c r="C19" s="33">
        <v>351.19</v>
      </c>
      <c r="D19" s="84">
        <f t="shared" si="0"/>
        <v>8.7638064451247055E-2</v>
      </c>
      <c r="E19" s="423"/>
    </row>
    <row r="20" spans="1:10" x14ac:dyDescent="0.35">
      <c r="A20" s="71" t="s">
        <v>12</v>
      </c>
      <c r="B20" s="72">
        <v>58530.640000000029</v>
      </c>
      <c r="C20" s="72">
        <f>SUM(C21:C23)</f>
        <v>6175.17</v>
      </c>
      <c r="D20" s="88">
        <f t="shared" si="0"/>
        <v>0.10550320310866235</v>
      </c>
      <c r="E20" s="422"/>
    </row>
    <row r="21" spans="1:10" x14ac:dyDescent="0.35">
      <c r="A21" s="6" t="s">
        <v>31</v>
      </c>
      <c r="B21" s="13">
        <v>8839.9900000000034</v>
      </c>
      <c r="C21" s="13">
        <v>387.25</v>
      </c>
      <c r="D21" s="84">
        <f t="shared" si="0"/>
        <v>4.3806610640962244E-2</v>
      </c>
      <c r="E21" s="423"/>
    </row>
    <row r="22" spans="1:10" x14ac:dyDescent="0.35">
      <c r="A22" s="6" t="s">
        <v>32</v>
      </c>
      <c r="B22" s="13">
        <v>18112.820000000014</v>
      </c>
      <c r="C22" s="13">
        <v>3459.8700000000022</v>
      </c>
      <c r="D22" s="84">
        <f t="shared" si="0"/>
        <v>0.19101774323379792</v>
      </c>
      <c r="E22" s="423"/>
    </row>
    <row r="23" spans="1:10" x14ac:dyDescent="0.35">
      <c r="A23" s="6" t="s">
        <v>33</v>
      </c>
      <c r="B23" s="13">
        <v>31577.830000000009</v>
      </c>
      <c r="C23" s="13">
        <v>2328.0499999999984</v>
      </c>
      <c r="D23" s="84">
        <f t="shared" si="0"/>
        <v>7.3724191940991446E-2</v>
      </c>
      <c r="E23" s="423"/>
    </row>
    <row r="24" spans="1:10" x14ac:dyDescent="0.35">
      <c r="A24" s="71" t="s">
        <v>13</v>
      </c>
      <c r="B24" s="73">
        <v>54378.517699999968</v>
      </c>
      <c r="C24" s="73">
        <f>SUM(C25:C27)</f>
        <v>8689.4400000000023</v>
      </c>
      <c r="D24" s="88">
        <f t="shared" si="0"/>
        <v>0.15979545540278689</v>
      </c>
      <c r="E24" s="422"/>
    </row>
    <row r="25" spans="1:10" x14ac:dyDescent="0.35">
      <c r="A25" s="6" t="s">
        <v>34</v>
      </c>
      <c r="B25" s="13">
        <v>11930.393599999999</v>
      </c>
      <c r="C25" s="13">
        <v>3286.2200000000012</v>
      </c>
      <c r="D25" s="84">
        <f t="shared" si="0"/>
        <v>0.27544942021024366</v>
      </c>
      <c r="E25" s="423"/>
    </row>
    <row r="26" spans="1:10" x14ac:dyDescent="0.35">
      <c r="A26" s="6" t="s">
        <v>35</v>
      </c>
      <c r="B26" s="13">
        <v>18234.207599999958</v>
      </c>
      <c r="C26" s="13">
        <v>751.55999999999983</v>
      </c>
      <c r="D26" s="84">
        <f t="shared" si="0"/>
        <v>4.1217036489153584E-2</v>
      </c>
      <c r="E26" s="423"/>
    </row>
    <row r="27" spans="1:10" x14ac:dyDescent="0.35">
      <c r="A27" s="6" t="s">
        <v>36</v>
      </c>
      <c r="B27" s="13">
        <v>24213.91650000001</v>
      </c>
      <c r="C27" s="13">
        <v>4651.6600000000017</v>
      </c>
      <c r="D27" s="84">
        <f t="shared" si="0"/>
        <v>0.19210688200729525</v>
      </c>
      <c r="E27" s="423"/>
    </row>
    <row r="28" spans="1:10" x14ac:dyDescent="0.35">
      <c r="A28" s="71" t="s">
        <v>14</v>
      </c>
      <c r="B28" s="73">
        <v>22011.300000000047</v>
      </c>
      <c r="C28" s="73">
        <f>SUM(C29:C32)</f>
        <v>1830.67</v>
      </c>
      <c r="D28" s="88">
        <f t="shared" si="0"/>
        <v>8.3169553820083147E-2</v>
      </c>
      <c r="E28" s="422"/>
    </row>
    <row r="29" spans="1:10" x14ac:dyDescent="0.35">
      <c r="A29" s="6" t="s">
        <v>37</v>
      </c>
      <c r="B29" s="13">
        <v>514.00000000000011</v>
      </c>
      <c r="C29" s="13">
        <v>100.61999999999998</v>
      </c>
      <c r="D29" s="84">
        <f t="shared" si="0"/>
        <v>0.19575875486381314</v>
      </c>
      <c r="E29" s="423"/>
    </row>
    <row r="30" spans="1:10" x14ac:dyDescent="0.35">
      <c r="A30" s="6" t="s">
        <v>38</v>
      </c>
      <c r="B30" s="13">
        <v>8.870000000000001</v>
      </c>
      <c r="C30" s="13">
        <v>2.19</v>
      </c>
      <c r="D30" s="84">
        <f t="shared" si="0"/>
        <v>0.2468996617812852</v>
      </c>
      <c r="E30" s="423"/>
    </row>
    <row r="31" spans="1:10" x14ac:dyDescent="0.35">
      <c r="A31" s="6" t="s">
        <v>39</v>
      </c>
      <c r="B31" s="13">
        <v>10443.660000000016</v>
      </c>
      <c r="C31" s="13">
        <v>685.6</v>
      </c>
      <c r="D31" s="84">
        <f t="shared" si="0"/>
        <v>6.5647483736544374E-2</v>
      </c>
      <c r="E31" s="423"/>
    </row>
    <row r="32" spans="1:10" x14ac:dyDescent="0.35">
      <c r="A32" s="6" t="s">
        <v>40</v>
      </c>
      <c r="B32" s="13">
        <v>11044.77000000003</v>
      </c>
      <c r="C32" s="13">
        <v>1042.26</v>
      </c>
      <c r="D32" s="84">
        <f t="shared" si="0"/>
        <v>9.4366836068111623E-2</v>
      </c>
      <c r="E32" s="423"/>
    </row>
    <row r="33" spans="1:8" x14ac:dyDescent="0.35">
      <c r="A33" s="71" t="s">
        <v>15</v>
      </c>
      <c r="B33" s="73">
        <v>128880.31080000008</v>
      </c>
      <c r="C33" s="72">
        <f>SUM(C34:C38)</f>
        <v>25518.689999999995</v>
      </c>
      <c r="D33" s="88">
        <f t="shared" si="0"/>
        <v>0.19800301412680935</v>
      </c>
      <c r="E33" s="422"/>
    </row>
    <row r="34" spans="1:8" x14ac:dyDescent="0.35">
      <c r="A34" s="6" t="s">
        <v>41</v>
      </c>
      <c r="B34" s="13">
        <v>66010.020000000033</v>
      </c>
      <c r="C34" s="13">
        <v>12856.919999999995</v>
      </c>
      <c r="D34" s="84">
        <f t="shared" si="0"/>
        <v>0.19477224821322564</v>
      </c>
      <c r="E34" s="423"/>
    </row>
    <row r="35" spans="1:8" x14ac:dyDescent="0.35">
      <c r="A35" s="6" t="s">
        <v>42</v>
      </c>
      <c r="B35" s="13">
        <v>15263.380000000001</v>
      </c>
      <c r="C35" s="13">
        <v>3145.1800000000003</v>
      </c>
      <c r="D35" s="84">
        <f t="shared" si="0"/>
        <v>0.20606051870555539</v>
      </c>
      <c r="E35" s="423"/>
    </row>
    <row r="36" spans="1:8" x14ac:dyDescent="0.35">
      <c r="A36" s="6" t="s">
        <v>43</v>
      </c>
      <c r="B36" s="13">
        <v>27012.940800000022</v>
      </c>
      <c r="C36" s="13">
        <v>5584.3099999999995</v>
      </c>
      <c r="D36" s="84">
        <f t="shared" si="0"/>
        <v>0.20672721423948018</v>
      </c>
      <c r="E36" s="423"/>
    </row>
    <row r="37" spans="1:8" x14ac:dyDescent="0.35">
      <c r="A37" s="6" t="s">
        <v>44</v>
      </c>
      <c r="B37" s="13">
        <v>466.24</v>
      </c>
      <c r="C37" s="13">
        <v>85.99</v>
      </c>
      <c r="D37" s="84">
        <f t="shared" si="0"/>
        <v>0.18443291008922441</v>
      </c>
      <c r="E37" s="423"/>
      <c r="G37" s="141"/>
    </row>
    <row r="38" spans="1:8" x14ac:dyDescent="0.35">
      <c r="A38" s="6" t="s">
        <v>45</v>
      </c>
      <c r="B38" s="13">
        <v>20127.730000000014</v>
      </c>
      <c r="C38" s="13">
        <v>3846.2899999999991</v>
      </c>
      <c r="D38" s="84">
        <f t="shared" si="0"/>
        <v>0.19109407767294156</v>
      </c>
      <c r="E38" s="423"/>
      <c r="G38" s="141"/>
      <c r="H38" s="190"/>
    </row>
    <row r="39" spans="1:8" x14ac:dyDescent="0.35">
      <c r="A39" s="71" t="s">
        <v>16</v>
      </c>
      <c r="B39" s="72">
        <v>2626.43</v>
      </c>
      <c r="C39" s="72">
        <f>SUM(C40:C48)</f>
        <v>452.97</v>
      </c>
      <c r="D39" s="88">
        <f t="shared" si="0"/>
        <v>0.17246604706769267</v>
      </c>
      <c r="E39" s="422"/>
    </row>
    <row r="40" spans="1:8" x14ac:dyDescent="0.35">
      <c r="A40" s="6" t="s">
        <v>46</v>
      </c>
      <c r="B40" s="13">
        <v>52.77</v>
      </c>
      <c r="C40" s="13">
        <v>15.069999999999999</v>
      </c>
      <c r="D40" s="84">
        <f t="shared" si="0"/>
        <v>0.28557892742088303</v>
      </c>
      <c r="E40" s="423"/>
    </row>
    <row r="41" spans="1:8" x14ac:dyDescent="0.35">
      <c r="A41" s="6" t="s">
        <v>47</v>
      </c>
      <c r="B41" s="13">
        <v>136.59</v>
      </c>
      <c r="C41" s="13">
        <v>33.69</v>
      </c>
      <c r="D41" s="84">
        <f t="shared" si="0"/>
        <v>0.2466505600702833</v>
      </c>
      <c r="E41" s="423"/>
    </row>
    <row r="42" spans="1:8" x14ac:dyDescent="0.35">
      <c r="A42" s="6" t="s">
        <v>48</v>
      </c>
      <c r="B42" s="13">
        <v>92.560000000000016</v>
      </c>
      <c r="C42" s="13">
        <v>4.7300000000000004</v>
      </c>
      <c r="D42" s="84">
        <f t="shared" si="0"/>
        <v>5.1101987899740707E-2</v>
      </c>
      <c r="E42" s="423"/>
    </row>
    <row r="43" spans="1:8" x14ac:dyDescent="0.35">
      <c r="A43" s="6" t="s">
        <v>49</v>
      </c>
      <c r="B43" s="13">
        <v>33.69</v>
      </c>
      <c r="C43" s="13">
        <v>6.5200000000000005</v>
      </c>
      <c r="D43" s="84">
        <f t="shared" si="0"/>
        <v>0.19352923716236275</v>
      </c>
      <c r="E43" s="423"/>
    </row>
    <row r="44" spans="1:8" x14ac:dyDescent="0.35">
      <c r="A44" s="6" t="s">
        <v>50</v>
      </c>
      <c r="B44" s="13">
        <v>610.89999999999986</v>
      </c>
      <c r="C44" s="13">
        <v>100.28</v>
      </c>
      <c r="D44" s="84">
        <f t="shared" si="0"/>
        <v>0.16415125225077759</v>
      </c>
      <c r="E44" s="423"/>
    </row>
    <row r="45" spans="1:8" x14ac:dyDescent="0.35">
      <c r="A45" s="6" t="s">
        <v>51</v>
      </c>
      <c r="B45" s="13">
        <v>7.879999999999999</v>
      </c>
      <c r="C45" s="13">
        <v>0</v>
      </c>
      <c r="D45" s="84">
        <f t="shared" si="0"/>
        <v>0</v>
      </c>
      <c r="E45" s="423"/>
    </row>
    <row r="46" spans="1:8" x14ac:dyDescent="0.35">
      <c r="A46" s="6" t="s">
        <v>52</v>
      </c>
      <c r="B46" s="13">
        <v>407.67</v>
      </c>
      <c r="C46" s="13">
        <v>2.08</v>
      </c>
      <c r="D46" s="84">
        <f t="shared" si="0"/>
        <v>5.1021659675718105E-3</v>
      </c>
      <c r="E46" s="423"/>
    </row>
    <row r="47" spans="1:8" x14ac:dyDescent="0.35">
      <c r="A47" s="6" t="s">
        <v>53</v>
      </c>
      <c r="B47" s="13">
        <v>713.04000000000008</v>
      </c>
      <c r="C47" s="13">
        <v>224.34</v>
      </c>
      <c r="D47" s="84">
        <f t="shared" si="0"/>
        <v>0.31462470548636817</v>
      </c>
      <c r="E47" s="423"/>
    </row>
    <row r="48" spans="1:8" x14ac:dyDescent="0.35">
      <c r="A48" s="6" t="s">
        <v>54</v>
      </c>
      <c r="B48" s="13">
        <v>571.33000000000004</v>
      </c>
      <c r="C48" s="13">
        <v>66.259999999999991</v>
      </c>
      <c r="D48" s="84">
        <f t="shared" si="0"/>
        <v>0.11597500568848124</v>
      </c>
      <c r="E48" s="423"/>
    </row>
    <row r="49" spans="1:6" x14ac:dyDescent="0.35">
      <c r="A49" s="71" t="s">
        <v>17</v>
      </c>
      <c r="B49" s="73">
        <v>5864.2199999999975</v>
      </c>
      <c r="C49" s="73">
        <f>SUM(C50:C51)</f>
        <v>933.63999999999953</v>
      </c>
      <c r="D49" s="88">
        <f t="shared" si="0"/>
        <v>0.15920957944961137</v>
      </c>
      <c r="E49" s="422"/>
    </row>
    <row r="50" spans="1:6" x14ac:dyDescent="0.35">
      <c r="A50" s="6" t="s">
        <v>55</v>
      </c>
      <c r="B50" s="13">
        <v>5281.199999999998</v>
      </c>
      <c r="C50" s="13">
        <v>845.99999999999955</v>
      </c>
      <c r="D50" s="84">
        <f t="shared" si="0"/>
        <v>0.16019086571233809</v>
      </c>
      <c r="E50" s="423"/>
    </row>
    <row r="51" spans="1:6" x14ac:dyDescent="0.35">
      <c r="A51" s="6" t="s">
        <v>56</v>
      </c>
      <c r="B51" s="13">
        <v>583.02</v>
      </c>
      <c r="C51" s="13">
        <v>87.64</v>
      </c>
      <c r="D51" s="84">
        <f t="shared" si="0"/>
        <v>0.15032074371376625</v>
      </c>
      <c r="E51" s="423"/>
    </row>
    <row r="52" spans="1:6" x14ac:dyDescent="0.35">
      <c r="A52" s="71" t="s">
        <v>18</v>
      </c>
      <c r="B52" s="73">
        <v>9916.4499000000287</v>
      </c>
      <c r="C52" s="73">
        <v>153.01</v>
      </c>
      <c r="D52" s="88">
        <f t="shared" si="0"/>
        <v>1.5429917111767947E-2</v>
      </c>
      <c r="E52" s="422"/>
    </row>
    <row r="53" spans="1:6" x14ac:dyDescent="0.35">
      <c r="A53" s="6" t="s">
        <v>18</v>
      </c>
      <c r="B53" s="13">
        <v>9916.4499000000287</v>
      </c>
      <c r="C53" s="13">
        <v>153.01</v>
      </c>
      <c r="D53" s="84">
        <f t="shared" si="0"/>
        <v>1.5429917111767947E-2</v>
      </c>
      <c r="E53" s="423"/>
    </row>
    <row r="54" spans="1:6" x14ac:dyDescent="0.35">
      <c r="A54" s="71" t="s">
        <v>19</v>
      </c>
      <c r="B54" s="74">
        <v>0</v>
      </c>
      <c r="C54" s="74"/>
      <c r="D54" s="74"/>
      <c r="E54" s="422"/>
    </row>
    <row r="55" spans="1:6" x14ac:dyDescent="0.35">
      <c r="A55" s="7" t="s">
        <v>57</v>
      </c>
      <c r="B55" s="13">
        <v>0</v>
      </c>
      <c r="C55" s="13"/>
      <c r="D55" s="13"/>
      <c r="E55" s="423"/>
    </row>
    <row r="56" spans="1:6" x14ac:dyDescent="0.35">
      <c r="A56" s="7" t="s">
        <v>58</v>
      </c>
      <c r="B56" s="13">
        <v>0</v>
      </c>
      <c r="C56" s="13"/>
      <c r="D56" s="13"/>
      <c r="E56" s="423"/>
    </row>
    <row r="57" spans="1:6" x14ac:dyDescent="0.35">
      <c r="A57" s="71" t="s">
        <v>20</v>
      </c>
      <c r="B57" s="72">
        <v>5345.1399999999994</v>
      </c>
      <c r="C57" s="72">
        <v>121.61999999999996</v>
      </c>
      <c r="D57" s="88">
        <f t="shared" ref="D57:D67" si="2">(C57/B57)</f>
        <v>2.2753379705676553E-2</v>
      </c>
      <c r="E57" s="422"/>
    </row>
    <row r="58" spans="1:6" x14ac:dyDescent="0.35">
      <c r="A58" s="6" t="s">
        <v>20</v>
      </c>
      <c r="B58" s="13">
        <v>5345.1399999999994</v>
      </c>
      <c r="C58" s="13">
        <v>121.61999999999996</v>
      </c>
      <c r="D58" s="84">
        <f t="shared" si="2"/>
        <v>2.2753379705676553E-2</v>
      </c>
      <c r="E58" s="423"/>
    </row>
    <row r="59" spans="1:6" x14ac:dyDescent="0.35">
      <c r="A59" s="71" t="s">
        <v>21</v>
      </c>
      <c r="B59" s="73">
        <v>378.56000000000006</v>
      </c>
      <c r="C59" s="73">
        <v>50.199999999999996</v>
      </c>
      <c r="D59" s="88">
        <f t="shared" si="2"/>
        <v>0.13260777683854605</v>
      </c>
      <c r="E59" s="422"/>
    </row>
    <row r="60" spans="1:6" x14ac:dyDescent="0.35">
      <c r="A60" s="6" t="s">
        <v>21</v>
      </c>
      <c r="B60" s="13">
        <v>378.56000000000006</v>
      </c>
      <c r="C60" s="13">
        <v>50.199999999999996</v>
      </c>
      <c r="D60" s="84">
        <f t="shared" si="2"/>
        <v>0.13260777683854605</v>
      </c>
      <c r="E60" s="423"/>
    </row>
    <row r="61" spans="1:6" x14ac:dyDescent="0.35">
      <c r="A61" s="71" t="s">
        <v>22</v>
      </c>
      <c r="B61" s="73">
        <v>74140.410000000062</v>
      </c>
      <c r="C61" s="72">
        <v>28544.010000000013</v>
      </c>
      <c r="D61" s="88">
        <f t="shared" si="2"/>
        <v>0.38499935460297546</v>
      </c>
      <c r="E61" s="499">
        <f>C61+C125</f>
        <v>30114.880000000012</v>
      </c>
      <c r="F61">
        <f>E61/(B61+B125)</f>
        <v>0.37126369344678434</v>
      </c>
    </row>
    <row r="62" spans="1:6" x14ac:dyDescent="0.35">
      <c r="A62" s="6" t="s">
        <v>22</v>
      </c>
      <c r="B62" s="13">
        <v>74140.410000000062</v>
      </c>
      <c r="C62" s="13">
        <v>28544.010000000013</v>
      </c>
      <c r="D62" s="84">
        <f t="shared" si="2"/>
        <v>0.38499935460297546</v>
      </c>
      <c r="E62" s="423"/>
    </row>
    <row r="63" spans="1:6" x14ac:dyDescent="0.35">
      <c r="A63" s="71" t="s">
        <v>23</v>
      </c>
      <c r="B63" s="72">
        <v>1338.2993999999999</v>
      </c>
      <c r="C63" s="73">
        <v>151.23000000000002</v>
      </c>
      <c r="D63" s="88">
        <f t="shared" si="2"/>
        <v>0.11300161981691095</v>
      </c>
      <c r="E63" s="422"/>
    </row>
    <row r="64" spans="1:6" x14ac:dyDescent="0.35">
      <c r="A64" s="6" t="s">
        <v>23</v>
      </c>
      <c r="B64" s="13">
        <v>1338.2993999999999</v>
      </c>
      <c r="C64" s="13">
        <v>151.23000000000002</v>
      </c>
      <c r="D64" s="84">
        <f t="shared" si="2"/>
        <v>0.11300161981691095</v>
      </c>
      <c r="E64" s="423"/>
    </row>
    <row r="65" spans="1:9" x14ac:dyDescent="0.35">
      <c r="A65" s="71" t="s">
        <v>24</v>
      </c>
      <c r="B65" s="73">
        <v>10.459999999999999</v>
      </c>
      <c r="C65" s="73">
        <v>0</v>
      </c>
      <c r="D65" s="88">
        <f t="shared" si="2"/>
        <v>0</v>
      </c>
      <c r="E65" s="422"/>
    </row>
    <row r="66" spans="1:9" x14ac:dyDescent="0.35">
      <c r="A66" s="6" t="s">
        <v>59</v>
      </c>
      <c r="B66" s="13">
        <v>10.459999999999999</v>
      </c>
      <c r="C66" s="13">
        <v>0</v>
      </c>
      <c r="D66" s="84">
        <f t="shared" si="2"/>
        <v>0</v>
      </c>
      <c r="E66" s="423"/>
    </row>
    <row r="67" spans="1:9" x14ac:dyDescent="0.35">
      <c r="A67" s="172" t="s">
        <v>25</v>
      </c>
      <c r="B67" s="76">
        <v>511463.20920000027</v>
      </c>
      <c r="C67" s="173">
        <f>SUM(C65,C63,C61,C59,C57,C52,C49,C39,C33,C11,C20,C24,C28)</f>
        <v>109754.40000000002</v>
      </c>
      <c r="D67" s="174">
        <f t="shared" si="2"/>
        <v>0.21458904184266001</v>
      </c>
      <c r="E67" s="422"/>
    </row>
    <row r="68" spans="1:9" x14ac:dyDescent="0.35">
      <c r="A68" s="438" t="s">
        <v>300</v>
      </c>
      <c r="E68" s="420"/>
    </row>
    <row r="71" spans="1:9" ht="15" x14ac:dyDescent="0.35">
      <c r="A71" s="426" t="s">
        <v>60</v>
      </c>
      <c r="B71" s="110"/>
      <c r="C71" s="110"/>
      <c r="D71" s="110"/>
      <c r="F71" s="110"/>
      <c r="G71" s="110"/>
      <c r="H71" s="110"/>
    </row>
    <row r="72" spans="1:9" ht="18.5" x14ac:dyDescent="0.35">
      <c r="A72" s="427" t="s">
        <v>213</v>
      </c>
      <c r="B72" s="428"/>
      <c r="C72" s="429"/>
      <c r="D72" s="110"/>
      <c r="F72" s="110"/>
      <c r="G72" s="110"/>
      <c r="H72" s="110"/>
    </row>
    <row r="73" spans="1:9" x14ac:dyDescent="0.35">
      <c r="A73" s="110"/>
      <c r="B73" s="110"/>
      <c r="C73" s="110"/>
      <c r="D73" s="110"/>
      <c r="F73" s="430" t="s">
        <v>225</v>
      </c>
      <c r="G73" s="110"/>
      <c r="H73" s="110"/>
    </row>
    <row r="74" spans="1:9" ht="43.5" x14ac:dyDescent="0.35">
      <c r="A74" s="373" t="s">
        <v>0</v>
      </c>
      <c r="B74" s="70" t="s">
        <v>81</v>
      </c>
      <c r="C74" s="70" t="s">
        <v>82</v>
      </c>
      <c r="D74" s="70" t="s">
        <v>83</v>
      </c>
      <c r="F74" s="342"/>
      <c r="G74" s="373" t="s">
        <v>251</v>
      </c>
      <c r="H74" s="373" t="s">
        <v>252</v>
      </c>
      <c r="I74" s="480" t="s">
        <v>301</v>
      </c>
    </row>
    <row r="75" spans="1:9" x14ac:dyDescent="0.35">
      <c r="A75" s="71" t="s">
        <v>5</v>
      </c>
      <c r="B75" s="77">
        <v>31217.0419</v>
      </c>
      <c r="C75" s="77">
        <f>SUM(C76:C83)</f>
        <v>3361.14</v>
      </c>
      <c r="D75" s="83">
        <f t="shared" ref="D75:D108" si="3">(C75/B75)</f>
        <v>0.1076700351931808</v>
      </c>
      <c r="E75" s="424">
        <f>C75/$B$129</f>
        <v>2.9304320025082688E-2</v>
      </c>
      <c r="F75" s="374" t="s">
        <v>15</v>
      </c>
      <c r="G75" s="323">
        <v>4137.4100000000017</v>
      </c>
      <c r="H75" s="500">
        <f>B97</f>
        <v>21648.27</v>
      </c>
      <c r="I75" s="481">
        <f>G75/H75</f>
        <v>0.19111965990815902</v>
      </c>
    </row>
    <row r="76" spans="1:9" x14ac:dyDescent="0.35">
      <c r="A76" s="15" t="s">
        <v>6</v>
      </c>
      <c r="B76" s="20">
        <v>1053.9899999999998</v>
      </c>
      <c r="C76" s="20">
        <v>209.51999999999998</v>
      </c>
      <c r="D76" s="82">
        <f t="shared" si="3"/>
        <v>0.1987874647767057</v>
      </c>
      <c r="F76" s="374" t="s">
        <v>5</v>
      </c>
      <c r="G76" s="323">
        <v>3361.14</v>
      </c>
      <c r="H76" s="500">
        <f>B75</f>
        <v>31217.0419</v>
      </c>
      <c r="I76" s="481">
        <f t="shared" ref="I76:I79" si="4">G76/H76</f>
        <v>0.1076700351931808</v>
      </c>
    </row>
    <row r="77" spans="1:9" x14ac:dyDescent="0.35">
      <c r="A77" s="16" t="s">
        <v>7</v>
      </c>
      <c r="B77" s="20">
        <v>811.49000000000012</v>
      </c>
      <c r="C77" s="20">
        <v>6.7799999999999994</v>
      </c>
      <c r="D77" s="82">
        <f t="shared" si="3"/>
        <v>8.3550012939161283E-3</v>
      </c>
      <c r="F77" s="374" t="s">
        <v>13</v>
      </c>
      <c r="G77" s="323">
        <v>3207.9799999999996</v>
      </c>
      <c r="H77" s="500">
        <f>B88</f>
        <v>9095.32</v>
      </c>
      <c r="I77" s="481">
        <f t="shared" si="4"/>
        <v>0.35270666672530482</v>
      </c>
    </row>
    <row r="78" spans="1:9" x14ac:dyDescent="0.35">
      <c r="A78" s="16" t="s">
        <v>8</v>
      </c>
      <c r="B78" s="20">
        <v>7682.93</v>
      </c>
      <c r="C78" s="20">
        <v>286.73</v>
      </c>
      <c r="D78" s="82">
        <f t="shared" si="3"/>
        <v>3.7320397296343975E-2</v>
      </c>
      <c r="F78" s="374" t="s">
        <v>22</v>
      </c>
      <c r="G78" s="323">
        <v>1570.8700000000001</v>
      </c>
      <c r="H78" s="500">
        <f>B125</f>
        <v>6974.1200000000008</v>
      </c>
      <c r="I78" s="481">
        <f t="shared" si="4"/>
        <v>0.2252427546414458</v>
      </c>
    </row>
    <row r="79" spans="1:9" x14ac:dyDescent="0.35">
      <c r="A79" s="16" t="s">
        <v>26</v>
      </c>
      <c r="B79" s="20">
        <v>7164.5299999999988</v>
      </c>
      <c r="C79" s="20">
        <v>2266.63</v>
      </c>
      <c r="D79" s="82">
        <f t="shared" si="3"/>
        <v>0.3163682753788456</v>
      </c>
      <c r="F79" s="374" t="s">
        <v>12</v>
      </c>
      <c r="G79" s="323">
        <v>848.82</v>
      </c>
      <c r="H79" s="500">
        <f>B84</f>
        <v>21715.670000000002</v>
      </c>
      <c r="I79" s="481">
        <f t="shared" si="4"/>
        <v>3.9087902883033314E-2</v>
      </c>
    </row>
    <row r="80" spans="1:9" x14ac:dyDescent="0.35">
      <c r="A80" s="16" t="s">
        <v>27</v>
      </c>
      <c r="B80" s="20">
        <v>751.22</v>
      </c>
      <c r="C80" s="20">
        <v>6.7</v>
      </c>
      <c r="D80" s="82">
        <f t="shared" si="3"/>
        <v>8.9188253773861189E-3</v>
      </c>
      <c r="I80" s="344"/>
    </row>
    <row r="81" spans="1:5" x14ac:dyDescent="0.35">
      <c r="A81" s="16" t="s">
        <v>28</v>
      </c>
      <c r="B81" s="20">
        <v>1906.4999999999998</v>
      </c>
      <c r="C81" s="20">
        <v>270.37999999999994</v>
      </c>
      <c r="D81" s="82">
        <f t="shared" si="3"/>
        <v>0.14182008916863362</v>
      </c>
    </row>
    <row r="82" spans="1:5" x14ac:dyDescent="0.35">
      <c r="A82" s="16" t="s">
        <v>29</v>
      </c>
      <c r="B82" s="20">
        <v>389.33189999999996</v>
      </c>
      <c r="C82" s="20">
        <v>24.21</v>
      </c>
      <c r="D82" s="82">
        <f t="shared" si="3"/>
        <v>6.2183448106872319E-2</v>
      </c>
    </row>
    <row r="83" spans="1:5" x14ac:dyDescent="0.35">
      <c r="A83" s="16" t="s">
        <v>30</v>
      </c>
      <c r="B83" s="20">
        <v>11457.050000000003</v>
      </c>
      <c r="C83" s="20">
        <v>290.19</v>
      </c>
      <c r="D83" s="82">
        <f t="shared" si="3"/>
        <v>2.5328509520339E-2</v>
      </c>
    </row>
    <row r="84" spans="1:5" x14ac:dyDescent="0.35">
      <c r="A84" s="71" t="s">
        <v>12</v>
      </c>
      <c r="B84" s="78">
        <v>21715.670000000002</v>
      </c>
      <c r="C84" s="78">
        <f>SUM(C85:C87)</f>
        <v>848.82</v>
      </c>
      <c r="D84" s="87">
        <f t="shared" si="3"/>
        <v>3.9087902883033314E-2</v>
      </c>
      <c r="E84" s="424">
        <f>C84/$B$129</f>
        <v>7.400492964794887E-3</v>
      </c>
    </row>
    <row r="85" spans="1:5" x14ac:dyDescent="0.35">
      <c r="A85" s="6" t="s">
        <v>31</v>
      </c>
      <c r="B85" s="13">
        <v>6928.84</v>
      </c>
      <c r="C85" s="13">
        <v>225.92</v>
      </c>
      <c r="D85" s="82">
        <f t="shared" si="3"/>
        <v>3.2605746416427564E-2</v>
      </c>
    </row>
    <row r="86" spans="1:5" x14ac:dyDescent="0.35">
      <c r="A86" s="6" t="s">
        <v>32</v>
      </c>
      <c r="B86" s="13">
        <v>1812.6500000000005</v>
      </c>
      <c r="C86" s="13">
        <v>118.10000000000001</v>
      </c>
      <c r="D86" s="82">
        <f t="shared" si="3"/>
        <v>6.5153228698314608E-2</v>
      </c>
    </row>
    <row r="87" spans="1:5" x14ac:dyDescent="0.35">
      <c r="A87" s="6" t="s">
        <v>33</v>
      </c>
      <c r="B87" s="13">
        <v>12974.18</v>
      </c>
      <c r="C87" s="13">
        <v>504.80000000000007</v>
      </c>
      <c r="D87" s="82">
        <f t="shared" si="3"/>
        <v>3.8908046597164528E-2</v>
      </c>
    </row>
    <row r="88" spans="1:5" x14ac:dyDescent="0.35">
      <c r="A88" s="71" t="s">
        <v>13</v>
      </c>
      <c r="B88" s="79">
        <v>9095.32</v>
      </c>
      <c r="C88" s="79">
        <f>SUM(C89:C91)</f>
        <v>3207.9799999999996</v>
      </c>
      <c r="D88" s="87">
        <f t="shared" si="3"/>
        <v>0.35270666672530482</v>
      </c>
      <c r="E88" s="424">
        <f>C88/$B$129</f>
        <v>2.7968984497540938E-2</v>
      </c>
    </row>
    <row r="89" spans="1:5" x14ac:dyDescent="0.35">
      <c r="A89" s="6" t="s">
        <v>34</v>
      </c>
      <c r="B89" s="13">
        <v>4935.1698000000006</v>
      </c>
      <c r="C89" s="13">
        <v>2510.7599999999998</v>
      </c>
      <c r="D89" s="82">
        <f t="shared" si="3"/>
        <v>0.50874845278879754</v>
      </c>
    </row>
    <row r="90" spans="1:5" x14ac:dyDescent="0.35">
      <c r="A90" s="6" t="s">
        <v>61</v>
      </c>
      <c r="B90" s="13">
        <v>1472.1958999999997</v>
      </c>
      <c r="C90" s="13">
        <v>44.06</v>
      </c>
      <c r="D90" s="82">
        <f t="shared" si="3"/>
        <v>2.9928082261334928E-2</v>
      </c>
    </row>
    <row r="91" spans="1:5" x14ac:dyDescent="0.35">
      <c r="A91" s="6" t="s">
        <v>36</v>
      </c>
      <c r="B91" s="13">
        <v>2687.9542999999999</v>
      </c>
      <c r="C91" s="13">
        <v>653.15999999999985</v>
      </c>
      <c r="D91" s="82">
        <f t="shared" si="3"/>
        <v>0.24299520270861744</v>
      </c>
    </row>
    <row r="92" spans="1:5" x14ac:dyDescent="0.35">
      <c r="A92" s="71" t="s">
        <v>14</v>
      </c>
      <c r="B92" s="79">
        <v>11402.1</v>
      </c>
      <c r="C92" s="79">
        <f>SUM(C93:C96)</f>
        <v>483.96000000000004</v>
      </c>
      <c r="D92" s="87">
        <f t="shared" si="3"/>
        <v>4.2444812797642541E-2</v>
      </c>
      <c r="E92" s="424">
        <f>C92/$B$129</f>
        <v>4.2194370717491738E-3</v>
      </c>
    </row>
    <row r="93" spans="1:5" x14ac:dyDescent="0.35">
      <c r="A93" s="6" t="s">
        <v>37</v>
      </c>
      <c r="B93" s="13">
        <v>21.19</v>
      </c>
      <c r="C93" s="13">
        <v>0</v>
      </c>
      <c r="D93" s="82">
        <f t="shared" si="3"/>
        <v>0</v>
      </c>
    </row>
    <row r="94" spans="1:5" x14ac:dyDescent="0.35">
      <c r="A94" s="6" t="s">
        <v>38</v>
      </c>
      <c r="B94" s="13">
        <v>32.72</v>
      </c>
      <c r="C94" s="13">
        <v>5.41</v>
      </c>
      <c r="D94" s="82">
        <f t="shared" si="3"/>
        <v>0.16534229828850858</v>
      </c>
    </row>
    <row r="95" spans="1:5" x14ac:dyDescent="0.35">
      <c r="A95" s="6" t="s">
        <v>39</v>
      </c>
      <c r="B95" s="13">
        <v>7500.0300000000025</v>
      </c>
      <c r="C95" s="13">
        <v>226.71000000000004</v>
      </c>
      <c r="D95" s="82">
        <f t="shared" si="3"/>
        <v>3.022787908848364E-2</v>
      </c>
    </row>
    <row r="96" spans="1:5" x14ac:dyDescent="0.35">
      <c r="A96" s="6" t="s">
        <v>40</v>
      </c>
      <c r="B96" s="13">
        <v>3848.1599999999976</v>
      </c>
      <c r="C96" s="13">
        <v>251.84</v>
      </c>
      <c r="D96" s="82">
        <f t="shared" si="3"/>
        <v>6.5444264271755898E-2</v>
      </c>
    </row>
    <row r="97" spans="1:5" x14ac:dyDescent="0.35">
      <c r="A97" s="71" t="s">
        <v>15</v>
      </c>
      <c r="B97" s="79">
        <v>21648.27</v>
      </c>
      <c r="C97" s="80">
        <f>SUM(C98:C102)</f>
        <v>4137.4100000000017</v>
      </c>
      <c r="D97" s="87">
        <f t="shared" si="3"/>
        <v>0.19111965990815902</v>
      </c>
      <c r="E97" s="425">
        <f>C97/$B$129</f>
        <v>3.6072281046007432E-2</v>
      </c>
    </row>
    <row r="98" spans="1:5" x14ac:dyDescent="0.35">
      <c r="A98" s="6" t="s">
        <v>41</v>
      </c>
      <c r="B98" s="13">
        <v>13011.75</v>
      </c>
      <c r="C98" s="13">
        <v>2077.1200000000008</v>
      </c>
      <c r="D98" s="82">
        <f t="shared" si="3"/>
        <v>0.15963417680173694</v>
      </c>
    </row>
    <row r="99" spans="1:5" x14ac:dyDescent="0.35">
      <c r="A99" s="6" t="s">
        <v>42</v>
      </c>
      <c r="B99" s="13">
        <v>3871.5500000000011</v>
      </c>
      <c r="C99" s="13">
        <v>1030.1700000000003</v>
      </c>
      <c r="D99" s="82">
        <f t="shared" si="3"/>
        <v>0.26608722604641555</v>
      </c>
    </row>
    <row r="100" spans="1:5" x14ac:dyDescent="0.35">
      <c r="A100" s="6" t="s">
        <v>43</v>
      </c>
      <c r="B100" s="13">
        <v>1141.8900000000001</v>
      </c>
      <c r="C100" s="13">
        <v>268.01</v>
      </c>
      <c r="D100" s="82">
        <f t="shared" si="3"/>
        <v>0.23470737111280418</v>
      </c>
    </row>
    <row r="101" spans="1:5" x14ac:dyDescent="0.35">
      <c r="A101" s="6" t="s">
        <v>44</v>
      </c>
      <c r="B101" s="13">
        <v>35.06</v>
      </c>
      <c r="C101" s="13">
        <v>0</v>
      </c>
      <c r="D101" s="82">
        <f t="shared" si="3"/>
        <v>0</v>
      </c>
    </row>
    <row r="102" spans="1:5" x14ac:dyDescent="0.35">
      <c r="A102" s="6" t="s">
        <v>45</v>
      </c>
      <c r="B102" s="13">
        <v>3588.02</v>
      </c>
      <c r="C102" s="13">
        <v>762.11000000000013</v>
      </c>
      <c r="D102" s="82">
        <f t="shared" si="3"/>
        <v>0.21240405571875301</v>
      </c>
    </row>
    <row r="103" spans="1:5" x14ac:dyDescent="0.35">
      <c r="A103" s="71" t="s">
        <v>16</v>
      </c>
      <c r="B103" s="79">
        <v>688.47</v>
      </c>
      <c r="C103" s="79">
        <f>SUM(C104:C112)</f>
        <v>140.08000000000001</v>
      </c>
      <c r="D103" s="87">
        <f t="shared" si="3"/>
        <v>0.20346565572937095</v>
      </c>
      <c r="E103" s="424">
        <f>C103/$B$129</f>
        <v>1.2212966877647414E-3</v>
      </c>
    </row>
    <row r="104" spans="1:5" x14ac:dyDescent="0.35">
      <c r="A104" s="6" t="s">
        <v>46</v>
      </c>
      <c r="B104" s="13">
        <v>12.34</v>
      </c>
      <c r="C104" s="13">
        <v>0</v>
      </c>
      <c r="D104" s="82">
        <f t="shared" si="3"/>
        <v>0</v>
      </c>
    </row>
    <row r="105" spans="1:5" x14ac:dyDescent="0.35">
      <c r="A105" s="6" t="s">
        <v>47</v>
      </c>
      <c r="B105" s="13">
        <v>2.3200000000000003</v>
      </c>
      <c r="C105" s="13">
        <v>1.22</v>
      </c>
      <c r="D105" s="82">
        <f t="shared" si="3"/>
        <v>0.52586206896551713</v>
      </c>
    </row>
    <row r="106" spans="1:5" x14ac:dyDescent="0.35">
      <c r="A106" s="6" t="s">
        <v>48</v>
      </c>
      <c r="B106" s="13">
        <v>59.31</v>
      </c>
      <c r="C106" s="13">
        <v>0</v>
      </c>
      <c r="D106" s="82">
        <f t="shared" si="3"/>
        <v>0</v>
      </c>
    </row>
    <row r="107" spans="1:5" x14ac:dyDescent="0.35">
      <c r="A107" s="6" t="s">
        <v>49</v>
      </c>
      <c r="B107" s="13">
        <v>27.52</v>
      </c>
      <c r="C107" s="13">
        <v>1.8</v>
      </c>
      <c r="D107" s="82">
        <f t="shared" si="3"/>
        <v>6.5406976744186052E-2</v>
      </c>
    </row>
    <row r="108" spans="1:5" x14ac:dyDescent="0.35">
      <c r="A108" s="6" t="s">
        <v>50</v>
      </c>
      <c r="B108" s="13">
        <v>62.73</v>
      </c>
      <c r="C108" s="13">
        <v>0</v>
      </c>
      <c r="D108" s="82">
        <f t="shared" si="3"/>
        <v>0</v>
      </c>
    </row>
    <row r="109" spans="1:5" x14ac:dyDescent="0.35">
      <c r="A109" s="6" t="s">
        <v>51</v>
      </c>
      <c r="B109" s="13">
        <v>0</v>
      </c>
      <c r="C109" s="13">
        <v>0</v>
      </c>
      <c r="D109" s="82"/>
    </row>
    <row r="110" spans="1:5" x14ac:dyDescent="0.35">
      <c r="A110" s="6" t="s">
        <v>52</v>
      </c>
      <c r="B110" s="13">
        <v>79.889999999999986</v>
      </c>
      <c r="C110" s="13">
        <v>2.0499999999999998</v>
      </c>
      <c r="D110" s="82">
        <f t="shared" ref="D110:D117" si="5">(C110/B110)</f>
        <v>2.566028288897234E-2</v>
      </c>
    </row>
    <row r="111" spans="1:5" x14ac:dyDescent="0.35">
      <c r="A111" s="6" t="s">
        <v>53</v>
      </c>
      <c r="B111" s="13">
        <v>394.85000000000008</v>
      </c>
      <c r="C111" s="13">
        <v>129.61000000000001</v>
      </c>
      <c r="D111" s="82">
        <f t="shared" si="5"/>
        <v>0.32825123464606809</v>
      </c>
    </row>
    <row r="112" spans="1:5" x14ac:dyDescent="0.35">
      <c r="A112" s="6" t="s">
        <v>54</v>
      </c>
      <c r="B112" s="13">
        <v>49.510000000000005</v>
      </c>
      <c r="C112" s="13">
        <v>5.4</v>
      </c>
      <c r="D112" s="82">
        <f t="shared" si="5"/>
        <v>0.10906887497475257</v>
      </c>
    </row>
    <row r="113" spans="1:5" x14ac:dyDescent="0.35">
      <c r="A113" s="71" t="s">
        <v>17</v>
      </c>
      <c r="B113" s="79">
        <v>8452.9900000000016</v>
      </c>
      <c r="C113" s="79">
        <f>SUM(C114:C115)</f>
        <v>232.10999999999999</v>
      </c>
      <c r="D113" s="87">
        <f t="shared" si="5"/>
        <v>2.745892281902616E-2</v>
      </c>
      <c r="E113" s="424">
        <f>C113/$B$129</f>
        <v>2.0236662920979018E-3</v>
      </c>
    </row>
    <row r="114" spans="1:5" x14ac:dyDescent="0.35">
      <c r="A114" s="6" t="s">
        <v>55</v>
      </c>
      <c r="B114" s="13">
        <v>5825.8300000000017</v>
      </c>
      <c r="C114" s="13">
        <v>118.04999999999998</v>
      </c>
      <c r="D114" s="82">
        <f t="shared" si="5"/>
        <v>2.0263207131001066E-2</v>
      </c>
    </row>
    <row r="115" spans="1:5" x14ac:dyDescent="0.35">
      <c r="A115" s="6" t="s">
        <v>56</v>
      </c>
      <c r="B115" s="13">
        <v>2627.16</v>
      </c>
      <c r="C115" s="13">
        <v>114.06</v>
      </c>
      <c r="D115" s="82">
        <f t="shared" si="5"/>
        <v>4.3415703649568357E-2</v>
      </c>
    </row>
    <row r="116" spans="1:5" x14ac:dyDescent="0.35">
      <c r="A116" s="71" t="s">
        <v>18</v>
      </c>
      <c r="B116" s="79">
        <v>583.64269999999999</v>
      </c>
      <c r="C116" s="79">
        <v>24.830000000000002</v>
      </c>
      <c r="D116" s="87">
        <f t="shared" si="5"/>
        <v>4.2543151829021422E-2</v>
      </c>
      <c r="E116" s="424">
        <f>C116/$B$129</f>
        <v>2.1648198713020083E-4</v>
      </c>
    </row>
    <row r="117" spans="1:5" x14ac:dyDescent="0.35">
      <c r="A117" s="6" t="s">
        <v>18</v>
      </c>
      <c r="B117" s="13">
        <v>583.64269999999999</v>
      </c>
      <c r="C117" s="13">
        <v>24.830000000000002</v>
      </c>
      <c r="D117" s="82">
        <f t="shared" si="5"/>
        <v>4.2543151829021422E-2</v>
      </c>
    </row>
    <row r="118" spans="1:5" x14ac:dyDescent="0.35">
      <c r="A118" s="71" t="s">
        <v>19</v>
      </c>
      <c r="B118" s="79">
        <v>0</v>
      </c>
      <c r="C118" s="79"/>
      <c r="D118" s="79"/>
      <c r="E118" s="424">
        <f>C118/$B$129</f>
        <v>0</v>
      </c>
    </row>
    <row r="119" spans="1:5" x14ac:dyDescent="0.35">
      <c r="A119" s="6" t="s">
        <v>57</v>
      </c>
      <c r="B119" s="13">
        <v>0</v>
      </c>
      <c r="C119" s="13"/>
      <c r="D119" s="13"/>
    </row>
    <row r="120" spans="1:5" x14ac:dyDescent="0.35">
      <c r="A120" s="10" t="s">
        <v>62</v>
      </c>
      <c r="B120" s="13">
        <v>0</v>
      </c>
      <c r="C120" s="13"/>
      <c r="D120" s="13"/>
    </row>
    <row r="121" spans="1:5" x14ac:dyDescent="0.35">
      <c r="A121" s="71" t="s">
        <v>20</v>
      </c>
      <c r="B121" s="79">
        <v>885.19000000000017</v>
      </c>
      <c r="C121" s="79">
        <v>1.54</v>
      </c>
      <c r="D121" s="483">
        <f t="shared" ref="D121:D129" si="6">(C121/B121)</f>
        <v>1.7397394909567435E-3</v>
      </c>
      <c r="E121" s="424">
        <f>C121/$B$129</f>
        <v>1.3426591227567831E-5</v>
      </c>
    </row>
    <row r="122" spans="1:5" x14ac:dyDescent="0.35">
      <c r="A122" s="6" t="s">
        <v>20</v>
      </c>
      <c r="B122" s="13">
        <v>885.19000000000017</v>
      </c>
      <c r="C122" s="13">
        <v>1.54</v>
      </c>
      <c r="D122" s="484">
        <f t="shared" si="6"/>
        <v>1.7397394909567435E-3</v>
      </c>
    </row>
    <row r="123" spans="1:5" x14ac:dyDescent="0.35">
      <c r="A123" s="71" t="s">
        <v>21</v>
      </c>
      <c r="B123" s="79">
        <v>132.88999999999999</v>
      </c>
      <c r="C123" s="79">
        <v>10.39</v>
      </c>
      <c r="D123" s="483">
        <f t="shared" si="6"/>
        <v>7.8184965008653781E-2</v>
      </c>
      <c r="E123" s="424">
        <f>C123/$B$129</f>
        <v>9.0585897957421921E-5</v>
      </c>
    </row>
    <row r="124" spans="1:5" x14ac:dyDescent="0.35">
      <c r="A124" s="6" t="s">
        <v>21</v>
      </c>
      <c r="B124" s="13">
        <v>132.88999999999999</v>
      </c>
      <c r="C124" s="13">
        <v>10.39</v>
      </c>
      <c r="D124" s="484">
        <f t="shared" si="6"/>
        <v>7.8184965008653781E-2</v>
      </c>
    </row>
    <row r="125" spans="1:5" x14ac:dyDescent="0.35">
      <c r="A125" s="71" t="s">
        <v>22</v>
      </c>
      <c r="B125" s="79">
        <v>6974.1200000000008</v>
      </c>
      <c r="C125" s="79">
        <v>1570.8700000000001</v>
      </c>
      <c r="D125" s="483">
        <f t="shared" si="6"/>
        <v>0.2252427546414458</v>
      </c>
      <c r="E125" s="424">
        <f>C125/$B$129</f>
        <v>1.3695733351720441E-2</v>
      </c>
    </row>
    <row r="126" spans="1:5" x14ac:dyDescent="0.35">
      <c r="A126" s="6" t="s">
        <v>22</v>
      </c>
      <c r="B126" s="13">
        <v>6974.1200000000008</v>
      </c>
      <c r="C126" s="13">
        <v>1570.8700000000001</v>
      </c>
      <c r="D126" s="484">
        <f t="shared" si="6"/>
        <v>0.2252427546414458</v>
      </c>
    </row>
    <row r="127" spans="1:5" x14ac:dyDescent="0.35">
      <c r="A127" s="71" t="s">
        <v>23</v>
      </c>
      <c r="B127" s="79">
        <v>1902.0600000000002</v>
      </c>
      <c r="C127" s="79">
        <v>179.85000000000002</v>
      </c>
      <c r="D127" s="483">
        <f t="shared" si="6"/>
        <v>9.4555376801993635E-2</v>
      </c>
      <c r="E127" s="424">
        <f>C127/$B$129</f>
        <v>1.5680340469338147E-3</v>
      </c>
    </row>
    <row r="128" spans="1:5" x14ac:dyDescent="0.35">
      <c r="A128" s="6" t="s">
        <v>23</v>
      </c>
      <c r="B128" s="13">
        <v>1902.0600000000002</v>
      </c>
      <c r="C128" s="13">
        <v>179.85000000000002</v>
      </c>
      <c r="D128" s="484">
        <f t="shared" si="6"/>
        <v>9.4555376801993635E-2</v>
      </c>
    </row>
    <row r="129" spans="1:5" x14ac:dyDescent="0.35">
      <c r="A129" s="75" t="s">
        <v>25</v>
      </c>
      <c r="B129" s="81">
        <v>114697.76459999999</v>
      </c>
      <c r="C129" s="81">
        <v>14198.980000000003</v>
      </c>
      <c r="D129" s="485">
        <f t="shared" si="6"/>
        <v>0.12379474046000721</v>
      </c>
      <c r="E129" s="424">
        <f>C129/$B$129</f>
        <v>0.12379474046000721</v>
      </c>
    </row>
  </sheetData>
  <conditionalFormatting sqref="H13:H14">
    <cfRule type="cellIs" dxfId="25" priority="30" operator="lessThan">
      <formula>0</formula>
    </cfRule>
  </conditionalFormatting>
  <conditionalFormatting sqref="H11:H15">
    <cfRule type="cellIs" dxfId="24" priority="29" operator="lessThan">
      <formula>0</formula>
    </cfRule>
  </conditionalFormatting>
  <conditionalFormatting sqref="G13:G14">
    <cfRule type="cellIs" dxfId="23" priority="28" operator="lessThan">
      <formula>0</formula>
    </cfRule>
  </conditionalFormatting>
  <conditionalFormatting sqref="G11:G15">
    <cfRule type="cellIs" dxfId="22" priority="27" operator="lessThan">
      <formula>0</formula>
    </cfRule>
  </conditionalFormatting>
  <conditionalFormatting sqref="H78">
    <cfRule type="cellIs" dxfId="21" priority="26" operator="lessThan">
      <formula>0</formula>
    </cfRule>
  </conditionalFormatting>
  <conditionalFormatting sqref="H78:H79">
    <cfRule type="cellIs" dxfId="20" priority="25" operator="lessThan">
      <formula>0</formula>
    </cfRule>
  </conditionalFormatting>
  <conditionalFormatting sqref="H76:H77">
    <cfRule type="cellIs" dxfId="19" priority="16" operator="lessThan">
      <formula>0</formula>
    </cfRule>
  </conditionalFormatting>
  <conditionalFormatting sqref="H75">
    <cfRule type="cellIs" dxfId="18" priority="14" operator="lessThan">
      <formula>0</formula>
    </cfRule>
  </conditionalFormatting>
  <conditionalFormatting sqref="H75">
    <cfRule type="cellIs" dxfId="17" priority="13" operator="lessThan">
      <formula>0</formula>
    </cfRule>
  </conditionalFormatting>
  <conditionalFormatting sqref="G75">
    <cfRule type="cellIs" dxfId="16" priority="1" operator="lessThan">
      <formula>0</formula>
    </cfRule>
  </conditionalFormatting>
  <conditionalFormatting sqref="G78">
    <cfRule type="cellIs" dxfId="15" priority="5" operator="lessThan">
      <formula>0</formula>
    </cfRule>
  </conditionalFormatting>
  <conditionalFormatting sqref="G78:G79">
    <cfRule type="cellIs" dxfId="14" priority="4" operator="lessThan">
      <formula>0</formula>
    </cfRule>
  </conditionalFormatting>
  <conditionalFormatting sqref="G76:G77">
    <cfRule type="cellIs" dxfId="13" priority="3" operator="lessThan">
      <formula>0</formula>
    </cfRule>
  </conditionalFormatting>
  <conditionalFormatting sqref="G75">
    <cfRule type="cellIs" dxfId="12" priority="2" operator="lessThan">
      <formula>0</formula>
    </cfRule>
  </conditionalFormatting>
  <hyperlinks>
    <hyperlink ref="B1" r:id="rId1" xr:uid="{00000000-0004-0000-0800-000000000000}"/>
    <hyperlink ref="K1" location="ÍNDICE!A1" display="ÍNDICE!A1" xr:uid="{00000000-0004-0000-0800-000001000000}"/>
    <hyperlink ref="A4" location="'ALM-ECO'!A7" display="ALMENDRO - SECANO" xr:uid="{00000000-0004-0000-0800-000002000000}"/>
    <hyperlink ref="A5" location="'ALM-ECO'!A71" display="ALMENDRO - REGADÍO" xr:uid="{00000000-0004-0000-0800-000003000000}"/>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ÍNDICE</vt:lpstr>
      <vt:lpstr>FRUTOS SECOS TOTAL</vt:lpstr>
      <vt:lpstr>ALM-REPR</vt:lpstr>
      <vt:lpstr>PIS-REPR</vt:lpstr>
      <vt:lpstr>AVE-REPR</vt:lpstr>
      <vt:lpstr>ALG-REPR</vt:lpstr>
      <vt:lpstr>NOG-REPR</vt:lpstr>
      <vt:lpstr>CAS-REPR</vt:lpstr>
      <vt:lpstr>ALM-ECO</vt:lpstr>
      <vt:lpstr>PIS-ECO</vt:lpstr>
      <vt:lpstr>AVE-ECO</vt:lpstr>
      <vt:lpstr>ALG-ECO</vt:lpstr>
      <vt:lpstr>ALM-EDAD</vt:lpstr>
      <vt:lpstr>PIS-EDAD</vt:lpstr>
      <vt:lpstr>AVE-EDAD</vt:lpstr>
      <vt:lpstr>ALG-EDAD</vt:lpstr>
      <vt:lpstr>NOG-EDAD</vt:lpstr>
      <vt:lpstr>CAS-EDAD</vt:lpstr>
      <vt:lpstr>ALM S-VAR</vt:lpstr>
      <vt:lpstr>ALM R-VAR</vt:lpstr>
      <vt:lpstr>PIS S-VAR</vt:lpstr>
      <vt:lpstr>PIS R-VAR</vt:lpstr>
      <vt:lpstr>AVE S-VAR</vt:lpstr>
      <vt:lpstr>AVE R-VAR</vt:lpstr>
      <vt:lpstr>ALG S-VAR</vt:lpstr>
      <vt:lpstr>ALG R-VAR</vt:lpstr>
      <vt:lpstr>ALM-VAR-EDAD</vt:lpstr>
      <vt:lpstr>PIS-VAR-EDAD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Castañera Lagares, Virginia</dc:creator>
  <cp:lastModifiedBy>Mateo Muñoz, Angelica</cp:lastModifiedBy>
  <dcterms:created xsi:type="dcterms:W3CDTF">2022-02-28T12:23:39Z</dcterms:created>
  <dcterms:modified xsi:type="dcterms:W3CDTF">2022-11-11T10:50:27Z</dcterms:modified>
</cp:coreProperties>
</file>