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8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9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10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11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12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13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drawings/drawing14.xml" ContentType="application/vnd.openxmlformats-officedocument.drawing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drawings/drawing15.xml" ContentType="application/vnd.openxmlformats-officedocument.drawing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drawings/drawing16.xml" ContentType="application/vnd.openxmlformats-officedocument.drawing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Q:\FYH\REUNIONES\2022\FyH\220915 Sectorial cítricos aforo 2022-23\analisis realidad productiva 2021\"/>
    </mc:Choice>
  </mc:AlternateContent>
  <xr:revisionPtr revIDLastSave="0" documentId="8_{E196EA3A-B557-48E9-85E9-F62712FFECC3}" xr6:coauthVersionLast="47" xr6:coauthVersionMax="47" xr10:uidLastSave="{00000000-0000-0000-0000-000000000000}"/>
  <bookViews>
    <workbookView xWindow="-110" yWindow="-110" windowWidth="19420" windowHeight="10420" tabRatio="742" xr2:uid="{00000000-000D-0000-FFFF-FFFF00000000}"/>
  </bookViews>
  <sheets>
    <sheet name="ÍNDICE" sheetId="7" r:id="rId1"/>
    <sheet name="CÍTRICOS" sheetId="20" r:id="rId2"/>
    <sheet name="RSU REGEPA" sheetId="5" state="hidden" r:id="rId3"/>
    <sheet name="NAR-REPR" sheetId="1" r:id="rId4"/>
    <sheet name="LIM-REPR" sheetId="3" r:id="rId5"/>
    <sheet name="PC-REPR" sheetId="2" r:id="rId6"/>
    <sheet name="POM-REPR" sheetId="4" r:id="rId7"/>
    <sheet name="NAR-EDAD" sheetId="8" r:id="rId8"/>
    <sheet name="PC-EDAD" sheetId="9" r:id="rId9"/>
    <sheet name="CLE-EDAD" sheetId="10" r:id="rId10"/>
    <sheet name="MAN-EDAD" sheetId="11" r:id="rId11"/>
    <sheet name="MH-EDAD" sheetId="12" r:id="rId12"/>
    <sheet name="SAT-EDAD" sheetId="13" r:id="rId13"/>
    <sheet name="LIM-EDAD" sheetId="14" r:id="rId14"/>
    <sheet name="POM-EDAD" sheetId="16" r:id="rId15"/>
    <sheet name="NAR-VAR" sheetId="17" r:id="rId16"/>
    <sheet name="PC-VAR" sheetId="18" r:id="rId17"/>
    <sheet name="LIM-VAR" sheetId="19" r:id="rId18"/>
  </sheets>
  <externalReferences>
    <externalReference r:id="rId19"/>
  </externalReferences>
  <definedNames>
    <definedName name="DatosExternos_1" localSheetId="3">'NAR-REPR'!#REF!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1" l="1"/>
  <c r="X39" i="16" l="1"/>
  <c r="C45" i="18"/>
  <c r="C46" i="18"/>
  <c r="C47" i="18"/>
  <c r="C48" i="18"/>
  <c r="C44" i="18"/>
  <c r="J51" i="20"/>
  <c r="J47" i="20"/>
  <c r="J46" i="20"/>
  <c r="J45" i="20"/>
  <c r="J44" i="20"/>
  <c r="J43" i="20"/>
  <c r="J42" i="20"/>
  <c r="J41" i="20"/>
  <c r="J38" i="20"/>
  <c r="J37" i="20"/>
  <c r="J36" i="20"/>
  <c r="J35" i="20"/>
  <c r="J34" i="20"/>
  <c r="J33" i="20"/>
  <c r="J32" i="20"/>
  <c r="J29" i="20"/>
  <c r="J28" i="20"/>
  <c r="J25" i="20"/>
  <c r="J24" i="20"/>
  <c r="J23" i="20"/>
  <c r="J22" i="20"/>
  <c r="J21" i="20"/>
  <c r="J20" i="20"/>
  <c r="J17" i="20"/>
  <c r="J16" i="20"/>
  <c r="J14" i="20"/>
  <c r="J13" i="20"/>
  <c r="J12" i="20"/>
  <c r="J11" i="20"/>
  <c r="J10" i="20"/>
  <c r="J9" i="20"/>
  <c r="S11" i="1"/>
  <c r="Y60" i="8"/>
  <c r="C52" i="20"/>
  <c r="AS9" i="4" l="1"/>
  <c r="R12" i="2" l="1"/>
  <c r="R11" i="2"/>
  <c r="R10" i="2"/>
  <c r="R9" i="2"/>
  <c r="P11" i="2"/>
  <c r="P12" i="2"/>
  <c r="O12" i="2"/>
  <c r="O11" i="2"/>
  <c r="O10" i="2"/>
  <c r="O9" i="2"/>
  <c r="R13" i="1"/>
  <c r="R12" i="1"/>
  <c r="R11" i="1"/>
  <c r="R10" i="1"/>
  <c r="R9" i="1"/>
  <c r="P12" i="1"/>
  <c r="P13" i="1"/>
  <c r="O13" i="1"/>
  <c r="O12" i="1"/>
  <c r="O11" i="1"/>
  <c r="O10" i="1"/>
  <c r="O9" i="1"/>
  <c r="I43" i="20" l="1"/>
  <c r="D29" i="2" l="1"/>
  <c r="D17" i="2"/>
  <c r="D9" i="2"/>
  <c r="P9" i="2" s="1"/>
  <c r="Z5" i="13"/>
  <c r="B34" i="18"/>
  <c r="C11" i="19"/>
  <c r="Z17" i="14"/>
  <c r="Z6" i="8"/>
  <c r="P10" i="2" l="1"/>
  <c r="C32" i="20"/>
  <c r="D28" i="1"/>
  <c r="H28" i="1" l="1"/>
  <c r="P11" i="1"/>
  <c r="AB6" i="14"/>
  <c r="AB7" i="14"/>
  <c r="AB8" i="14"/>
  <c r="AB9" i="14"/>
  <c r="AB10" i="14"/>
  <c r="AB11" i="14"/>
  <c r="AB12" i="14"/>
  <c r="AB13" i="14"/>
  <c r="AB14" i="14"/>
  <c r="AB15" i="14"/>
  <c r="AB16" i="14"/>
  <c r="AB18" i="14"/>
  <c r="AB19" i="14"/>
  <c r="AB20" i="14"/>
  <c r="AB21" i="14"/>
  <c r="AB22" i="14"/>
  <c r="AB24" i="14"/>
  <c r="AB25" i="14"/>
  <c r="AB27" i="14"/>
  <c r="AB28" i="14"/>
  <c r="AB30" i="14"/>
  <c r="AB31" i="14"/>
  <c r="AB32" i="14"/>
  <c r="AB33" i="14"/>
  <c r="AB34" i="14"/>
  <c r="AB35" i="14"/>
  <c r="AB36" i="14"/>
  <c r="AB6" i="9"/>
  <c r="AB7" i="9"/>
  <c r="AB8" i="9"/>
  <c r="AB9" i="9"/>
  <c r="AB10" i="9"/>
  <c r="AB11" i="9"/>
  <c r="AB12" i="9"/>
  <c r="AB14" i="9"/>
  <c r="AB15" i="9"/>
  <c r="AB16" i="9"/>
  <c r="AB18" i="9"/>
  <c r="AB19" i="9"/>
  <c r="AB21" i="9"/>
  <c r="AB22" i="9"/>
  <c r="AB23" i="9"/>
  <c r="AB24" i="9"/>
  <c r="AB25" i="9"/>
  <c r="AB26" i="9"/>
  <c r="AB27" i="9"/>
  <c r="AB28" i="9"/>
  <c r="AB29" i="9"/>
  <c r="D9" i="19" l="1"/>
  <c r="D10" i="19"/>
  <c r="E19" i="18"/>
  <c r="D30" i="2" l="1"/>
  <c r="D32" i="2"/>
  <c r="AS30" i="4" l="1"/>
  <c r="AS17" i="4"/>
  <c r="AQ46" i="3"/>
  <c r="AQ21" i="3"/>
  <c r="AQ9" i="3"/>
  <c r="AS33" i="2"/>
  <c r="AS22" i="2"/>
  <c r="AS14" i="2"/>
  <c r="AV6" i="2"/>
  <c r="CC8" i="1"/>
  <c r="CC19" i="1"/>
  <c r="CC27" i="1"/>
  <c r="CC39" i="1"/>
  <c r="CC44" i="1"/>
  <c r="B55" i="1"/>
  <c r="B54" i="1"/>
  <c r="B53" i="1"/>
  <c r="B59" i="20"/>
  <c r="B58" i="20"/>
  <c r="B57" i="20"/>
  <c r="B56" i="20"/>
  <c r="B55" i="20"/>
  <c r="C55" i="20" s="1"/>
  <c r="H23" i="4"/>
  <c r="H25" i="4"/>
  <c r="H31" i="4"/>
  <c r="G31" i="4"/>
  <c r="H29" i="4"/>
  <c r="G29" i="4"/>
  <c r="H28" i="4"/>
  <c r="G28" i="4"/>
  <c r="H26" i="4"/>
  <c r="G26" i="4"/>
  <c r="H24" i="4"/>
  <c r="G24" i="4"/>
  <c r="H22" i="4"/>
  <c r="G22" i="4"/>
  <c r="H20" i="4"/>
  <c r="G20" i="4"/>
  <c r="H19" i="4"/>
  <c r="G19" i="4"/>
  <c r="H18" i="4"/>
  <c r="G18" i="4"/>
  <c r="G32" i="4"/>
  <c r="G17" i="4"/>
  <c r="H21" i="4"/>
  <c r="G21" i="4"/>
  <c r="G23" i="4"/>
  <c r="G25" i="4"/>
  <c r="H27" i="4"/>
  <c r="G27" i="4"/>
  <c r="H30" i="4"/>
  <c r="G30" i="4"/>
  <c r="G12" i="4"/>
  <c r="H12" i="4"/>
  <c r="G13" i="4"/>
  <c r="H13" i="4"/>
  <c r="G14" i="4"/>
  <c r="H14" i="4"/>
  <c r="G15" i="4"/>
  <c r="H15" i="4"/>
  <c r="G16" i="4"/>
  <c r="H16" i="4"/>
  <c r="H11" i="4"/>
  <c r="G11" i="4"/>
  <c r="H10" i="4"/>
  <c r="G10" i="4"/>
  <c r="G9" i="4"/>
  <c r="H49" i="3"/>
  <c r="G49" i="3"/>
  <c r="H47" i="3"/>
  <c r="G47" i="3"/>
  <c r="H45" i="3"/>
  <c r="G45" i="3"/>
  <c r="H44" i="3"/>
  <c r="G44" i="3"/>
  <c r="H42" i="3"/>
  <c r="G42" i="3"/>
  <c r="G39" i="3"/>
  <c r="H39" i="3"/>
  <c r="G40" i="3"/>
  <c r="H40" i="3"/>
  <c r="H38" i="3"/>
  <c r="G38" i="3"/>
  <c r="H37" i="3"/>
  <c r="G37" i="3"/>
  <c r="H35" i="3"/>
  <c r="G35" i="3"/>
  <c r="H34" i="3"/>
  <c r="G34" i="3"/>
  <c r="G50" i="3"/>
  <c r="H48" i="3"/>
  <c r="G48" i="3"/>
  <c r="H46" i="3"/>
  <c r="G46" i="3"/>
  <c r="H43" i="3"/>
  <c r="G43" i="3"/>
  <c r="H41" i="3"/>
  <c r="G41" i="3"/>
  <c r="G36" i="3"/>
  <c r="G33" i="3"/>
  <c r="G29" i="3"/>
  <c r="H27" i="3"/>
  <c r="G27" i="3"/>
  <c r="H28" i="3"/>
  <c r="G28" i="3"/>
  <c r="H26" i="3"/>
  <c r="G26" i="3"/>
  <c r="H32" i="3"/>
  <c r="G32" i="3"/>
  <c r="H31" i="3"/>
  <c r="G31" i="3"/>
  <c r="H30" i="3"/>
  <c r="G30" i="3"/>
  <c r="H24" i="3"/>
  <c r="G24" i="3"/>
  <c r="H23" i="3"/>
  <c r="G23" i="3"/>
  <c r="H22" i="3"/>
  <c r="G22" i="3"/>
  <c r="G21" i="3"/>
  <c r="H19" i="3"/>
  <c r="G19" i="3"/>
  <c r="H17" i="3"/>
  <c r="G17" i="3"/>
  <c r="G14" i="3"/>
  <c r="H14" i="3"/>
  <c r="G15" i="3"/>
  <c r="H15" i="3"/>
  <c r="G16" i="3"/>
  <c r="H16" i="3"/>
  <c r="H13" i="3"/>
  <c r="G13" i="3"/>
  <c r="H12" i="3"/>
  <c r="G12" i="3"/>
  <c r="H11" i="3"/>
  <c r="G11" i="3"/>
  <c r="H10" i="3"/>
  <c r="G10" i="3"/>
  <c r="G9" i="3"/>
  <c r="L45" i="3"/>
  <c r="L44" i="3"/>
  <c r="L43" i="3"/>
  <c r="K45" i="3"/>
  <c r="K44" i="3"/>
  <c r="K43" i="3"/>
  <c r="I45" i="3"/>
  <c r="I44" i="3"/>
  <c r="I50" i="3"/>
  <c r="I43" i="3"/>
  <c r="G37" i="2"/>
  <c r="H35" i="2"/>
  <c r="G35" i="2"/>
  <c r="H34" i="2"/>
  <c r="G34" i="2"/>
  <c r="H32" i="2"/>
  <c r="G32" i="2"/>
  <c r="H30" i="2"/>
  <c r="G30" i="2"/>
  <c r="H29" i="2"/>
  <c r="G29" i="2"/>
  <c r="H27" i="2"/>
  <c r="G27" i="2"/>
  <c r="H26" i="2"/>
  <c r="G26" i="2"/>
  <c r="H24" i="2"/>
  <c r="G24" i="2"/>
  <c r="H22" i="2"/>
  <c r="G22" i="2"/>
  <c r="H20" i="2"/>
  <c r="G20" i="2"/>
  <c r="H19" i="2"/>
  <c r="G19" i="2"/>
  <c r="H18" i="2"/>
  <c r="G18" i="2"/>
  <c r="G11" i="2"/>
  <c r="H11" i="2"/>
  <c r="G12" i="2"/>
  <c r="H12" i="2"/>
  <c r="G13" i="2"/>
  <c r="H13" i="2"/>
  <c r="G14" i="2"/>
  <c r="H14" i="2"/>
  <c r="G15" i="2"/>
  <c r="H15" i="2"/>
  <c r="G16" i="2"/>
  <c r="H16" i="2"/>
  <c r="H10" i="2"/>
  <c r="G10" i="2"/>
  <c r="I38" i="2"/>
  <c r="J33" i="2"/>
  <c r="I35" i="2"/>
  <c r="I34" i="2"/>
  <c r="I33" i="2"/>
  <c r="L35" i="2"/>
  <c r="K35" i="2"/>
  <c r="L34" i="2"/>
  <c r="K34" i="2"/>
  <c r="L33" i="2"/>
  <c r="K33" i="2"/>
  <c r="G38" i="2"/>
  <c r="H36" i="2"/>
  <c r="S12" i="2" s="1"/>
  <c r="G36" i="2"/>
  <c r="H33" i="2"/>
  <c r="G33" i="2"/>
  <c r="H31" i="2"/>
  <c r="G31" i="2"/>
  <c r="G28" i="2"/>
  <c r="G25" i="2"/>
  <c r="H23" i="2"/>
  <c r="G23" i="2"/>
  <c r="H21" i="2"/>
  <c r="G21" i="2"/>
  <c r="G17" i="2"/>
  <c r="G9" i="2"/>
  <c r="G47" i="1"/>
  <c r="H46" i="1"/>
  <c r="G46" i="1"/>
  <c r="H44" i="1"/>
  <c r="G44" i="1"/>
  <c r="H43" i="1"/>
  <c r="G43" i="1"/>
  <c r="H41" i="1"/>
  <c r="G41" i="1"/>
  <c r="G38" i="1"/>
  <c r="H38" i="1"/>
  <c r="G39" i="1"/>
  <c r="H39" i="1"/>
  <c r="H37" i="1"/>
  <c r="G37" i="1"/>
  <c r="H36" i="1"/>
  <c r="G36" i="1"/>
  <c r="H45" i="1"/>
  <c r="S13" i="1" s="1"/>
  <c r="G45" i="1"/>
  <c r="H42" i="1"/>
  <c r="G42" i="1"/>
  <c r="H40" i="1"/>
  <c r="S12" i="1" s="1"/>
  <c r="G40" i="1"/>
  <c r="H35" i="1"/>
  <c r="G35" i="1"/>
  <c r="G32" i="1"/>
  <c r="H34" i="1"/>
  <c r="G34" i="1"/>
  <c r="H33" i="1"/>
  <c r="G33" i="1"/>
  <c r="H30" i="1"/>
  <c r="G30" i="1"/>
  <c r="H26" i="1"/>
  <c r="G26" i="1"/>
  <c r="H24" i="1"/>
  <c r="G24" i="1"/>
  <c r="G28" i="1"/>
  <c r="H27" i="1"/>
  <c r="G27" i="1"/>
  <c r="H25" i="1"/>
  <c r="G25" i="1"/>
  <c r="H31" i="1"/>
  <c r="G31" i="1"/>
  <c r="H29" i="1"/>
  <c r="G29" i="1"/>
  <c r="H23" i="1"/>
  <c r="G23" i="1"/>
  <c r="H22" i="1"/>
  <c r="G22" i="1"/>
  <c r="H21" i="1"/>
  <c r="G21" i="1"/>
  <c r="G20" i="1"/>
  <c r="H18" i="1"/>
  <c r="G18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H10" i="1"/>
  <c r="G10" i="1"/>
  <c r="G9" i="1"/>
  <c r="B52" i="1"/>
  <c r="I49" i="20"/>
  <c r="I50" i="20"/>
  <c r="I48" i="20"/>
  <c r="F20" i="20"/>
  <c r="F18" i="20"/>
  <c r="F24" i="20"/>
  <c r="F26" i="20"/>
  <c r="F28" i="20"/>
  <c r="F33" i="20"/>
  <c r="F36" i="20"/>
  <c r="F41" i="20"/>
  <c r="G43" i="20"/>
  <c r="F43" i="20"/>
  <c r="F46" i="20"/>
  <c r="G48" i="20"/>
  <c r="F48" i="20"/>
  <c r="F51" i="20"/>
  <c r="G50" i="20"/>
  <c r="F50" i="20"/>
  <c r="G49" i="20"/>
  <c r="F49" i="20"/>
  <c r="G47" i="20"/>
  <c r="F47" i="20"/>
  <c r="G45" i="20"/>
  <c r="F45" i="20"/>
  <c r="G44" i="20"/>
  <c r="F44" i="20"/>
  <c r="G42" i="20"/>
  <c r="F42" i="20"/>
  <c r="F38" i="20"/>
  <c r="G38" i="20"/>
  <c r="F39" i="20"/>
  <c r="G39" i="20"/>
  <c r="F40" i="20"/>
  <c r="G40" i="20"/>
  <c r="G37" i="20"/>
  <c r="F37" i="20"/>
  <c r="F35" i="20"/>
  <c r="F34" i="20"/>
  <c r="F30" i="20"/>
  <c r="F31" i="20"/>
  <c r="G31" i="20"/>
  <c r="F32" i="20"/>
  <c r="G32" i="20"/>
  <c r="F29" i="20"/>
  <c r="F27" i="20"/>
  <c r="F25" i="20"/>
  <c r="F22" i="20"/>
  <c r="F23" i="20"/>
  <c r="F21" i="20"/>
  <c r="G19" i="20"/>
  <c r="F19" i="20"/>
  <c r="F11" i="20"/>
  <c r="F12" i="20"/>
  <c r="F13" i="20"/>
  <c r="F14" i="20"/>
  <c r="F15" i="20"/>
  <c r="F16" i="20"/>
  <c r="F17" i="20"/>
  <c r="F10" i="20"/>
  <c r="F9" i="20"/>
  <c r="G52" i="1" l="1"/>
  <c r="C57" i="20"/>
  <c r="C56" i="20"/>
  <c r="C58" i="20"/>
  <c r="L46" i="1"/>
  <c r="L41" i="1"/>
  <c r="L34" i="1"/>
  <c r="L33" i="1"/>
  <c r="L31" i="1"/>
  <c r="L30" i="1"/>
  <c r="L29" i="1"/>
  <c r="L27" i="1"/>
  <c r="L25" i="1"/>
  <c r="L22" i="1"/>
  <c r="L23" i="1"/>
  <c r="L21" i="1"/>
  <c r="L19" i="1"/>
  <c r="C55" i="1" l="1"/>
  <c r="C54" i="1"/>
  <c r="C53" i="1"/>
  <c r="C52" i="1"/>
  <c r="C56" i="1" s="1"/>
  <c r="I19" i="20"/>
  <c r="I37" i="20"/>
  <c r="I38" i="20"/>
  <c r="I39" i="20"/>
  <c r="I40" i="20"/>
  <c r="I42" i="20"/>
  <c r="I44" i="20"/>
  <c r="I45" i="20"/>
  <c r="I47" i="20"/>
  <c r="H19" i="20"/>
  <c r="H37" i="20"/>
  <c r="H38" i="20"/>
  <c r="H39" i="20"/>
  <c r="H40" i="20"/>
  <c r="H42" i="20"/>
  <c r="H43" i="20"/>
  <c r="H44" i="20"/>
  <c r="H45" i="20"/>
  <c r="H47" i="20"/>
  <c r="H48" i="20"/>
  <c r="H49" i="20"/>
  <c r="H50" i="20"/>
  <c r="C46" i="20"/>
  <c r="I46" i="20" s="1"/>
  <c r="C41" i="20"/>
  <c r="I32" i="20"/>
  <c r="C30" i="20"/>
  <c r="C27" i="20"/>
  <c r="C26" i="20"/>
  <c r="C25" i="20"/>
  <c r="C24" i="20"/>
  <c r="C18" i="20"/>
  <c r="C15" i="20"/>
  <c r="I24" i="20" l="1"/>
  <c r="G24" i="20"/>
  <c r="I30" i="20"/>
  <c r="G30" i="20"/>
  <c r="I25" i="20"/>
  <c r="G25" i="20"/>
  <c r="H15" i="20"/>
  <c r="G15" i="20"/>
  <c r="H26" i="20"/>
  <c r="G26" i="20"/>
  <c r="I41" i="20"/>
  <c r="G41" i="20"/>
  <c r="I18" i="20"/>
  <c r="G18" i="20"/>
  <c r="I27" i="20"/>
  <c r="G27" i="20"/>
  <c r="G46" i="20"/>
  <c r="H32" i="20"/>
  <c r="H24" i="20"/>
  <c r="H30" i="20"/>
  <c r="I26" i="20"/>
  <c r="H46" i="20"/>
  <c r="H18" i="20"/>
  <c r="H41" i="20"/>
  <c r="H25" i="20"/>
  <c r="I15" i="20"/>
  <c r="H27" i="20"/>
  <c r="C34" i="16" l="1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B37" i="16"/>
  <c r="B35" i="16"/>
  <c r="B34" i="16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C48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B49" i="14"/>
  <c r="B48" i="14"/>
  <c r="B44" i="14"/>
  <c r="B42" i="14"/>
  <c r="B41" i="14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B26" i="13"/>
  <c r="B25" i="13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B35" i="12"/>
  <c r="B34" i="12"/>
  <c r="B32" i="12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B45" i="11"/>
  <c r="B43" i="11"/>
  <c r="B41" i="11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B35" i="10"/>
  <c r="B34" i="10"/>
  <c r="B33" i="10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B40" i="9"/>
  <c r="B38" i="9"/>
  <c r="O42" i="5" l="1"/>
  <c r="M42" i="5"/>
  <c r="K42" i="5"/>
  <c r="I42" i="5"/>
  <c r="G42" i="5"/>
  <c r="E42" i="5"/>
  <c r="C42" i="5"/>
  <c r="Y64" i="8" l="1"/>
  <c r="Y63" i="8"/>
  <c r="Y62" i="8"/>
  <c r="Y61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B64" i="8"/>
  <c r="B70" i="8" s="1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B63" i="8"/>
  <c r="B69" i="8" s="1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B62" i="8"/>
  <c r="B68" i="8" s="1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B61" i="8"/>
  <c r="B67" i="8" s="1"/>
  <c r="W60" i="8"/>
  <c r="O60" i="8"/>
  <c r="G60" i="8"/>
  <c r="X60" i="8"/>
  <c r="V60" i="8"/>
  <c r="U60" i="8"/>
  <c r="T60" i="8"/>
  <c r="R60" i="8"/>
  <c r="Q60" i="8"/>
  <c r="P60" i="8"/>
  <c r="N60" i="8"/>
  <c r="M60" i="8"/>
  <c r="L60" i="8"/>
  <c r="J60" i="8"/>
  <c r="I60" i="8"/>
  <c r="H60" i="8"/>
  <c r="F60" i="8"/>
  <c r="E60" i="8"/>
  <c r="D60" i="8"/>
  <c r="B60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B43" i="8"/>
  <c r="B28" i="18"/>
  <c r="C28" i="18" s="1"/>
  <c r="E8" i="18"/>
  <c r="E9" i="18"/>
  <c r="E10" i="18"/>
  <c r="E11" i="18"/>
  <c r="E12" i="18"/>
  <c r="E13" i="18"/>
  <c r="E14" i="18"/>
  <c r="E15" i="18"/>
  <c r="E16" i="18"/>
  <c r="E17" i="18"/>
  <c r="E18" i="18"/>
  <c r="E7" i="18"/>
  <c r="B42" i="18"/>
  <c r="B41" i="18"/>
  <c r="B40" i="18"/>
  <c r="B39" i="18"/>
  <c r="B38" i="18"/>
  <c r="B37" i="18"/>
  <c r="B36" i="18"/>
  <c r="B35" i="18"/>
  <c r="B33" i="18"/>
  <c r="B32" i="18"/>
  <c r="B31" i="18"/>
  <c r="B30" i="18"/>
  <c r="B29" i="18"/>
  <c r="C26" i="18"/>
  <c r="C25" i="18"/>
  <c r="C24" i="18"/>
  <c r="C23" i="18"/>
  <c r="E7" i="17"/>
  <c r="E8" i="17"/>
  <c r="E9" i="17"/>
  <c r="E10" i="17"/>
  <c r="E11" i="17"/>
  <c r="E12" i="17"/>
  <c r="E6" i="17"/>
  <c r="C68" i="8" l="1"/>
  <c r="D68" i="8" s="1"/>
  <c r="E68" i="8" s="1"/>
  <c r="C69" i="8"/>
  <c r="D69" i="8" s="1"/>
  <c r="E69" i="8" s="1"/>
  <c r="F69" i="8" s="1"/>
  <c r="G69" i="8" s="1"/>
  <c r="H69" i="8" s="1"/>
  <c r="I69" i="8" s="1"/>
  <c r="J69" i="8" s="1"/>
  <c r="K69" i="8" s="1"/>
  <c r="L69" i="8" s="1"/>
  <c r="M69" i="8" s="1"/>
  <c r="N69" i="8" s="1"/>
  <c r="O69" i="8" s="1"/>
  <c r="P69" i="8" s="1"/>
  <c r="Q69" i="8" s="1"/>
  <c r="R69" i="8" s="1"/>
  <c r="S69" i="8" s="1"/>
  <c r="T69" i="8" s="1"/>
  <c r="U69" i="8" s="1"/>
  <c r="V69" i="8" s="1"/>
  <c r="W69" i="8" s="1"/>
  <c r="X69" i="8" s="1"/>
  <c r="C67" i="8"/>
  <c r="D67" i="8" s="1"/>
  <c r="E67" i="8" s="1"/>
  <c r="F67" i="8" s="1"/>
  <c r="G67" i="8" s="1"/>
  <c r="H67" i="8" s="1"/>
  <c r="I67" i="8" s="1"/>
  <c r="J67" i="8" s="1"/>
  <c r="K67" i="8" s="1"/>
  <c r="L67" i="8" s="1"/>
  <c r="M67" i="8" s="1"/>
  <c r="N67" i="8" s="1"/>
  <c r="O67" i="8" s="1"/>
  <c r="P67" i="8" s="1"/>
  <c r="Q67" i="8" s="1"/>
  <c r="R67" i="8" s="1"/>
  <c r="S67" i="8" s="1"/>
  <c r="T67" i="8" s="1"/>
  <c r="U67" i="8" s="1"/>
  <c r="V67" i="8" s="1"/>
  <c r="W67" i="8" s="1"/>
  <c r="X67" i="8" s="1"/>
  <c r="C70" i="8"/>
  <c r="D70" i="8" s="1"/>
  <c r="E70" i="8" s="1"/>
  <c r="F70" i="8" s="1"/>
  <c r="G70" i="8" s="1"/>
  <c r="H70" i="8" s="1"/>
  <c r="I70" i="8" s="1"/>
  <c r="J70" i="8" s="1"/>
  <c r="K70" i="8" s="1"/>
  <c r="L70" i="8" s="1"/>
  <c r="M70" i="8" s="1"/>
  <c r="N70" i="8" s="1"/>
  <c r="O70" i="8" s="1"/>
  <c r="P70" i="8" s="1"/>
  <c r="Q70" i="8" s="1"/>
  <c r="R70" i="8" s="1"/>
  <c r="S70" i="8" s="1"/>
  <c r="T70" i="8" s="1"/>
  <c r="U70" i="8" s="1"/>
  <c r="V70" i="8" s="1"/>
  <c r="W70" i="8" s="1"/>
  <c r="X70" i="8" s="1"/>
  <c r="F68" i="8"/>
  <c r="G68" i="8" s="1"/>
  <c r="H68" i="8" s="1"/>
  <c r="I68" i="8" s="1"/>
  <c r="J68" i="8" s="1"/>
  <c r="K68" i="8" s="1"/>
  <c r="L68" i="8" s="1"/>
  <c r="M68" i="8" s="1"/>
  <c r="N68" i="8" s="1"/>
  <c r="O68" i="8" s="1"/>
  <c r="P68" i="8" s="1"/>
  <c r="Q68" i="8" s="1"/>
  <c r="R68" i="8" s="1"/>
  <c r="S68" i="8" s="1"/>
  <c r="T68" i="8" s="1"/>
  <c r="U68" i="8" s="1"/>
  <c r="V68" i="8" s="1"/>
  <c r="W68" i="8" s="1"/>
  <c r="X68" i="8" s="1"/>
  <c r="C60" i="8"/>
  <c r="K60" i="8"/>
  <c r="S60" i="8"/>
  <c r="D8" i="19"/>
  <c r="D7" i="19"/>
  <c r="C35" i="18"/>
  <c r="C39" i="18"/>
  <c r="C33" i="18"/>
  <c r="B44" i="18"/>
  <c r="B45" i="18"/>
  <c r="D26" i="18"/>
  <c r="B46" i="18"/>
  <c r="B47" i="18"/>
  <c r="B65" i="8" l="1"/>
  <c r="B71" i="8" s="1"/>
  <c r="W65" i="8"/>
  <c r="R65" i="8"/>
  <c r="N65" i="8"/>
  <c r="K65" i="8"/>
  <c r="J65" i="8"/>
  <c r="I65" i="8"/>
  <c r="P65" i="8"/>
  <c r="X65" i="8"/>
  <c r="T65" i="8"/>
  <c r="Q65" i="8"/>
  <c r="O65" i="8"/>
  <c r="E65" i="8"/>
  <c r="B48" i="18"/>
  <c r="V65" i="8" l="1"/>
  <c r="M65" i="8"/>
  <c r="H65" i="8"/>
  <c r="D65" i="8"/>
  <c r="L65" i="8"/>
  <c r="Y65" i="8"/>
  <c r="G65" i="8"/>
  <c r="C65" i="8"/>
  <c r="C71" i="8" s="1"/>
  <c r="D71" i="8" s="1"/>
  <c r="E71" i="8" s="1"/>
  <c r="S65" i="8"/>
  <c r="U65" i="8"/>
  <c r="F65" i="8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B29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B26" i="14"/>
  <c r="C23" i="14"/>
  <c r="C45" i="14" s="1"/>
  <c r="D23" i="14"/>
  <c r="E23" i="14"/>
  <c r="F23" i="14"/>
  <c r="G23" i="14"/>
  <c r="G45" i="14" s="1"/>
  <c r="H23" i="14"/>
  <c r="I23" i="14"/>
  <c r="J23" i="14"/>
  <c r="K23" i="14"/>
  <c r="K45" i="14" s="1"/>
  <c r="L23" i="14"/>
  <c r="M23" i="14"/>
  <c r="N23" i="14"/>
  <c r="O23" i="14"/>
  <c r="O45" i="14" s="1"/>
  <c r="P23" i="14"/>
  <c r="Q23" i="14"/>
  <c r="R23" i="14"/>
  <c r="S23" i="14"/>
  <c r="S45" i="14" s="1"/>
  <c r="T23" i="14"/>
  <c r="U23" i="14"/>
  <c r="V23" i="14"/>
  <c r="W23" i="14"/>
  <c r="W45" i="14" s="1"/>
  <c r="X23" i="14"/>
  <c r="Y23" i="14"/>
  <c r="Z23" i="14"/>
  <c r="B23" i="14"/>
  <c r="B45" i="14" s="1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B17" i="14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B5" i="14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B12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B5" i="16"/>
  <c r="F71" i="8" l="1"/>
  <c r="G71" i="8" s="1"/>
  <c r="H71" i="8" s="1"/>
  <c r="I71" i="8" s="1"/>
  <c r="J71" i="8" s="1"/>
  <c r="K71" i="8" s="1"/>
  <c r="L71" i="8" s="1"/>
  <c r="M71" i="8" s="1"/>
  <c r="N71" i="8" s="1"/>
  <c r="O71" i="8" s="1"/>
  <c r="P71" i="8" s="1"/>
  <c r="Q71" i="8" s="1"/>
  <c r="R71" i="8" s="1"/>
  <c r="S71" i="8" s="1"/>
  <c r="T71" i="8" s="1"/>
  <c r="U71" i="8" s="1"/>
  <c r="V71" i="8" s="1"/>
  <c r="W71" i="8" s="1"/>
  <c r="X71" i="8" s="1"/>
  <c r="X46" i="14"/>
  <c r="T46" i="14"/>
  <c r="P46" i="14"/>
  <c r="AB26" i="14"/>
  <c r="L46" i="14"/>
  <c r="H46" i="14"/>
  <c r="D46" i="14"/>
  <c r="AB29" i="14"/>
  <c r="AB5" i="14"/>
  <c r="AB17" i="14"/>
  <c r="AB23" i="14"/>
  <c r="Y40" i="14"/>
  <c r="Q40" i="14"/>
  <c r="M40" i="14"/>
  <c r="Y47" i="14"/>
  <c r="U47" i="14"/>
  <c r="Q47" i="14"/>
  <c r="M47" i="14"/>
  <c r="I47" i="14"/>
  <c r="E47" i="14"/>
  <c r="U40" i="14"/>
  <c r="E40" i="14"/>
  <c r="B32" i="16"/>
  <c r="W32" i="16"/>
  <c r="S32" i="16"/>
  <c r="X40" i="14"/>
  <c r="I40" i="14"/>
  <c r="R27" i="16"/>
  <c r="F27" i="16"/>
  <c r="B40" i="14"/>
  <c r="W40" i="14"/>
  <c r="S40" i="14"/>
  <c r="O40" i="14"/>
  <c r="K40" i="14"/>
  <c r="G40" i="14"/>
  <c r="T40" i="14"/>
  <c r="P40" i="14"/>
  <c r="L40" i="14"/>
  <c r="H40" i="14"/>
  <c r="D40" i="14"/>
  <c r="B46" i="14"/>
  <c r="W46" i="14"/>
  <c r="S46" i="14"/>
  <c r="O46" i="14"/>
  <c r="K46" i="14"/>
  <c r="G46" i="14"/>
  <c r="C46" i="14"/>
  <c r="X31" i="16"/>
  <c r="T31" i="16"/>
  <c r="P31" i="16"/>
  <c r="L31" i="16"/>
  <c r="H31" i="16"/>
  <c r="D31" i="16"/>
  <c r="B31" i="16"/>
  <c r="W31" i="16"/>
  <c r="S31" i="16"/>
  <c r="O31" i="16"/>
  <c r="K31" i="16"/>
  <c r="G31" i="16"/>
  <c r="C31" i="16"/>
  <c r="X32" i="16"/>
  <c r="T32" i="16"/>
  <c r="P32" i="16"/>
  <c r="L32" i="16"/>
  <c r="H32" i="16"/>
  <c r="D32" i="16"/>
  <c r="C40" i="14"/>
  <c r="O32" i="16"/>
  <c r="Y27" i="16"/>
  <c r="Y32" i="16"/>
  <c r="Q27" i="16"/>
  <c r="Q32" i="16"/>
  <c r="M27" i="16"/>
  <c r="M32" i="16"/>
  <c r="I27" i="16"/>
  <c r="I32" i="16"/>
  <c r="E27" i="16"/>
  <c r="E32" i="16"/>
  <c r="R43" i="14"/>
  <c r="N43" i="14"/>
  <c r="F43" i="14"/>
  <c r="Y43" i="14"/>
  <c r="Q43" i="14"/>
  <c r="I43" i="14"/>
  <c r="R45" i="14"/>
  <c r="J45" i="14"/>
  <c r="X47" i="14"/>
  <c r="T47" i="14"/>
  <c r="P47" i="14"/>
  <c r="L47" i="14"/>
  <c r="D47" i="14"/>
  <c r="V31" i="16"/>
  <c r="R31" i="16"/>
  <c r="N31" i="16"/>
  <c r="J31" i="16"/>
  <c r="F31" i="16"/>
  <c r="K32" i="16"/>
  <c r="G32" i="16"/>
  <c r="C32" i="16"/>
  <c r="X43" i="14"/>
  <c r="T43" i="14"/>
  <c r="P43" i="14"/>
  <c r="L43" i="14"/>
  <c r="H43" i="14"/>
  <c r="D43" i="14"/>
  <c r="Y45" i="14"/>
  <c r="U45" i="14"/>
  <c r="Q45" i="14"/>
  <c r="M45" i="14"/>
  <c r="I45" i="14"/>
  <c r="E45" i="14"/>
  <c r="V46" i="14"/>
  <c r="R46" i="14"/>
  <c r="N46" i="14"/>
  <c r="J46" i="14"/>
  <c r="F46" i="14"/>
  <c r="B47" i="14"/>
  <c r="W47" i="14"/>
  <c r="S47" i="14"/>
  <c r="O47" i="14"/>
  <c r="K47" i="14"/>
  <c r="G47" i="14"/>
  <c r="C47" i="14"/>
  <c r="U27" i="16"/>
  <c r="U32" i="16"/>
  <c r="V43" i="14"/>
  <c r="J43" i="14"/>
  <c r="U43" i="14"/>
  <c r="M43" i="14"/>
  <c r="E43" i="14"/>
  <c r="V45" i="14"/>
  <c r="N45" i="14"/>
  <c r="F45" i="14"/>
  <c r="H47" i="14"/>
  <c r="Y31" i="16"/>
  <c r="U31" i="16"/>
  <c r="Q31" i="16"/>
  <c r="M31" i="16"/>
  <c r="I31" i="16"/>
  <c r="E31" i="16"/>
  <c r="Z27" i="16"/>
  <c r="AA20" i="16" s="1"/>
  <c r="V32" i="16"/>
  <c r="R32" i="16"/>
  <c r="N27" i="16"/>
  <c r="N32" i="16"/>
  <c r="J27" i="16"/>
  <c r="J38" i="16" s="1"/>
  <c r="J32" i="16"/>
  <c r="F32" i="16"/>
  <c r="V27" i="16"/>
  <c r="V38" i="16" s="1"/>
  <c r="V40" i="14"/>
  <c r="R40" i="14"/>
  <c r="N40" i="14"/>
  <c r="J40" i="14"/>
  <c r="F40" i="14"/>
  <c r="B43" i="14"/>
  <c r="W43" i="14"/>
  <c r="S43" i="14"/>
  <c r="O43" i="14"/>
  <c r="K43" i="14"/>
  <c r="G43" i="14"/>
  <c r="C43" i="14"/>
  <c r="X45" i="14"/>
  <c r="T45" i="14"/>
  <c r="P45" i="14"/>
  <c r="L45" i="14"/>
  <c r="H45" i="14"/>
  <c r="D45" i="14"/>
  <c r="Y46" i="14"/>
  <c r="U46" i="14"/>
  <c r="Q46" i="14"/>
  <c r="M46" i="14"/>
  <c r="I46" i="14"/>
  <c r="E46" i="14"/>
  <c r="AA29" i="14"/>
  <c r="V47" i="14"/>
  <c r="R50" i="14"/>
  <c r="R47" i="14"/>
  <c r="N47" i="14"/>
  <c r="J50" i="14"/>
  <c r="J47" i="14"/>
  <c r="F47" i="14"/>
  <c r="X27" i="16"/>
  <c r="X38" i="16" s="1"/>
  <c r="P27" i="16"/>
  <c r="L27" i="16"/>
  <c r="D27" i="16"/>
  <c r="D38" i="16" s="1"/>
  <c r="B27" i="16"/>
  <c r="B38" i="16" s="1"/>
  <c r="S27" i="16"/>
  <c r="O27" i="16"/>
  <c r="K27" i="16"/>
  <c r="K38" i="16" s="1"/>
  <c r="G27" i="16"/>
  <c r="G38" i="16" s="1"/>
  <c r="C27" i="16"/>
  <c r="T27" i="16"/>
  <c r="H27" i="16"/>
  <c r="H38" i="16" s="1"/>
  <c r="W27" i="16"/>
  <c r="W38" i="16" s="1"/>
  <c r="AA13" i="16"/>
  <c r="AA11" i="16" l="1"/>
  <c r="AA16" i="16"/>
  <c r="AA9" i="16"/>
  <c r="AA23" i="16"/>
  <c r="AA18" i="16"/>
  <c r="AA21" i="16"/>
  <c r="I38" i="16"/>
  <c r="Q38" i="16"/>
  <c r="AA19" i="16"/>
  <c r="AA7" i="16"/>
  <c r="AA6" i="16"/>
  <c r="P50" i="14"/>
  <c r="AA24" i="16"/>
  <c r="T38" i="16"/>
  <c r="L38" i="16"/>
  <c r="K50" i="14"/>
  <c r="B50" i="14"/>
  <c r="D50" i="14"/>
  <c r="X50" i="14"/>
  <c r="AA10" i="16"/>
  <c r="AA22" i="16"/>
  <c r="AA15" i="16"/>
  <c r="AA14" i="16"/>
  <c r="O38" i="16"/>
  <c r="N38" i="16"/>
  <c r="E50" i="14"/>
  <c r="U50" i="14"/>
  <c r="R38" i="16"/>
  <c r="Z38" i="16" s="1"/>
  <c r="C50" i="14"/>
  <c r="S50" i="14"/>
  <c r="AA26" i="16"/>
  <c r="AA12" i="16"/>
  <c r="AA17" i="16"/>
  <c r="AA25" i="16"/>
  <c r="AA8" i="16"/>
  <c r="AA5" i="16"/>
  <c r="C38" i="16"/>
  <c r="S38" i="16"/>
  <c r="P38" i="16"/>
  <c r="F38" i="16"/>
  <c r="AA30" i="14"/>
  <c r="AA24" i="14"/>
  <c r="AA19" i="14"/>
  <c r="AA7" i="14"/>
  <c r="AA11" i="14"/>
  <c r="AA32" i="14"/>
  <c r="AA21" i="14"/>
  <c r="AA13" i="14"/>
  <c r="AA28" i="14"/>
  <c r="AA22" i="14"/>
  <c r="AA18" i="14"/>
  <c r="AA8" i="14"/>
  <c r="AA12" i="14"/>
  <c r="AA31" i="14"/>
  <c r="AA20" i="14"/>
  <c r="AA10" i="14"/>
  <c r="AA35" i="14"/>
  <c r="AA27" i="14"/>
  <c r="AA16" i="14"/>
  <c r="AA6" i="14"/>
  <c r="AA25" i="14"/>
  <c r="AA14" i="14"/>
  <c r="AA34" i="14"/>
  <c r="AA33" i="14"/>
  <c r="AA15" i="14"/>
  <c r="AA9" i="14"/>
  <c r="Y50" i="14"/>
  <c r="AA17" i="14"/>
  <c r="AA5" i="14"/>
  <c r="M50" i="14"/>
  <c r="U38" i="16"/>
  <c r="G50" i="14"/>
  <c r="O50" i="14"/>
  <c r="W50" i="14"/>
  <c r="AA26" i="14"/>
  <c r="L50" i="14"/>
  <c r="T50" i="14"/>
  <c r="I50" i="14"/>
  <c r="F50" i="14"/>
  <c r="N50" i="14"/>
  <c r="V50" i="14"/>
  <c r="H50" i="14"/>
  <c r="AA23" i="14"/>
  <c r="Q50" i="14"/>
  <c r="E38" i="16"/>
  <c r="M38" i="16"/>
  <c r="Y38" i="16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B11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B5" i="13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Z26" i="12" s="1"/>
  <c r="B19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B13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W30" i="12" s="1"/>
  <c r="X5" i="12"/>
  <c r="Y5" i="12"/>
  <c r="Z5" i="12"/>
  <c r="B5" i="12"/>
  <c r="B30" i="12" s="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B23" i="11"/>
  <c r="Z5" i="11"/>
  <c r="C5" i="11"/>
  <c r="D5" i="11"/>
  <c r="E5" i="11"/>
  <c r="F5" i="11"/>
  <c r="F37" i="11" s="1"/>
  <c r="G5" i="11"/>
  <c r="H5" i="11"/>
  <c r="I5" i="11"/>
  <c r="J5" i="11"/>
  <c r="J37" i="11" s="1"/>
  <c r="K5" i="11"/>
  <c r="L5" i="11"/>
  <c r="M5" i="11"/>
  <c r="N5" i="11"/>
  <c r="N37" i="11" s="1"/>
  <c r="O5" i="11"/>
  <c r="P5" i="11"/>
  <c r="Q5" i="11"/>
  <c r="R5" i="11"/>
  <c r="R37" i="11" s="1"/>
  <c r="S5" i="11"/>
  <c r="T5" i="11"/>
  <c r="U5" i="11"/>
  <c r="V5" i="11"/>
  <c r="V37" i="11" s="1"/>
  <c r="W5" i="11"/>
  <c r="X5" i="11"/>
  <c r="Y5" i="11"/>
  <c r="B5" i="11"/>
  <c r="B37" i="11" s="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B13" i="11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W32" i="10" s="1"/>
  <c r="X17" i="10"/>
  <c r="Y17" i="10"/>
  <c r="Z17" i="10"/>
  <c r="B17" i="10"/>
  <c r="B32" i="10" s="1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B13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B5" i="10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B20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B17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B13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B5" i="9"/>
  <c r="Y14" i="8"/>
  <c r="Y43" i="8" s="1"/>
  <c r="Z14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B31" i="8"/>
  <c r="W29" i="8"/>
  <c r="Z29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B26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B22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B16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Z38" i="8" s="1"/>
  <c r="B5" i="8"/>
  <c r="B26" i="10" l="1"/>
  <c r="S30" i="12"/>
  <c r="AB5" i="9"/>
  <c r="B30" i="9"/>
  <c r="B38" i="8"/>
  <c r="AB20" i="9"/>
  <c r="AB13" i="9"/>
  <c r="Z26" i="10"/>
  <c r="AA13" i="10" s="1"/>
  <c r="X32" i="10"/>
  <c r="T32" i="10"/>
  <c r="P32" i="10"/>
  <c r="L32" i="10"/>
  <c r="H32" i="10"/>
  <c r="D32" i="10"/>
  <c r="B36" i="9"/>
  <c r="AB17" i="9"/>
  <c r="X36" i="9"/>
  <c r="T36" i="9"/>
  <c r="P36" i="9"/>
  <c r="L36" i="9"/>
  <c r="H36" i="9"/>
  <c r="D36" i="9"/>
  <c r="B47" i="8"/>
  <c r="W47" i="8"/>
  <c r="S47" i="8"/>
  <c r="O47" i="8"/>
  <c r="K47" i="8"/>
  <c r="G47" i="8"/>
  <c r="C47" i="8"/>
  <c r="B51" i="8"/>
  <c r="W51" i="8"/>
  <c r="S51" i="8"/>
  <c r="O51" i="8"/>
  <c r="K51" i="8"/>
  <c r="G51" i="8"/>
  <c r="B35" i="9"/>
  <c r="W35" i="9"/>
  <c r="S35" i="9"/>
  <c r="O35" i="9"/>
  <c r="K35" i="9"/>
  <c r="G35" i="9"/>
  <c r="C35" i="9"/>
  <c r="B31" i="10"/>
  <c r="W31" i="10"/>
  <c r="S31" i="10"/>
  <c r="O31" i="10"/>
  <c r="K31" i="10"/>
  <c r="G31" i="10"/>
  <c r="C31" i="10"/>
  <c r="B42" i="11"/>
  <c r="W42" i="11"/>
  <c r="S42" i="11"/>
  <c r="O42" i="11"/>
  <c r="K42" i="11"/>
  <c r="G42" i="11"/>
  <c r="X30" i="12"/>
  <c r="T30" i="12"/>
  <c r="P30" i="12"/>
  <c r="L30" i="12"/>
  <c r="H30" i="12"/>
  <c r="D30" i="12"/>
  <c r="X24" i="13"/>
  <c r="T24" i="13"/>
  <c r="P24" i="13"/>
  <c r="L24" i="13"/>
  <c r="H24" i="13"/>
  <c r="D24" i="13"/>
  <c r="B24" i="13"/>
  <c r="W24" i="13"/>
  <c r="S24" i="13"/>
  <c r="O24" i="13"/>
  <c r="K24" i="13"/>
  <c r="B23" i="13"/>
  <c r="W23" i="13"/>
  <c r="S23" i="13"/>
  <c r="O23" i="13"/>
  <c r="K23" i="13"/>
  <c r="G23" i="13"/>
  <c r="G24" i="13"/>
  <c r="C23" i="13"/>
  <c r="C24" i="13"/>
  <c r="V30" i="10"/>
  <c r="Y42" i="11"/>
  <c r="B34" i="9"/>
  <c r="W34" i="9"/>
  <c r="S34" i="9"/>
  <c r="O34" i="9"/>
  <c r="K34" i="9"/>
  <c r="G34" i="9"/>
  <c r="C34" i="9"/>
  <c r="X35" i="9"/>
  <c r="T35" i="9"/>
  <c r="P35" i="9"/>
  <c r="L35" i="9"/>
  <c r="H35" i="9"/>
  <c r="D35" i="9"/>
  <c r="Y36" i="9"/>
  <c r="U36" i="9"/>
  <c r="Q36" i="9"/>
  <c r="M36" i="9"/>
  <c r="I36" i="9"/>
  <c r="E36" i="9"/>
  <c r="B30" i="10"/>
  <c r="W30" i="10"/>
  <c r="S30" i="10"/>
  <c r="O30" i="10"/>
  <c r="K30" i="10"/>
  <c r="G30" i="10"/>
  <c r="C30" i="10"/>
  <c r="X31" i="10"/>
  <c r="T31" i="10"/>
  <c r="P31" i="10"/>
  <c r="L31" i="10"/>
  <c r="H31" i="10"/>
  <c r="D31" i="10"/>
  <c r="Y32" i="10"/>
  <c r="U32" i="10"/>
  <c r="Q32" i="10"/>
  <c r="M32" i="10"/>
  <c r="I32" i="10"/>
  <c r="E32" i="10"/>
  <c r="X42" i="11"/>
  <c r="T42" i="11"/>
  <c r="P42" i="11"/>
  <c r="L42" i="11"/>
  <c r="H42" i="11"/>
  <c r="D42" i="11"/>
  <c r="Y30" i="12"/>
  <c r="U30" i="12"/>
  <c r="Q30" i="12"/>
  <c r="M30" i="12"/>
  <c r="I30" i="12"/>
  <c r="E30" i="12"/>
  <c r="B33" i="12"/>
  <c r="W33" i="12"/>
  <c r="S33" i="12"/>
  <c r="O33" i="12"/>
  <c r="K33" i="12"/>
  <c r="G33" i="12"/>
  <c r="C33" i="12"/>
  <c r="X23" i="13"/>
  <c r="T23" i="13"/>
  <c r="P23" i="13"/>
  <c r="L23" i="13"/>
  <c r="H23" i="13"/>
  <c r="D23" i="13"/>
  <c r="Y24" i="13"/>
  <c r="U24" i="13"/>
  <c r="Q24" i="13"/>
  <c r="M24" i="13"/>
  <c r="I24" i="13"/>
  <c r="E24" i="13"/>
  <c r="V37" i="9"/>
  <c r="N37" i="9"/>
  <c r="F37" i="9"/>
  <c r="R31" i="12"/>
  <c r="J31" i="12"/>
  <c r="Y44" i="8"/>
  <c r="Q44" i="8"/>
  <c r="I44" i="8"/>
  <c r="R34" i="9"/>
  <c r="J34" i="9"/>
  <c r="U37" i="9"/>
  <c r="M37" i="9"/>
  <c r="E37" i="9"/>
  <c r="R30" i="10"/>
  <c r="N30" i="10"/>
  <c r="F30" i="10"/>
  <c r="U31" i="12"/>
  <c r="M31" i="12"/>
  <c r="I31" i="12"/>
  <c r="R33" i="12"/>
  <c r="J33" i="12"/>
  <c r="Y34" i="9"/>
  <c r="U34" i="9"/>
  <c r="Q34" i="9"/>
  <c r="M34" i="9"/>
  <c r="I34" i="9"/>
  <c r="E34" i="9"/>
  <c r="V35" i="9"/>
  <c r="R35" i="9"/>
  <c r="N35" i="9"/>
  <c r="J35" i="9"/>
  <c r="F35" i="9"/>
  <c r="W36" i="9"/>
  <c r="S36" i="9"/>
  <c r="O36" i="9"/>
  <c r="K36" i="9"/>
  <c r="G36" i="9"/>
  <c r="C36" i="9"/>
  <c r="X37" i="9"/>
  <c r="T37" i="9"/>
  <c r="P37" i="9"/>
  <c r="L37" i="9"/>
  <c r="H37" i="9"/>
  <c r="D37" i="9"/>
  <c r="Y30" i="10"/>
  <c r="U30" i="10"/>
  <c r="Q30" i="10"/>
  <c r="M30" i="10"/>
  <c r="I30" i="10"/>
  <c r="E30" i="10"/>
  <c r="V31" i="10"/>
  <c r="R31" i="10"/>
  <c r="N31" i="10"/>
  <c r="J31" i="10"/>
  <c r="F31" i="10"/>
  <c r="S32" i="10"/>
  <c r="O32" i="10"/>
  <c r="K32" i="10"/>
  <c r="G32" i="10"/>
  <c r="C32" i="10"/>
  <c r="O30" i="12"/>
  <c r="K30" i="12"/>
  <c r="G30" i="12"/>
  <c r="C30" i="12"/>
  <c r="X31" i="12"/>
  <c r="T31" i="12"/>
  <c r="P31" i="12"/>
  <c r="L31" i="12"/>
  <c r="H31" i="12"/>
  <c r="D31" i="12"/>
  <c r="Y33" i="12"/>
  <c r="U33" i="12"/>
  <c r="Q33" i="12"/>
  <c r="M33" i="12"/>
  <c r="I33" i="12"/>
  <c r="E33" i="12"/>
  <c r="V23" i="13"/>
  <c r="R23" i="13"/>
  <c r="N23" i="13"/>
  <c r="J23" i="13"/>
  <c r="F23" i="13"/>
  <c r="R37" i="9"/>
  <c r="J37" i="9"/>
  <c r="V31" i="12"/>
  <c r="N31" i="12"/>
  <c r="F31" i="12"/>
  <c r="U44" i="8"/>
  <c r="M44" i="8"/>
  <c r="E44" i="8"/>
  <c r="V34" i="9"/>
  <c r="N34" i="9"/>
  <c r="F34" i="9"/>
  <c r="Y37" i="9"/>
  <c r="Q37" i="9"/>
  <c r="I37" i="9"/>
  <c r="J30" i="10"/>
  <c r="Y31" i="12"/>
  <c r="Q31" i="12"/>
  <c r="E31" i="12"/>
  <c r="V33" i="12"/>
  <c r="N33" i="12"/>
  <c r="F33" i="12"/>
  <c r="X34" i="9"/>
  <c r="T34" i="9"/>
  <c r="P34" i="9"/>
  <c r="L34" i="9"/>
  <c r="H34" i="9"/>
  <c r="D34" i="9"/>
  <c r="Y35" i="9"/>
  <c r="U35" i="9"/>
  <c r="Q35" i="9"/>
  <c r="M35" i="9"/>
  <c r="I35" i="9"/>
  <c r="E35" i="9"/>
  <c r="V36" i="9"/>
  <c r="R36" i="9"/>
  <c r="N36" i="9"/>
  <c r="J36" i="9"/>
  <c r="F36" i="9"/>
  <c r="B37" i="9"/>
  <c r="W37" i="9"/>
  <c r="S37" i="9"/>
  <c r="O37" i="9"/>
  <c r="K37" i="9"/>
  <c r="G37" i="9"/>
  <c r="C37" i="9"/>
  <c r="X30" i="10"/>
  <c r="T30" i="10"/>
  <c r="P30" i="10"/>
  <c r="L30" i="10"/>
  <c r="H30" i="10"/>
  <c r="D30" i="10"/>
  <c r="Y31" i="10"/>
  <c r="U31" i="10"/>
  <c r="Q31" i="10"/>
  <c r="M31" i="10"/>
  <c r="I31" i="10"/>
  <c r="E31" i="10"/>
  <c r="V32" i="10"/>
  <c r="R32" i="10"/>
  <c r="N32" i="10"/>
  <c r="J32" i="10"/>
  <c r="F32" i="10"/>
  <c r="U42" i="11"/>
  <c r="Q42" i="11"/>
  <c r="M42" i="11"/>
  <c r="I42" i="11"/>
  <c r="E42" i="11"/>
  <c r="V30" i="12"/>
  <c r="R30" i="12"/>
  <c r="N30" i="12"/>
  <c r="J30" i="12"/>
  <c r="F30" i="12"/>
  <c r="B31" i="12"/>
  <c r="W31" i="12"/>
  <c r="S31" i="12"/>
  <c r="O31" i="12"/>
  <c r="K31" i="12"/>
  <c r="G31" i="12"/>
  <c r="C31" i="12"/>
  <c r="X33" i="12"/>
  <c r="T33" i="12"/>
  <c r="P33" i="12"/>
  <c r="L33" i="12"/>
  <c r="H33" i="12"/>
  <c r="D33" i="12"/>
  <c r="Y23" i="13"/>
  <c r="U23" i="13"/>
  <c r="Q23" i="13"/>
  <c r="M23" i="13"/>
  <c r="I23" i="13"/>
  <c r="E23" i="13"/>
  <c r="V24" i="13"/>
  <c r="R24" i="13"/>
  <c r="N24" i="13"/>
  <c r="J24" i="13"/>
  <c r="F24" i="13"/>
  <c r="C51" i="8"/>
  <c r="Y42" i="8"/>
  <c r="X42" i="8"/>
  <c r="X44" i="8"/>
  <c r="T44" i="8"/>
  <c r="P44" i="8"/>
  <c r="L44" i="8"/>
  <c r="H44" i="8"/>
  <c r="D44" i="8"/>
  <c r="B38" i="11"/>
  <c r="W38" i="11"/>
  <c r="S38" i="11"/>
  <c r="O38" i="11"/>
  <c r="K38" i="11"/>
  <c r="G38" i="11"/>
  <c r="C38" i="11"/>
  <c r="W37" i="11"/>
  <c r="S37" i="11"/>
  <c r="O37" i="11"/>
  <c r="K37" i="11"/>
  <c r="G37" i="11"/>
  <c r="C37" i="11"/>
  <c r="C42" i="11"/>
  <c r="Y38" i="11"/>
  <c r="U38" i="11"/>
  <c r="Q38" i="11"/>
  <c r="M38" i="11"/>
  <c r="I38" i="11"/>
  <c r="E38" i="11"/>
  <c r="Y37" i="11"/>
  <c r="U37" i="11"/>
  <c r="Q37" i="11"/>
  <c r="M37" i="11"/>
  <c r="I37" i="11"/>
  <c r="E37" i="11"/>
  <c r="V38" i="11"/>
  <c r="R38" i="11"/>
  <c r="N38" i="11"/>
  <c r="J38" i="11"/>
  <c r="F38" i="11"/>
  <c r="X38" i="11"/>
  <c r="T38" i="11"/>
  <c r="P38" i="11"/>
  <c r="L38" i="11"/>
  <c r="H38" i="11"/>
  <c r="D38" i="11"/>
  <c r="X37" i="11"/>
  <c r="T37" i="11"/>
  <c r="P37" i="11"/>
  <c r="L37" i="11"/>
  <c r="H37" i="11"/>
  <c r="D37" i="11"/>
  <c r="V42" i="11"/>
  <c r="R42" i="11"/>
  <c r="N42" i="11"/>
  <c r="J42" i="11"/>
  <c r="F42" i="11"/>
  <c r="F26" i="12"/>
  <c r="N26" i="12"/>
  <c r="N36" i="12" s="1"/>
  <c r="B33" i="11"/>
  <c r="S26" i="10"/>
  <c r="O26" i="10"/>
  <c r="K26" i="10"/>
  <c r="C26" i="10"/>
  <c r="Y26" i="10"/>
  <c r="Q26" i="10"/>
  <c r="M26" i="10"/>
  <c r="E26" i="10"/>
  <c r="U26" i="10"/>
  <c r="I26" i="10"/>
  <c r="L26" i="10"/>
  <c r="N30" i="9"/>
  <c r="J30" i="9"/>
  <c r="R30" i="9"/>
  <c r="R46" i="8"/>
  <c r="J46" i="8"/>
  <c r="R49" i="8"/>
  <c r="F49" i="8"/>
  <c r="U46" i="8"/>
  <c r="M46" i="8"/>
  <c r="E46" i="8"/>
  <c r="V47" i="8"/>
  <c r="N47" i="8"/>
  <c r="F47" i="8"/>
  <c r="Y49" i="8"/>
  <c r="Q49" i="8"/>
  <c r="I49" i="8"/>
  <c r="R51" i="8"/>
  <c r="J51" i="8"/>
  <c r="W26" i="10"/>
  <c r="G26" i="10"/>
  <c r="R26" i="12"/>
  <c r="B44" i="8"/>
  <c r="W44" i="8"/>
  <c r="S44" i="8"/>
  <c r="O38" i="8"/>
  <c r="O44" i="8"/>
  <c r="K44" i="8"/>
  <c r="G44" i="8"/>
  <c r="C44" i="8"/>
  <c r="X46" i="8"/>
  <c r="T38" i="8"/>
  <c r="T46" i="8"/>
  <c r="P46" i="8"/>
  <c r="L46" i="8"/>
  <c r="H46" i="8"/>
  <c r="D38" i="8"/>
  <c r="D46" i="8"/>
  <c r="Y47" i="8"/>
  <c r="U47" i="8"/>
  <c r="Q47" i="8"/>
  <c r="M47" i="8"/>
  <c r="I47" i="8"/>
  <c r="E47" i="8"/>
  <c r="W48" i="8"/>
  <c r="X49" i="8"/>
  <c r="T49" i="8"/>
  <c r="P49" i="8"/>
  <c r="L49" i="8"/>
  <c r="H49" i="8"/>
  <c r="D49" i="8"/>
  <c r="Y51" i="8"/>
  <c r="U51" i="8"/>
  <c r="Q51" i="8"/>
  <c r="M51" i="8"/>
  <c r="I51" i="8"/>
  <c r="E51" i="8"/>
  <c r="X30" i="9"/>
  <c r="T30" i="9"/>
  <c r="L30" i="9"/>
  <c r="H30" i="9"/>
  <c r="X26" i="10"/>
  <c r="T26" i="10"/>
  <c r="P26" i="10"/>
  <c r="H26" i="10"/>
  <c r="D26" i="10"/>
  <c r="Y26" i="12"/>
  <c r="Y36" i="12" s="1"/>
  <c r="U26" i="12"/>
  <c r="U36" i="12" s="1"/>
  <c r="Q26" i="12"/>
  <c r="Q36" i="12" s="1"/>
  <c r="M26" i="12"/>
  <c r="I26" i="12"/>
  <c r="I36" i="12" s="1"/>
  <c r="E26" i="12"/>
  <c r="E36" i="12" s="1"/>
  <c r="V46" i="8"/>
  <c r="N46" i="8"/>
  <c r="F46" i="8"/>
  <c r="V49" i="8"/>
  <c r="N49" i="8"/>
  <c r="J49" i="8"/>
  <c r="Y46" i="8"/>
  <c r="Q46" i="8"/>
  <c r="I46" i="8"/>
  <c r="R47" i="8"/>
  <c r="J47" i="8"/>
  <c r="F48" i="8"/>
  <c r="J48" i="8"/>
  <c r="N48" i="8"/>
  <c r="R48" i="8"/>
  <c r="V48" i="8"/>
  <c r="B48" i="8"/>
  <c r="C48" i="8"/>
  <c r="G48" i="8"/>
  <c r="K48" i="8"/>
  <c r="O48" i="8"/>
  <c r="S48" i="8"/>
  <c r="H48" i="8"/>
  <c r="P48" i="8"/>
  <c r="I48" i="8"/>
  <c r="Q48" i="8"/>
  <c r="X48" i="8"/>
  <c r="D48" i="8"/>
  <c r="L48" i="8"/>
  <c r="T48" i="8"/>
  <c r="U48" i="8"/>
  <c r="M48" i="8"/>
  <c r="E48" i="8"/>
  <c r="Y48" i="8"/>
  <c r="U49" i="8"/>
  <c r="M49" i="8"/>
  <c r="E49" i="8"/>
  <c r="V51" i="8"/>
  <c r="N51" i="8"/>
  <c r="F51" i="8"/>
  <c r="V26" i="12"/>
  <c r="V36" i="12" s="1"/>
  <c r="J26" i="12"/>
  <c r="V44" i="8"/>
  <c r="R44" i="8"/>
  <c r="N44" i="8"/>
  <c r="J44" i="8"/>
  <c r="F44" i="8"/>
  <c r="B46" i="8"/>
  <c r="W46" i="8"/>
  <c r="S46" i="8"/>
  <c r="O46" i="8"/>
  <c r="K46" i="8"/>
  <c r="G46" i="8"/>
  <c r="C46" i="8"/>
  <c r="X47" i="8"/>
  <c r="T47" i="8"/>
  <c r="P47" i="8"/>
  <c r="L47" i="8"/>
  <c r="H47" i="8"/>
  <c r="D47" i="8"/>
  <c r="B49" i="8"/>
  <c r="W49" i="8"/>
  <c r="S49" i="8"/>
  <c r="O49" i="8"/>
  <c r="K49" i="8"/>
  <c r="G49" i="8"/>
  <c r="C49" i="8"/>
  <c r="X51" i="8"/>
  <c r="T51" i="8"/>
  <c r="P51" i="8"/>
  <c r="L51" i="8"/>
  <c r="H51" i="8"/>
  <c r="D51" i="8"/>
  <c r="W30" i="9"/>
  <c r="S30" i="9"/>
  <c r="O30" i="9"/>
  <c r="K30" i="9"/>
  <c r="G30" i="9"/>
  <c r="C30" i="9"/>
  <c r="P30" i="9"/>
  <c r="D30" i="9"/>
  <c r="V30" i="9"/>
  <c r="F30" i="9"/>
  <c r="B26" i="12"/>
  <c r="B36" i="12" s="1"/>
  <c r="W26" i="12"/>
  <c r="W36" i="12" s="1"/>
  <c r="S26" i="12"/>
  <c r="O26" i="12"/>
  <c r="O36" i="12" s="1"/>
  <c r="K26" i="12"/>
  <c r="K36" i="12" s="1"/>
  <c r="G26" i="12"/>
  <c r="G36" i="12" s="1"/>
  <c r="C26" i="12"/>
  <c r="M27" i="13"/>
  <c r="AA36" i="8"/>
  <c r="B42" i="8"/>
  <c r="V38" i="8"/>
  <c r="V42" i="8"/>
  <c r="F38" i="8"/>
  <c r="F52" i="8" s="1"/>
  <c r="F42" i="8"/>
  <c r="U42" i="8"/>
  <c r="Q42" i="8"/>
  <c r="M42" i="8"/>
  <c r="E42" i="8"/>
  <c r="X38" i="8"/>
  <c r="T42" i="8"/>
  <c r="P38" i="8"/>
  <c r="P52" i="8" s="1"/>
  <c r="P42" i="8"/>
  <c r="L38" i="8"/>
  <c r="L42" i="8"/>
  <c r="H38" i="8"/>
  <c r="H52" i="8" s="1"/>
  <c r="H42" i="8"/>
  <c r="D42" i="8"/>
  <c r="W38" i="8"/>
  <c r="W42" i="8"/>
  <c r="S38" i="8"/>
  <c r="S42" i="8"/>
  <c r="O42" i="8"/>
  <c r="K38" i="8"/>
  <c r="K52" i="8" s="1"/>
  <c r="K42" i="8"/>
  <c r="G38" i="8"/>
  <c r="G42" i="8"/>
  <c r="C38" i="8"/>
  <c r="C52" i="8" s="1"/>
  <c r="C42" i="8"/>
  <c r="N38" i="8"/>
  <c r="N42" i="8"/>
  <c r="R38" i="8"/>
  <c r="R52" i="8" s="1"/>
  <c r="R42" i="8"/>
  <c r="J38" i="8"/>
  <c r="J42" i="8"/>
  <c r="I42" i="8"/>
  <c r="AA12" i="13"/>
  <c r="Y38" i="8"/>
  <c r="U38" i="8"/>
  <c r="Q38" i="8"/>
  <c r="M38" i="8"/>
  <c r="I38" i="8"/>
  <c r="E38" i="8"/>
  <c r="Z30" i="9"/>
  <c r="X26" i="12"/>
  <c r="T26" i="12"/>
  <c r="T36" i="12" s="1"/>
  <c r="P26" i="12"/>
  <c r="P36" i="12" s="1"/>
  <c r="L26" i="12"/>
  <c r="L36" i="12" s="1"/>
  <c r="H26" i="12"/>
  <c r="D26" i="12"/>
  <c r="D36" i="12" s="1"/>
  <c r="AA7" i="13"/>
  <c r="AA20" i="9"/>
  <c r="Y30" i="9"/>
  <c r="U30" i="9"/>
  <c r="Q30" i="9"/>
  <c r="M30" i="9"/>
  <c r="M41" i="9" s="1"/>
  <c r="I30" i="9"/>
  <c r="E30" i="9"/>
  <c r="Z33" i="11"/>
  <c r="P27" i="13"/>
  <c r="AA11" i="13"/>
  <c r="V26" i="10"/>
  <c r="R26" i="10"/>
  <c r="N26" i="10"/>
  <c r="J26" i="10"/>
  <c r="F26" i="10"/>
  <c r="W33" i="11"/>
  <c r="S33" i="11"/>
  <c r="O33" i="11"/>
  <c r="K33" i="11"/>
  <c r="G33" i="11"/>
  <c r="C33" i="11"/>
  <c r="Y33" i="11"/>
  <c r="U33" i="11"/>
  <c r="Q33" i="11"/>
  <c r="M33" i="11"/>
  <c r="I33" i="11"/>
  <c r="E33" i="11"/>
  <c r="B27" i="13"/>
  <c r="K27" i="13"/>
  <c r="AA16" i="13"/>
  <c r="X33" i="11"/>
  <c r="X46" i="11" s="1"/>
  <c r="T33" i="11"/>
  <c r="P33" i="11"/>
  <c r="L33" i="11"/>
  <c r="H33" i="11"/>
  <c r="H46" i="11" s="1"/>
  <c r="D33" i="11"/>
  <c r="V33" i="11"/>
  <c r="R33" i="11"/>
  <c r="N33" i="11"/>
  <c r="N46" i="11" s="1"/>
  <c r="J33" i="11"/>
  <c r="F33" i="11"/>
  <c r="J36" i="10" l="1"/>
  <c r="H36" i="12"/>
  <c r="X36" i="12"/>
  <c r="C36" i="12"/>
  <c r="S36" i="12"/>
  <c r="J36" i="12"/>
  <c r="M36" i="12"/>
  <c r="R36" i="12"/>
  <c r="F36" i="12"/>
  <c r="AB30" i="9"/>
  <c r="J46" i="11"/>
  <c r="D46" i="11"/>
  <c r="T46" i="11"/>
  <c r="D41" i="9"/>
  <c r="B41" i="9"/>
  <c r="P41" i="9"/>
  <c r="K41" i="9"/>
  <c r="X41" i="9"/>
  <c r="N41" i="9"/>
  <c r="Q41" i="9"/>
  <c r="O41" i="9"/>
  <c r="H41" i="9"/>
  <c r="E41" i="9"/>
  <c r="U41" i="9"/>
  <c r="F41" i="9"/>
  <c r="C41" i="9"/>
  <c r="S41" i="9"/>
  <c r="L41" i="9"/>
  <c r="R41" i="9"/>
  <c r="I46" i="11"/>
  <c r="F46" i="11"/>
  <c r="M46" i="11"/>
  <c r="C46" i="11"/>
  <c r="S46" i="11"/>
  <c r="I41" i="9"/>
  <c r="Y41" i="9"/>
  <c r="AA17" i="13"/>
  <c r="AA18" i="13"/>
  <c r="G27" i="13"/>
  <c r="W27" i="13"/>
  <c r="AA14" i="13"/>
  <c r="L27" i="13"/>
  <c r="AA10" i="13"/>
  <c r="AA13" i="13"/>
  <c r="I27" i="13"/>
  <c r="Y27" i="13"/>
  <c r="AA6" i="13"/>
  <c r="O27" i="13"/>
  <c r="D27" i="13"/>
  <c r="T27" i="13"/>
  <c r="AA15" i="13"/>
  <c r="Q27" i="13"/>
  <c r="C27" i="13"/>
  <c r="S27" i="13"/>
  <c r="H27" i="13"/>
  <c r="X27" i="13"/>
  <c r="AA8" i="13"/>
  <c r="AA5" i="13"/>
  <c r="AA9" i="13"/>
  <c r="E27" i="13"/>
  <c r="U27" i="13"/>
  <c r="J27" i="13"/>
  <c r="N27" i="13"/>
  <c r="V27" i="13"/>
  <c r="R27" i="13"/>
  <c r="F27" i="13"/>
  <c r="H36" i="10"/>
  <c r="G36" i="10"/>
  <c r="M36" i="10"/>
  <c r="N36" i="10"/>
  <c r="P36" i="10"/>
  <c r="W36" i="10"/>
  <c r="I36" i="10"/>
  <c r="Q36" i="10"/>
  <c r="O36" i="10"/>
  <c r="R46" i="11"/>
  <c r="L46" i="11"/>
  <c r="Q46" i="11"/>
  <c r="G46" i="11"/>
  <c r="W46" i="11"/>
  <c r="R36" i="10"/>
  <c r="V41" i="9"/>
  <c r="G41" i="9"/>
  <c r="W41" i="9"/>
  <c r="T36" i="10"/>
  <c r="T41" i="9"/>
  <c r="J41" i="9"/>
  <c r="U36" i="10"/>
  <c r="Y36" i="10"/>
  <c r="S36" i="10"/>
  <c r="L36" i="10"/>
  <c r="K36" i="10"/>
  <c r="V46" i="11"/>
  <c r="P46" i="11"/>
  <c r="E46" i="11"/>
  <c r="U46" i="11"/>
  <c r="F36" i="10"/>
  <c r="V36" i="10"/>
  <c r="D36" i="10"/>
  <c r="X36" i="10"/>
  <c r="E36" i="10"/>
  <c r="C36" i="10"/>
  <c r="B36" i="10"/>
  <c r="AA23" i="8"/>
  <c r="AA34" i="8"/>
  <c r="AA35" i="8"/>
  <c r="AA33" i="8"/>
  <c r="AA26" i="8"/>
  <c r="M52" i="8"/>
  <c r="AA5" i="8"/>
  <c r="AA32" i="8"/>
  <c r="AA31" i="8"/>
  <c r="Q52" i="8"/>
  <c r="AA20" i="8"/>
  <c r="AA27" i="8"/>
  <c r="S52" i="8"/>
  <c r="T52" i="8"/>
  <c r="AA30" i="11"/>
  <c r="AA28" i="11"/>
  <c r="AA29" i="11"/>
  <c r="K46" i="11"/>
  <c r="Y46" i="11"/>
  <c r="O46" i="11"/>
  <c r="B46" i="11"/>
  <c r="AA5" i="11"/>
  <c r="AA18" i="8"/>
  <c r="E52" i="8"/>
  <c r="U52" i="8"/>
  <c r="AA11" i="8"/>
  <c r="AA37" i="8"/>
  <c r="W52" i="8"/>
  <c r="B52" i="8"/>
  <c r="O52" i="8"/>
  <c r="AA9" i="8"/>
  <c r="AA10" i="8"/>
  <c r="AA12" i="8"/>
  <c r="AA13" i="8"/>
  <c r="I52" i="8"/>
  <c r="Y52" i="8"/>
  <c r="AA24" i="8"/>
  <c r="AA28" i="8"/>
  <c r="J52" i="8"/>
  <c r="N52" i="8"/>
  <c r="G52" i="8"/>
  <c r="L52" i="8"/>
  <c r="X52" i="8"/>
  <c r="V52" i="8"/>
  <c r="D52" i="8"/>
  <c r="AA7" i="8"/>
  <c r="AA30" i="8"/>
  <c r="AA21" i="8"/>
  <c r="AA19" i="8"/>
  <c r="AA15" i="8"/>
  <c r="AA6" i="8"/>
  <c r="AA8" i="8"/>
  <c r="AA17" i="8"/>
  <c r="AA22" i="8"/>
  <c r="AA29" i="8"/>
  <c r="AA14" i="8"/>
  <c r="AA25" i="8"/>
  <c r="AA16" i="8"/>
  <c r="AA38" i="8"/>
  <c r="AA5" i="10"/>
  <c r="AA27" i="9"/>
  <c r="AA21" i="9"/>
  <c r="AA15" i="9"/>
  <c r="AA9" i="9"/>
  <c r="AA6" i="9"/>
  <c r="AA23" i="9"/>
  <c r="AA26" i="9"/>
  <c r="AA18" i="9"/>
  <c r="AA8" i="9"/>
  <c r="AA25" i="9"/>
  <c r="AA7" i="9"/>
  <c r="AA12" i="9"/>
  <c r="AA24" i="9"/>
  <c r="AA16" i="9"/>
  <c r="AA10" i="9"/>
  <c r="AA19" i="9"/>
  <c r="AA28" i="9"/>
  <c r="AA13" i="9"/>
  <c r="AA22" i="9"/>
  <c r="AA14" i="9"/>
  <c r="AA11" i="9"/>
  <c r="AA29" i="9"/>
  <c r="AA13" i="11"/>
  <c r="AA25" i="10"/>
  <c r="AA18" i="10"/>
  <c r="AA7" i="10"/>
  <c r="AA11" i="10"/>
  <c r="AA22" i="10"/>
  <c r="AA15" i="10"/>
  <c r="AA9" i="10"/>
  <c r="AA24" i="10"/>
  <c r="AA19" i="10"/>
  <c r="AA23" i="10"/>
  <c r="AA16" i="10"/>
  <c r="AA10" i="10"/>
  <c r="AA20" i="10"/>
  <c r="AA21" i="10"/>
  <c r="AA14" i="10"/>
  <c r="AA12" i="10"/>
  <c r="AA8" i="10"/>
  <c r="AA6" i="10"/>
  <c r="AA17" i="10"/>
  <c r="AA24" i="11"/>
  <c r="AA16" i="11"/>
  <c r="AA8" i="11"/>
  <c r="AA12" i="11"/>
  <c r="AA26" i="11"/>
  <c r="AA17" i="11"/>
  <c r="AA32" i="11"/>
  <c r="AA22" i="11"/>
  <c r="AA14" i="11"/>
  <c r="AA11" i="11"/>
  <c r="AA23" i="11"/>
  <c r="AA20" i="11"/>
  <c r="AA7" i="11"/>
  <c r="AA6" i="11"/>
  <c r="AA21" i="11"/>
  <c r="AA25" i="11"/>
  <c r="AA10" i="11"/>
  <c r="AA27" i="11"/>
  <c r="AA18" i="11"/>
  <c r="AA9" i="11"/>
  <c r="AA31" i="11"/>
  <c r="AA19" i="11"/>
  <c r="AA15" i="11"/>
  <c r="AA17" i="9"/>
  <c r="AA5" i="9"/>
  <c r="O22" i="5"/>
  <c r="L22" i="5"/>
  <c r="I22" i="5"/>
  <c r="F22" i="5"/>
  <c r="U22" i="5" l="1"/>
  <c r="R22" i="5"/>
  <c r="C22" i="5"/>
  <c r="V15" i="5" l="1"/>
  <c r="V16" i="5"/>
  <c r="V17" i="5"/>
  <c r="V20" i="5"/>
  <c r="V21" i="5"/>
  <c r="V12" i="5"/>
  <c r="S13" i="5"/>
  <c r="S14" i="5"/>
  <c r="S15" i="5"/>
  <c r="S16" i="5"/>
  <c r="S17" i="5"/>
  <c r="S18" i="5"/>
  <c r="S19" i="5"/>
  <c r="S20" i="5"/>
  <c r="S21" i="5"/>
  <c r="S12" i="5"/>
  <c r="P15" i="5"/>
  <c r="P17" i="5"/>
  <c r="P20" i="5"/>
  <c r="P21" i="5"/>
  <c r="P12" i="5"/>
  <c r="M15" i="5"/>
  <c r="M17" i="5"/>
  <c r="M18" i="5"/>
  <c r="M20" i="5"/>
  <c r="M21" i="5"/>
  <c r="M12" i="5"/>
  <c r="J15" i="5"/>
  <c r="J16" i="5"/>
  <c r="J17" i="5"/>
  <c r="J18" i="5"/>
  <c r="J20" i="5"/>
  <c r="J21" i="5"/>
  <c r="J12" i="5"/>
  <c r="G15" i="5"/>
  <c r="G17" i="5"/>
  <c r="G18" i="5"/>
  <c r="G20" i="5"/>
  <c r="G21" i="5"/>
  <c r="G12" i="5"/>
  <c r="D14" i="5"/>
  <c r="D15" i="5"/>
  <c r="D16" i="5"/>
  <c r="D17" i="5"/>
  <c r="D18" i="5"/>
  <c r="D19" i="5"/>
  <c r="D20" i="5"/>
  <c r="D21" i="5"/>
  <c r="D12" i="5"/>
  <c r="L10" i="4" l="1"/>
  <c r="L11" i="4"/>
  <c r="L12" i="4"/>
  <c r="L14" i="4"/>
  <c r="L15" i="4"/>
  <c r="L16" i="4"/>
  <c r="L18" i="4"/>
  <c r="L19" i="4"/>
  <c r="L20" i="4"/>
  <c r="L21" i="4"/>
  <c r="L22" i="4"/>
  <c r="L23" i="4"/>
  <c r="L24" i="4"/>
  <c r="L25" i="4"/>
  <c r="L26" i="4"/>
  <c r="L30" i="4"/>
  <c r="L31" i="4"/>
  <c r="K10" i="4"/>
  <c r="K11" i="4"/>
  <c r="K12" i="4"/>
  <c r="K13" i="4"/>
  <c r="K14" i="4"/>
  <c r="K15" i="4"/>
  <c r="K16" i="4"/>
  <c r="K18" i="4"/>
  <c r="K19" i="4"/>
  <c r="K20" i="4"/>
  <c r="K21" i="4"/>
  <c r="K22" i="4"/>
  <c r="K23" i="4"/>
  <c r="K24" i="4"/>
  <c r="K25" i="4"/>
  <c r="K26" i="4"/>
  <c r="K30" i="4"/>
  <c r="K31" i="4"/>
  <c r="D17" i="4"/>
  <c r="D9" i="4"/>
  <c r="H9" i="4" s="1"/>
  <c r="L17" i="3"/>
  <c r="L18" i="3"/>
  <c r="L19" i="3"/>
  <c r="L20" i="3"/>
  <c r="L22" i="3"/>
  <c r="L23" i="3"/>
  <c r="L24" i="3"/>
  <c r="L25" i="3"/>
  <c r="L26" i="3"/>
  <c r="L27" i="3"/>
  <c r="L28" i="3"/>
  <c r="L30" i="3"/>
  <c r="L31" i="3"/>
  <c r="L32" i="3"/>
  <c r="L34" i="3"/>
  <c r="L35" i="3"/>
  <c r="L38" i="3"/>
  <c r="L41" i="3"/>
  <c r="L42" i="3"/>
  <c r="L46" i="3"/>
  <c r="L47" i="3"/>
  <c r="L10" i="3"/>
  <c r="L11" i="3"/>
  <c r="L12" i="3"/>
  <c r="L13" i="3"/>
  <c r="L14" i="3"/>
  <c r="L15" i="3"/>
  <c r="L16" i="3"/>
  <c r="K15" i="3"/>
  <c r="K16" i="3"/>
  <c r="K17" i="3"/>
  <c r="K18" i="3"/>
  <c r="K19" i="3"/>
  <c r="K20" i="3"/>
  <c r="K22" i="3"/>
  <c r="K23" i="3"/>
  <c r="K24" i="3"/>
  <c r="K25" i="3"/>
  <c r="K26" i="3"/>
  <c r="K27" i="3"/>
  <c r="K28" i="3"/>
  <c r="K30" i="3"/>
  <c r="K31" i="3"/>
  <c r="K32" i="3"/>
  <c r="K34" i="3"/>
  <c r="K35" i="3"/>
  <c r="K37" i="3"/>
  <c r="K38" i="3"/>
  <c r="K39" i="3"/>
  <c r="K40" i="3"/>
  <c r="K41" i="3"/>
  <c r="K42" i="3"/>
  <c r="K46" i="3"/>
  <c r="K47" i="3"/>
  <c r="K10" i="3"/>
  <c r="K11" i="3"/>
  <c r="K12" i="3"/>
  <c r="K13" i="3"/>
  <c r="K14" i="3"/>
  <c r="D36" i="3"/>
  <c r="H36" i="3" s="1"/>
  <c r="D33" i="3"/>
  <c r="D29" i="3"/>
  <c r="C28" i="20" s="1"/>
  <c r="D21" i="3"/>
  <c r="D9" i="3"/>
  <c r="H9" i="3" s="1"/>
  <c r="L21" i="2"/>
  <c r="L22" i="2"/>
  <c r="L23" i="2"/>
  <c r="L24" i="2"/>
  <c r="L31" i="2"/>
  <c r="L36" i="2"/>
  <c r="Q12" i="2" s="1"/>
  <c r="K21" i="2"/>
  <c r="K22" i="2"/>
  <c r="K23" i="2"/>
  <c r="K24" i="2"/>
  <c r="K31" i="2"/>
  <c r="K36" i="2"/>
  <c r="L32" i="2"/>
  <c r="L161" i="2"/>
  <c r="L160" i="2"/>
  <c r="K161" i="2"/>
  <c r="K160" i="2"/>
  <c r="L156" i="2"/>
  <c r="L157" i="2"/>
  <c r="K156" i="2"/>
  <c r="K157" i="2"/>
  <c r="L153" i="2"/>
  <c r="L154" i="2"/>
  <c r="L155" i="2"/>
  <c r="K153" i="2"/>
  <c r="K154" i="2"/>
  <c r="K155" i="2"/>
  <c r="D152" i="2"/>
  <c r="L152" i="2" s="1"/>
  <c r="L147" i="2"/>
  <c r="L148" i="2"/>
  <c r="L149" i="2"/>
  <c r="L150" i="2"/>
  <c r="L151" i="2"/>
  <c r="K147" i="2"/>
  <c r="K148" i="2"/>
  <c r="K149" i="2"/>
  <c r="K150" i="2"/>
  <c r="K151" i="2"/>
  <c r="D146" i="2"/>
  <c r="L134" i="2"/>
  <c r="L135" i="2"/>
  <c r="K134" i="2"/>
  <c r="K135" i="2"/>
  <c r="L132" i="2"/>
  <c r="L133" i="2"/>
  <c r="K132" i="2"/>
  <c r="K133" i="2"/>
  <c r="L130" i="2"/>
  <c r="L131" i="2"/>
  <c r="K130" i="2"/>
  <c r="K131" i="2"/>
  <c r="D129" i="2"/>
  <c r="K129" i="2" s="1"/>
  <c r="L127" i="2"/>
  <c r="L128" i="2"/>
  <c r="K127" i="2"/>
  <c r="K128" i="2"/>
  <c r="L124" i="2"/>
  <c r="L125" i="2"/>
  <c r="L126" i="2"/>
  <c r="K124" i="2"/>
  <c r="K125" i="2"/>
  <c r="K126" i="2"/>
  <c r="D123" i="2"/>
  <c r="L123" i="2" s="1"/>
  <c r="L116" i="2"/>
  <c r="L117" i="2"/>
  <c r="L118" i="2"/>
  <c r="L119" i="2"/>
  <c r="L120" i="2"/>
  <c r="L121" i="2"/>
  <c r="L122" i="2"/>
  <c r="K117" i="2"/>
  <c r="K118" i="2"/>
  <c r="K119" i="2"/>
  <c r="K120" i="2"/>
  <c r="K121" i="2"/>
  <c r="K122" i="2"/>
  <c r="K116" i="2"/>
  <c r="D115" i="2"/>
  <c r="L103" i="2"/>
  <c r="L104" i="2"/>
  <c r="K104" i="2"/>
  <c r="K103" i="2"/>
  <c r="L101" i="2"/>
  <c r="L102" i="2"/>
  <c r="K101" i="2"/>
  <c r="K102" i="2"/>
  <c r="L99" i="2"/>
  <c r="L100" i="2"/>
  <c r="K99" i="2"/>
  <c r="K100" i="2"/>
  <c r="D98" i="2"/>
  <c r="L97" i="2"/>
  <c r="L95" i="2"/>
  <c r="K97" i="2"/>
  <c r="K95" i="2"/>
  <c r="L88" i="2"/>
  <c r="L89" i="2"/>
  <c r="L90" i="2"/>
  <c r="K88" i="2"/>
  <c r="K89" i="2"/>
  <c r="K90" i="2"/>
  <c r="D87" i="2"/>
  <c r="L87" i="2" s="1"/>
  <c r="L80" i="2"/>
  <c r="L81" i="2"/>
  <c r="L82" i="2"/>
  <c r="L83" i="2"/>
  <c r="L84" i="2"/>
  <c r="L85" i="2"/>
  <c r="L86" i="2"/>
  <c r="K80" i="2"/>
  <c r="K81" i="2"/>
  <c r="K82" i="2"/>
  <c r="K83" i="2"/>
  <c r="K84" i="2"/>
  <c r="K85" i="2"/>
  <c r="K86" i="2"/>
  <c r="D79" i="2"/>
  <c r="L67" i="2"/>
  <c r="L68" i="2"/>
  <c r="K67" i="2"/>
  <c r="K68" i="2"/>
  <c r="L65" i="2"/>
  <c r="L66" i="2"/>
  <c r="K65" i="2"/>
  <c r="K66" i="2"/>
  <c r="L63" i="2"/>
  <c r="L64" i="2"/>
  <c r="K63" i="2"/>
  <c r="K64" i="2"/>
  <c r="L61" i="2"/>
  <c r="L62" i="2"/>
  <c r="K61" i="2"/>
  <c r="K62" i="2"/>
  <c r="D60" i="2"/>
  <c r="L60" i="2" s="1"/>
  <c r="L57" i="2"/>
  <c r="L58" i="2"/>
  <c r="L59" i="2"/>
  <c r="K57" i="2"/>
  <c r="K58" i="2"/>
  <c r="K59" i="2"/>
  <c r="D56" i="2"/>
  <c r="L56" i="2" s="1"/>
  <c r="L50" i="2"/>
  <c r="L51" i="2"/>
  <c r="L52" i="2"/>
  <c r="L53" i="2"/>
  <c r="L54" i="2"/>
  <c r="L55" i="2"/>
  <c r="L49" i="2"/>
  <c r="K55" i="2"/>
  <c r="K50" i="2"/>
  <c r="K51" i="2"/>
  <c r="K52" i="2"/>
  <c r="K53" i="2"/>
  <c r="K54" i="2"/>
  <c r="K49" i="2"/>
  <c r="D48" i="2"/>
  <c r="L45" i="1"/>
  <c r="Q13" i="1" s="1"/>
  <c r="K46" i="1"/>
  <c r="K45" i="1"/>
  <c r="K41" i="1"/>
  <c r="L40" i="1"/>
  <c r="Q12" i="1" s="1"/>
  <c r="K40" i="1"/>
  <c r="K35" i="1"/>
  <c r="L35" i="1"/>
  <c r="K33" i="1"/>
  <c r="K34" i="1"/>
  <c r="D32" i="1"/>
  <c r="H32" i="1" s="1"/>
  <c r="K30" i="1"/>
  <c r="K31" i="1"/>
  <c r="K29" i="1"/>
  <c r="L24" i="1"/>
  <c r="K24" i="1"/>
  <c r="K25" i="1"/>
  <c r="K22" i="1"/>
  <c r="K23" i="1"/>
  <c r="K21" i="1"/>
  <c r="D20" i="1"/>
  <c r="K19" i="1"/>
  <c r="K18" i="1"/>
  <c r="L17" i="1"/>
  <c r="L10" i="1"/>
  <c r="L11" i="1"/>
  <c r="L12" i="1"/>
  <c r="L13" i="1"/>
  <c r="L14" i="1"/>
  <c r="L15" i="1"/>
  <c r="L16" i="1"/>
  <c r="K146" i="2" l="1"/>
  <c r="D162" i="2"/>
  <c r="H20" i="1"/>
  <c r="S10" i="1" s="1"/>
  <c r="P10" i="1"/>
  <c r="D69" i="2"/>
  <c r="L17" i="4"/>
  <c r="H17" i="4"/>
  <c r="K37" i="2"/>
  <c r="H37" i="2"/>
  <c r="K98" i="2"/>
  <c r="D28" i="2"/>
  <c r="D38" i="2" s="1"/>
  <c r="K21" i="3"/>
  <c r="H21" i="3"/>
  <c r="L29" i="3"/>
  <c r="H29" i="3"/>
  <c r="L33" i="3"/>
  <c r="H33" i="3"/>
  <c r="D50" i="3"/>
  <c r="K20" i="1"/>
  <c r="L11" i="2"/>
  <c r="C11" i="20"/>
  <c r="G11" i="20" s="1"/>
  <c r="L15" i="2"/>
  <c r="C16" i="20"/>
  <c r="G16" i="20" s="1"/>
  <c r="L20" i="2"/>
  <c r="C23" i="20"/>
  <c r="G23" i="20" s="1"/>
  <c r="L30" i="2"/>
  <c r="C35" i="20"/>
  <c r="G35" i="20" s="1"/>
  <c r="K32" i="1"/>
  <c r="K12" i="2"/>
  <c r="C12" i="20"/>
  <c r="G12" i="20" s="1"/>
  <c r="L16" i="2"/>
  <c r="C17" i="20"/>
  <c r="G17" i="20" s="1"/>
  <c r="L26" i="2"/>
  <c r="C29" i="20"/>
  <c r="G29" i="20" s="1"/>
  <c r="L13" i="2"/>
  <c r="C13" i="20"/>
  <c r="G13" i="20" s="1"/>
  <c r="L18" i="2"/>
  <c r="C21" i="20"/>
  <c r="G21" i="20" s="1"/>
  <c r="L27" i="2"/>
  <c r="L28" i="1"/>
  <c r="Q11" i="1" s="1"/>
  <c r="D105" i="2"/>
  <c r="L105" i="2" s="1"/>
  <c r="L10" i="2"/>
  <c r="C10" i="20"/>
  <c r="G10" i="20" s="1"/>
  <c r="L14" i="2"/>
  <c r="C14" i="20"/>
  <c r="G14" i="20" s="1"/>
  <c r="L19" i="2"/>
  <c r="C22" i="20"/>
  <c r="G22" i="20" s="1"/>
  <c r="K29" i="2"/>
  <c r="C34" i="20"/>
  <c r="G34" i="20" s="1"/>
  <c r="K36" i="3"/>
  <c r="C36" i="20"/>
  <c r="G36" i="20" s="1"/>
  <c r="L9" i="4"/>
  <c r="D32" i="4"/>
  <c r="H32" i="4" s="1"/>
  <c r="K9" i="3"/>
  <c r="K29" i="3"/>
  <c r="D136" i="2"/>
  <c r="L136" i="2" s="1"/>
  <c r="K33" i="3"/>
  <c r="K16" i="2"/>
  <c r="L9" i="3"/>
  <c r="L21" i="3"/>
  <c r="K60" i="2"/>
  <c r="L36" i="3"/>
  <c r="L12" i="2"/>
  <c r="L20" i="1"/>
  <c r="Q10" i="1" s="1"/>
  <c r="K28" i="1"/>
  <c r="L32" i="1"/>
  <c r="K20" i="2"/>
  <c r="L146" i="2"/>
  <c r="K13" i="2"/>
  <c r="L29" i="2"/>
  <c r="L162" i="2"/>
  <c r="L37" i="2"/>
  <c r="H9" i="2"/>
  <c r="S9" i="2" s="1"/>
  <c r="K115" i="2"/>
  <c r="K79" i="2"/>
  <c r="K19" i="2"/>
  <c r="K32" i="2"/>
  <c r="K48" i="2"/>
  <c r="L48" i="2"/>
  <c r="L79" i="2"/>
  <c r="L98" i="2"/>
  <c r="L129" i="2"/>
  <c r="K15" i="2"/>
  <c r="K11" i="2"/>
  <c r="K18" i="2"/>
  <c r="K27" i="2"/>
  <c r="K69" i="2"/>
  <c r="L115" i="2"/>
  <c r="K123" i="2"/>
  <c r="K152" i="2"/>
  <c r="K14" i="2"/>
  <c r="K10" i="2"/>
  <c r="K30" i="2"/>
  <c r="K26" i="2"/>
  <c r="K9" i="4"/>
  <c r="K17" i="4"/>
  <c r="K56" i="2"/>
  <c r="K87" i="2"/>
  <c r="K11" i="1"/>
  <c r="K12" i="1"/>
  <c r="K13" i="1"/>
  <c r="K14" i="1"/>
  <c r="K15" i="1"/>
  <c r="K16" i="1"/>
  <c r="K17" i="1"/>
  <c r="K10" i="1"/>
  <c r="D9" i="1"/>
  <c r="P9" i="1" s="1"/>
  <c r="D47" i="1" l="1"/>
  <c r="L47" i="1" s="1"/>
  <c r="H50" i="3"/>
  <c r="K105" i="2"/>
  <c r="D55" i="1"/>
  <c r="L50" i="3"/>
  <c r="K50" i="3"/>
  <c r="D54" i="1"/>
  <c r="C33" i="20"/>
  <c r="G33" i="20" s="1"/>
  <c r="H28" i="2"/>
  <c r="C20" i="20"/>
  <c r="G20" i="20" s="1"/>
  <c r="H17" i="2"/>
  <c r="S10" i="2" s="1"/>
  <c r="G28" i="20"/>
  <c r="H25" i="2"/>
  <c r="S11" i="2" s="1"/>
  <c r="C9" i="20"/>
  <c r="G9" i="20" s="1"/>
  <c r="H9" i="1"/>
  <c r="S9" i="1" s="1"/>
  <c r="I33" i="20"/>
  <c r="I31" i="20"/>
  <c r="H31" i="20"/>
  <c r="I13" i="20"/>
  <c r="H13" i="20"/>
  <c r="I17" i="20"/>
  <c r="H17" i="20"/>
  <c r="I23" i="20"/>
  <c r="H23" i="20"/>
  <c r="I11" i="20"/>
  <c r="H11" i="20"/>
  <c r="H34" i="20"/>
  <c r="I34" i="20"/>
  <c r="H14" i="20"/>
  <c r="I14" i="20"/>
  <c r="I21" i="20"/>
  <c r="H21" i="20"/>
  <c r="I29" i="20"/>
  <c r="H29" i="20"/>
  <c r="I12" i="20"/>
  <c r="H12" i="20"/>
  <c r="I35" i="20"/>
  <c r="H35" i="20"/>
  <c r="H16" i="20"/>
  <c r="I16" i="20"/>
  <c r="H36" i="20"/>
  <c r="I36" i="20"/>
  <c r="I22" i="20"/>
  <c r="H22" i="20"/>
  <c r="H10" i="20"/>
  <c r="I10" i="20"/>
  <c r="K136" i="2"/>
  <c r="L9" i="2"/>
  <c r="Q9" i="2" s="1"/>
  <c r="L69" i="2"/>
  <c r="L9" i="1"/>
  <c r="Q9" i="1" s="1"/>
  <c r="K9" i="1"/>
  <c r="K162" i="2"/>
  <c r="K9" i="2"/>
  <c r="L28" i="2"/>
  <c r="K28" i="2"/>
  <c r="K17" i="2"/>
  <c r="L17" i="2"/>
  <c r="Q10" i="2" s="1"/>
  <c r="L25" i="2"/>
  <c r="Q11" i="2" s="1"/>
  <c r="K25" i="2"/>
  <c r="L32" i="4"/>
  <c r="K32" i="4"/>
  <c r="H47" i="1" l="1"/>
  <c r="E55" i="1"/>
  <c r="F55" i="1"/>
  <c r="E54" i="1"/>
  <c r="F54" i="1"/>
  <c r="I28" i="20"/>
  <c r="I20" i="20"/>
  <c r="H28" i="20"/>
  <c r="H33" i="20"/>
  <c r="H20" i="20"/>
  <c r="D53" i="1"/>
  <c r="H38" i="2"/>
  <c r="I9" i="20"/>
  <c r="H9" i="20"/>
  <c r="D52" i="1"/>
  <c r="D56" i="1" s="1"/>
  <c r="C51" i="20"/>
  <c r="I51" i="20" s="1"/>
  <c r="K47" i="1"/>
  <c r="L38" i="2"/>
  <c r="K38" i="2"/>
  <c r="E56" i="1" l="1"/>
  <c r="F56" i="1"/>
  <c r="G51" i="20"/>
  <c r="G53" i="1"/>
  <c r="E52" i="1"/>
  <c r="F52" i="1"/>
  <c r="E53" i="1"/>
  <c r="F53" i="1"/>
  <c r="H51" i="20"/>
</calcChain>
</file>

<file path=xl/sharedStrings.xml><?xml version="1.0" encoding="utf-8"?>
<sst xmlns="http://schemas.openxmlformats.org/spreadsheetml/2006/main" count="1051" uniqueCount="150">
  <si>
    <t>CCAA/PROVINCIAS</t>
  </si>
  <si>
    <t>RSU REGEPA (ha)</t>
  </si>
  <si>
    <t>RSU REGEPA 2020 VS 2019</t>
  </si>
  <si>
    <t>Absoluto (ha)</t>
  </si>
  <si>
    <t>Relativo</t>
  </si>
  <si>
    <t>RSU REGEPA 2021 VS 2020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</si>
  <si>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</si>
  <si>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</si>
  <si>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</si>
  <si>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</si>
  <si>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</si>
  <si>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</si>
  <si>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</si>
  <si>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</si>
  <si>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</si>
  <si>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ASTURIAS</t>
  </si>
  <si>
    <t>C. VALENCIANA</t>
  </si>
  <si>
    <t>ALICANTE</t>
  </si>
  <si>
    <t>CASTELLÓN</t>
  </si>
  <si>
    <t>VALENCIA</t>
  </si>
  <si>
    <t>CANTABRIA</t>
  </si>
  <si>
    <t>C. y LEÓN</t>
  </si>
  <si>
    <t>SALAMANCA</t>
  </si>
  <si>
    <t>CATALUÑA</t>
  </si>
  <si>
    <t>BARCELONA</t>
  </si>
  <si>
    <t>GIRONA</t>
  </si>
  <si>
    <t>TARRAGONA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</si>
  <si>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</si>
  <si>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</si>
  <si>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</si>
  <si>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</si>
  <si>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</si>
  <si>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</si>
  <si>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</si>
  <si>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</si>
  <si>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I. BALEARES</t>
  </si>
  <si>
    <t>I. CANARIAS</t>
  </si>
  <si>
    <t>LAS PALMAS</t>
  </si>
  <si>
    <t>SANTA CRUZ DE TENERIFE</t>
  </si>
  <si>
    <t>MURCIA</t>
  </si>
  <si>
    <t>ESPAÑA</t>
  </si>
  <si>
    <t/>
  </si>
  <si>
    <t>BDA_Cítricos_Año_Plantacion_RSU_REGEPA_2021_.xlsx</t>
  </si>
  <si>
    <t>C.-LA MANCHA</t>
  </si>
  <si>
    <t>ALBACETE</t>
  </si>
  <si>
    <t>CLEMENTINAS</t>
  </si>
  <si>
    <t>MANDARINOS</t>
  </si>
  <si>
    <t>SATSUMAS</t>
  </si>
  <si>
    <t>LIMONERO</t>
  </si>
  <si>
    <t>ARAGÓN</t>
  </si>
  <si>
    <t>TERUEL</t>
  </si>
  <si>
    <t>CIUDAD REAL</t>
  </si>
  <si>
    <t>LLEIDA</t>
  </si>
  <si>
    <t>POMELO</t>
  </si>
  <si>
    <t>RSU REGEPA</t>
  </si>
  <si>
    <t>2021 vs 2020</t>
  </si>
  <si>
    <t>Total registrado</t>
  </si>
  <si>
    <t>RSU REGEPA 2021 - CCAA: total registrado (ha) y superficie sin año de plantación (ha)</t>
  </si>
  <si>
    <t>CA</t>
  </si>
  <si>
    <t>RSU REGEPA 2021 VS 2020 - CCAA</t>
  </si>
  <si>
    <t>Sin año de plantación</t>
  </si>
  <si>
    <t>2020</t>
  </si>
  <si>
    <t>2021</t>
  </si>
  <si>
    <t>2019</t>
  </si>
  <si>
    <t>NARANJO</t>
  </si>
  <si>
    <t>CLEMENTINA</t>
  </si>
  <si>
    <t>MANDARINO</t>
  </si>
  <si>
    <t>MANDARINO HÍBRIDO</t>
  </si>
  <si>
    <t>SATSUMA</t>
  </si>
  <si>
    <t>Total 218.841</t>
  </si>
  <si>
    <t>PEQUEÑOS CÍTRICOS</t>
  </si>
  <si>
    <t>CÍTRICOS</t>
  </si>
  <si>
    <t>Fuente:</t>
  </si>
  <si>
    <t>Total general</t>
  </si>
  <si>
    <t>&lt;2.000</t>
  </si>
  <si>
    <t>Sin info de edad</t>
  </si>
  <si>
    <t>Distribución Territorial</t>
  </si>
  <si>
    <t>PEQUEÑOS CÍTRICOS: Clementinas, mandarinos, mandarinos híbridos y satsumas</t>
  </si>
  <si>
    <t>POTENVEDRA</t>
  </si>
  <si>
    <t>Índice</t>
  </si>
  <si>
    <t>Volver al:</t>
  </si>
  <si>
    <t>ESPAÑA: NARANJO</t>
  </si>
  <si>
    <t>PRODUCTO</t>
  </si>
  <si>
    <t>TIPO</t>
  </si>
  <si>
    <t>PRECOCIDAD</t>
  </si>
  <si>
    <t>SUPERFICIE</t>
  </si>
  <si>
    <t>Blancas</t>
  </si>
  <si>
    <t>Media estación</t>
  </si>
  <si>
    <t>Tardia</t>
  </si>
  <si>
    <t>Navel</t>
  </si>
  <si>
    <t>Temprana</t>
  </si>
  <si>
    <t>Sanguinas</t>
  </si>
  <si>
    <t>Sin clasificar</t>
  </si>
  <si>
    <t>Sin variedad</t>
  </si>
  <si>
    <t>SUPERFICIE TOTAL</t>
  </si>
  <si>
    <t>ESPAÑA: PEQUEÑOS CÍTRICOS</t>
  </si>
  <si>
    <t>PEQ. CÍTRICOS</t>
  </si>
  <si>
    <t>Clementinas</t>
  </si>
  <si>
    <t>Extratempranas</t>
  </si>
  <si>
    <t>Mandarino</t>
  </si>
  <si>
    <t>Mandarinos híbridos</t>
  </si>
  <si>
    <t>Satsumas</t>
  </si>
  <si>
    <t>ESPAÑA: LIMONERO</t>
  </si>
  <si>
    <t>Invierno</t>
  </si>
  <si>
    <t>Verano</t>
  </si>
  <si>
    <t>PEQUEÑOS CÍTRICOS (clementinas, mandarinos, mandarinos híbridos y satsumas)</t>
  </si>
  <si>
    <t>INFORMACIÓN SOBRE LA EDAD DE PLANTACIÓN</t>
  </si>
  <si>
    <t>MANDARINOS HÍBRIDO</t>
  </si>
  <si>
    <t xml:space="preserve">MANDARINO  </t>
  </si>
  <si>
    <t>TOTAL</t>
  </si>
  <si>
    <t>CCAA</t>
  </si>
  <si>
    <t>TOTAL CITRICOS</t>
  </si>
  <si>
    <t>% NARANJO</t>
  </si>
  <si>
    <t>% PEQUEÑOS CÍTRICOS</t>
  </si>
  <si>
    <t>% LIMONERO</t>
  </si>
  <si>
    <t>% POMELO</t>
  </si>
  <si>
    <t>% TOTAL CITRICOS</t>
  </si>
  <si>
    <t>ACUMULADO</t>
  </si>
  <si>
    <t>MANDARINOS HÍBRIDOS</t>
  </si>
  <si>
    <t>Sobre total sup</t>
  </si>
  <si>
    <t>A</t>
  </si>
  <si>
    <t>SUPERFICIES ANUALES (ha)</t>
  </si>
  <si>
    <t>REPRESENTATIVIDAD: RSU REGEPA VS SUPERFICIES ANUALES (%)</t>
  </si>
  <si>
    <t>PAIS VASCO</t>
  </si>
  <si>
    <t>GUIPÚZCOA</t>
  </si>
  <si>
    <t>VIZCAYA</t>
  </si>
  <si>
    <r>
      <rPr>
        <u/>
        <sz val="14"/>
        <color theme="5" tint="-0.249977111117893"/>
        <rFont val="Arial Rounded MT Bold"/>
        <family val="2"/>
      </rPr>
      <t>PEQUEÑOS CÍTRICOS</t>
    </r>
    <r>
      <rPr>
        <sz val="14"/>
        <color theme="5" tint="-0.249977111117893"/>
        <rFont val="Arial Rounded MT Bold"/>
        <family val="2"/>
      </rPr>
      <t>:</t>
    </r>
    <r>
      <rPr>
        <sz val="14"/>
        <color theme="1"/>
        <rFont val="Calibri"/>
        <family val="2"/>
        <scheme val="minor"/>
      </rPr>
      <t xml:space="preserve"> CLEMENTINAS, MANDARINOS, MANDARINOS HÍBRIDOS Y SATSUMAS</t>
    </r>
  </si>
  <si>
    <t>RSU REGEPA 2020</t>
  </si>
  <si>
    <t>Superficies anuales 2021</t>
  </si>
  <si>
    <t>RSU REGEPA 2021</t>
  </si>
  <si>
    <t>RSU REGEPA 2021 vs 2020</t>
  </si>
  <si>
    <t>RSU REGEPA vs Superficies (2021)</t>
  </si>
  <si>
    <t>CÍTRICOS TOTAL</t>
  </si>
  <si>
    <t>TOTAL CÍTRICOS: NARANJO + PEQ.CÍTRICOS + LIMONERO + POMELO</t>
  </si>
  <si>
    <t>CCAA / PROVINCIAS</t>
  </si>
  <si>
    <t>Total cítricos</t>
  </si>
  <si>
    <t>VARIACIÓN DE LA REPRESENTATIVIDAD</t>
  </si>
  <si>
    <t>CARACTERÍSTICAS POR PRODUCTO Y SUPERFICIE (Variedades)</t>
  </si>
  <si>
    <t>S.C. DE TENERIFE</t>
  </si>
  <si>
    <t>CANARIAS</t>
  </si>
  <si>
    <t>PAÍS VASCO</t>
  </si>
  <si>
    <t>REPRESENTATIVIDAD DE LOS DATOS DE SUPERFICIE (ha)</t>
  </si>
  <si>
    <t>Tardía</t>
  </si>
  <si>
    <r>
      <t xml:space="preserve">*faltan superficies anuales pequeños cítricos </t>
    </r>
    <r>
      <rPr>
        <u/>
        <sz val="11"/>
        <color theme="1"/>
        <rFont val="Calibri"/>
        <family val="2"/>
        <scheme val="minor"/>
      </rPr>
      <t>disgregados</t>
    </r>
  </si>
  <si>
    <t>&gt; 2000</t>
  </si>
  <si>
    <t>2013-19</t>
  </si>
  <si>
    <t>Variación</t>
  </si>
  <si>
    <t>Superficies Anuales</t>
  </si>
  <si>
    <t>Representatividad</t>
  </si>
  <si>
    <t>BDA Cítricos RSU-REGEPA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</si>
</sst>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2F2F2"/>
      <name val="Calibri"/>
      <family val="2"/>
    </font>
    <font>
      <u/>
      <sz val="11"/>
      <color theme="1"/>
      <name val="Calibri"/>
      <family val="2"/>
      <scheme val="minor"/>
    </font>
    <font>
      <u/>
      <sz val="12"/>
      <color rgb="FF7030A0"/>
      <name val="Arial Rounded MT Bold"/>
      <family val="2"/>
    </font>
    <font>
      <sz val="14"/>
      <color theme="5" tint="-0.249977111117893"/>
      <name val="Arial Rounded MT Bold"/>
      <family val="2"/>
    </font>
    <font>
      <u/>
      <sz val="14"/>
      <color theme="5" tint="-0.249977111117893"/>
      <name val="Arial Rounded MT Bold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theme="7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6"/>
      <color rgb="FFFF9933"/>
      <name val="Arial Rounded MT Bold"/>
      <family val="2"/>
    </font>
    <font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AE5D"/>
        <bgColor indexed="64"/>
      </patternFill>
    </fill>
    <fill>
      <patternFill patternType="solid">
        <fgColor rgb="FFDB6413"/>
        <bgColor indexed="64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5C00"/>
        <bgColor indexed="64"/>
      </patternFill>
    </fill>
    <fill>
      <patternFill patternType="solid">
        <fgColor rgb="FFB85C00"/>
        <bgColor theme="4" tint="0.79998168889431442"/>
      </patternFill>
    </fill>
    <fill>
      <patternFill patternType="solid">
        <fgColor theme="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1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1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indexed="64"/>
      </top>
      <bottom/>
      <diagonal/>
    </border>
    <border>
      <left style="thin">
        <color theme="6"/>
      </left>
      <right style="thin">
        <color indexed="64"/>
      </right>
      <top/>
      <bottom/>
      <diagonal/>
    </border>
    <border>
      <left style="thin">
        <color theme="6"/>
      </left>
      <right style="thin">
        <color indexed="64"/>
      </right>
      <top style="thin">
        <color theme="6"/>
      </top>
      <bottom/>
      <diagonal/>
    </border>
    <border>
      <left style="thin">
        <color theme="1"/>
      </left>
      <right style="thin">
        <color theme="6"/>
      </right>
      <top style="thin">
        <color theme="6"/>
      </top>
      <bottom/>
      <diagonal/>
    </border>
    <border>
      <left style="thin">
        <color theme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6"/>
      </left>
      <right style="thin">
        <color theme="1"/>
      </right>
      <top style="thin">
        <color theme="6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theme="6"/>
      </left>
      <right style="thin">
        <color theme="1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6"/>
      </top>
      <bottom/>
      <diagonal/>
    </border>
    <border>
      <left style="thin">
        <color indexed="64"/>
      </left>
      <right/>
      <top style="thin">
        <color theme="6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6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6"/>
      </left>
      <right style="thin">
        <color theme="2" tint="-0.249977111117893"/>
      </right>
      <top style="thin">
        <color indexed="64"/>
      </top>
      <bottom/>
      <diagonal/>
    </border>
    <border>
      <left style="thin">
        <color theme="6"/>
      </left>
      <right style="thin">
        <color theme="2" tint="-0.249977111117893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2" tint="-0.249977111117893"/>
      </right>
      <top/>
      <bottom/>
      <diagonal/>
    </border>
    <border>
      <left style="thin">
        <color theme="6"/>
      </left>
      <right style="thin">
        <color theme="2" tint="-0.249977111117893"/>
      </right>
      <top style="thin">
        <color theme="6"/>
      </top>
      <bottom style="thin">
        <color indexed="64"/>
      </bottom>
      <diagonal/>
    </border>
    <border>
      <left style="thin">
        <color theme="0" tint="-0.499984740745262"/>
      </left>
      <right style="thin">
        <color theme="2" tint="-0.249977111117893"/>
      </right>
      <top style="thin">
        <color indexed="64"/>
      </top>
      <bottom/>
      <diagonal/>
    </border>
    <border>
      <left style="thin">
        <color theme="6"/>
      </left>
      <right style="thin">
        <color theme="2" tint="-0.249977111117893"/>
      </right>
      <top/>
      <bottom style="thin">
        <color indexed="64"/>
      </bottom>
      <diagonal/>
    </border>
    <border>
      <left style="thin">
        <color theme="6"/>
      </left>
      <right style="thin">
        <color theme="2" tint="-0.249977111117893"/>
      </right>
      <top style="thin">
        <color theme="6"/>
      </top>
      <bottom/>
      <diagonal/>
    </border>
    <border>
      <left style="thin">
        <color theme="0" tint="-0.499984740745262"/>
      </left>
      <right style="thin">
        <color theme="2" tint="-0.249977111117893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1" applyFont="1"/>
    <xf numFmtId="3" fontId="0" fillId="0" borderId="6" xfId="0" applyNumberFormat="1" applyBorder="1" applyAlignment="1">
      <alignment horizontal="center" vertical="center"/>
    </xf>
    <xf numFmtId="3" fontId="0" fillId="0" borderId="0" xfId="0" applyNumberFormat="1"/>
    <xf numFmtId="0" fontId="4" fillId="0" borderId="0" xfId="0" applyFont="1"/>
    <xf numFmtId="0" fontId="5" fillId="0" borderId="11" xfId="0" applyFont="1" applyBorder="1" applyAlignment="1">
      <alignment wrapText="1"/>
    </xf>
    <xf numFmtId="3" fontId="0" fillId="0" borderId="1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9" fillId="0" borderId="0" xfId="0" applyFont="1"/>
    <xf numFmtId="0" fontId="3" fillId="2" borderId="3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3" fontId="0" fillId="0" borderId="1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9" fontId="1" fillId="0" borderId="16" xfId="1" applyFont="1" applyFill="1" applyBorder="1" applyAlignment="1">
      <alignment horizontal="center"/>
    </xf>
    <xf numFmtId="10" fontId="0" fillId="0" borderId="16" xfId="1" applyNumberFormat="1" applyFont="1" applyFill="1" applyBorder="1" applyAlignment="1">
      <alignment horizontal="center"/>
    </xf>
    <xf numFmtId="9" fontId="0" fillId="0" borderId="16" xfId="1" applyFont="1" applyFill="1" applyBorder="1" applyAlignment="1">
      <alignment horizontal="center"/>
    </xf>
    <xf numFmtId="9" fontId="1" fillId="0" borderId="14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4" fontId="0" fillId="0" borderId="2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65" fontId="1" fillId="0" borderId="14" xfId="1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9" fontId="0" fillId="0" borderId="27" xfId="1" applyFont="1" applyFill="1" applyBorder="1" applyAlignment="1">
      <alignment horizontal="center"/>
    </xf>
    <xf numFmtId="3" fontId="0" fillId="0" borderId="28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9" fontId="1" fillId="0" borderId="33" xfId="1" applyFont="1" applyFill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9" fontId="0" fillId="0" borderId="33" xfId="1" applyFont="1" applyFill="1" applyBorder="1" applyAlignment="1">
      <alignment horizontal="center"/>
    </xf>
    <xf numFmtId="9" fontId="0" fillId="0" borderId="23" xfId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9" fontId="3" fillId="0" borderId="40" xfId="1" applyFont="1" applyFill="1" applyBorder="1" applyAlignment="1">
      <alignment horizontal="center"/>
    </xf>
    <xf numFmtId="3" fontId="3" fillId="0" borderId="25" xfId="0" applyNumberFormat="1" applyFont="1" applyBorder="1" applyAlignment="1">
      <alignment horizontal="center" vertical="center"/>
    </xf>
    <xf numFmtId="9" fontId="3" fillId="0" borderId="35" xfId="1" applyFont="1" applyFill="1" applyBorder="1" applyAlignment="1">
      <alignment horizont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9" fontId="0" fillId="0" borderId="40" xfId="1" applyFont="1" applyFill="1" applyBorder="1" applyAlignment="1">
      <alignment horizontal="center"/>
    </xf>
    <xf numFmtId="0" fontId="10" fillId="0" borderId="0" xfId="3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0" fillId="0" borderId="42" xfId="0" applyNumberFormat="1" applyBorder="1" applyAlignment="1">
      <alignment horizontal="center"/>
    </xf>
    <xf numFmtId="165" fontId="0" fillId="0" borderId="42" xfId="1" applyNumberFormat="1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4" xfId="0" applyFont="1" applyBorder="1"/>
    <xf numFmtId="0" fontId="9" fillId="0" borderId="52" xfId="0" applyFont="1" applyBorder="1"/>
    <xf numFmtId="0" fontId="3" fillId="0" borderId="42" xfId="0" applyFont="1" applyBorder="1"/>
    <xf numFmtId="0" fontId="3" fillId="0" borderId="42" xfId="0" applyFont="1" applyBorder="1" applyAlignment="1">
      <alignment horizontal="center"/>
    </xf>
    <xf numFmtId="10" fontId="0" fillId="0" borderId="42" xfId="1" applyNumberFormat="1" applyFont="1" applyBorder="1" applyAlignment="1">
      <alignment horizontal="center"/>
    </xf>
    <xf numFmtId="9" fontId="0" fillId="0" borderId="42" xfId="1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3" fontId="3" fillId="0" borderId="42" xfId="0" applyNumberFormat="1" applyFont="1" applyBorder="1" applyAlignment="1">
      <alignment horizontal="center"/>
    </xf>
    <xf numFmtId="3" fontId="0" fillId="3" borderId="37" xfId="0" applyNumberFormat="1" applyFill="1" applyBorder="1" applyAlignment="1">
      <alignment horizontal="center" vertical="center"/>
    </xf>
    <xf numFmtId="0" fontId="3" fillId="0" borderId="10" xfId="0" applyFont="1" applyBorder="1"/>
    <xf numFmtId="3" fontId="0" fillId="3" borderId="21" xfId="0" applyNumberFormat="1" applyFill="1" applyBorder="1" applyAlignment="1">
      <alignment horizontal="center" vertical="center"/>
    </xf>
    <xf numFmtId="3" fontId="0" fillId="3" borderId="62" xfId="0" applyNumberFormat="1" applyFill="1" applyBorder="1" applyAlignment="1">
      <alignment horizontal="center" vertical="center"/>
    </xf>
    <xf numFmtId="3" fontId="0" fillId="3" borderId="38" xfId="0" applyNumberFormat="1" applyFill="1" applyBorder="1" applyAlignment="1">
      <alignment horizontal="center" vertical="center"/>
    </xf>
    <xf numFmtId="4" fontId="0" fillId="3" borderId="38" xfId="0" applyNumberFormat="1" applyFill="1" applyBorder="1" applyAlignment="1">
      <alignment horizontal="center" vertical="center"/>
    </xf>
    <xf numFmtId="4" fontId="0" fillId="3" borderId="57" xfId="0" applyNumberFormat="1" applyFill="1" applyBorder="1" applyAlignment="1">
      <alignment horizontal="center" vertical="center"/>
    </xf>
    <xf numFmtId="3" fontId="0" fillId="3" borderId="63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3" borderId="63" xfId="0" applyNumberFormat="1" applyFill="1" applyBorder="1" applyAlignment="1">
      <alignment horizontal="center"/>
    </xf>
    <xf numFmtId="0" fontId="0" fillId="3" borderId="63" xfId="0" applyFill="1" applyBorder="1" applyAlignment="1">
      <alignment horizontal="center" vertical="center"/>
    </xf>
    <xf numFmtId="4" fontId="0" fillId="3" borderId="35" xfId="0" applyNumberFormat="1" applyFill="1" applyBorder="1" applyAlignment="1">
      <alignment horizontal="center" vertical="center"/>
    </xf>
    <xf numFmtId="4" fontId="0" fillId="3" borderId="24" xfId="0" applyNumberFormat="1" applyFill="1" applyBorder="1" applyAlignment="1">
      <alignment horizontal="center" vertical="center"/>
    </xf>
    <xf numFmtId="4" fontId="0" fillId="3" borderId="63" xfId="0" applyNumberFormat="1" applyFill="1" applyBorder="1" applyAlignment="1">
      <alignment horizontal="center" vertical="center"/>
    </xf>
    <xf numFmtId="3" fontId="0" fillId="3" borderId="64" xfId="0" applyNumberForma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center"/>
    </xf>
    <xf numFmtId="0" fontId="15" fillId="8" borderId="42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6" fontId="0" fillId="0" borderId="0" xfId="4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9" fontId="3" fillId="2" borderId="57" xfId="1" applyFont="1" applyFill="1" applyBorder="1" applyAlignment="1">
      <alignment horizontal="center" vertical="center"/>
    </xf>
    <xf numFmtId="9" fontId="0" fillId="2" borderId="56" xfId="1" applyFont="1" applyFill="1" applyBorder="1" applyAlignment="1">
      <alignment horizontal="center"/>
    </xf>
    <xf numFmtId="0" fontId="3" fillId="2" borderId="56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3" fontId="2" fillId="9" borderId="8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3" fontId="2" fillId="9" borderId="2" xfId="0" applyNumberFormat="1" applyFont="1" applyFill="1" applyBorder="1" applyAlignment="1">
      <alignment horizontal="center"/>
    </xf>
    <xf numFmtId="3" fontId="2" fillId="9" borderId="1" xfId="0" applyNumberFormat="1" applyFont="1" applyFill="1" applyBorder="1" applyAlignment="1">
      <alignment horizontal="center"/>
    </xf>
    <xf numFmtId="9" fontId="2" fillId="9" borderId="2" xfId="1" applyFont="1" applyFill="1" applyBorder="1" applyAlignment="1">
      <alignment horizontal="center"/>
    </xf>
    <xf numFmtId="9" fontId="2" fillId="9" borderId="1" xfId="1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/>
    </xf>
    <xf numFmtId="3" fontId="18" fillId="0" borderId="42" xfId="0" applyNumberFormat="1" applyFont="1" applyBorder="1" applyAlignment="1">
      <alignment horizontal="center" vertical="center"/>
    </xf>
    <xf numFmtId="3" fontId="20" fillId="0" borderId="42" xfId="0" applyNumberFormat="1" applyFont="1" applyBorder="1" applyAlignment="1">
      <alignment horizontal="center"/>
    </xf>
    <xf numFmtId="9" fontId="22" fillId="0" borderId="0" xfId="1" applyFont="1"/>
    <xf numFmtId="9" fontId="0" fillId="0" borderId="0" xfId="0" applyNumberFormat="1"/>
    <xf numFmtId="3" fontId="3" fillId="3" borderId="60" xfId="0" applyNumberFormat="1" applyFont="1" applyFill="1" applyBorder="1" applyAlignment="1">
      <alignment horizontal="center" vertical="center"/>
    </xf>
    <xf numFmtId="3" fontId="0" fillId="3" borderId="59" xfId="0" applyNumberFormat="1" applyFill="1" applyBorder="1" applyAlignment="1">
      <alignment horizontal="center" vertical="center"/>
    </xf>
    <xf numFmtId="1" fontId="3" fillId="3" borderId="61" xfId="1" applyNumberFormat="1" applyFont="1" applyFill="1" applyBorder="1" applyAlignment="1">
      <alignment horizontal="center"/>
    </xf>
    <xf numFmtId="0" fontId="12" fillId="3" borderId="48" xfId="3" applyFont="1" applyFill="1" applyBorder="1" applyAlignment="1">
      <alignment vertical="center"/>
    </xf>
    <xf numFmtId="0" fontId="3" fillId="2" borderId="65" xfId="0" applyFont="1" applyFill="1" applyBorder="1" applyAlignment="1">
      <alignment horizontal="left"/>
    </xf>
    <xf numFmtId="0" fontId="0" fillId="11" borderId="0" xfId="0" applyFill="1"/>
    <xf numFmtId="0" fontId="3" fillId="7" borderId="0" xfId="0" applyFont="1" applyFill="1"/>
    <xf numFmtId="0" fontId="24" fillId="0" borderId="0" xfId="0" applyFont="1"/>
    <xf numFmtId="0" fontId="2" fillId="4" borderId="4" xfId="0" applyFont="1" applyFill="1" applyBorder="1" applyAlignment="1">
      <alignment vertical="center"/>
    </xf>
    <xf numFmtId="0" fontId="0" fillId="3" borderId="20" xfId="0" applyFill="1" applyBorder="1" applyAlignment="1">
      <alignment horizontal="left" indent="1"/>
    </xf>
    <xf numFmtId="0" fontId="3" fillId="2" borderId="20" xfId="0" applyFont="1" applyFill="1" applyBorder="1" applyAlignment="1">
      <alignment horizontal="left"/>
    </xf>
    <xf numFmtId="3" fontId="0" fillId="3" borderId="36" xfId="0" applyNumberFormat="1" applyFill="1" applyBorder="1" applyAlignment="1">
      <alignment horizontal="center"/>
    </xf>
    <xf numFmtId="0" fontId="2" fillId="4" borderId="5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0" fillId="3" borderId="66" xfId="0" applyNumberForma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/>
    </xf>
    <xf numFmtId="3" fontId="2" fillId="9" borderId="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9" fontId="2" fillId="4" borderId="4" xfId="0" applyNumberFormat="1" applyFont="1" applyFill="1" applyBorder="1" applyAlignment="1">
      <alignment horizontal="center" vertical="center"/>
    </xf>
    <xf numFmtId="3" fontId="0" fillId="3" borderId="66" xfId="0" applyNumberFormat="1" applyFill="1" applyBorder="1" applyAlignment="1">
      <alignment horizontal="center"/>
    </xf>
    <xf numFmtId="3" fontId="3" fillId="2" borderId="66" xfId="0" applyNumberFormat="1" applyFon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/>
    </xf>
    <xf numFmtId="0" fontId="0" fillId="3" borderId="66" xfId="0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/>
    </xf>
    <xf numFmtId="0" fontId="25" fillId="0" borderId="0" xfId="0" applyFont="1"/>
    <xf numFmtId="165" fontId="2" fillId="9" borderId="67" xfId="1" applyNumberFormat="1" applyFont="1" applyFill="1" applyBorder="1" applyAlignment="1">
      <alignment horizontal="center"/>
    </xf>
    <xf numFmtId="3" fontId="2" fillId="9" borderId="67" xfId="0" applyNumberFormat="1" applyFont="1" applyFill="1" applyBorder="1" applyAlignment="1">
      <alignment horizontal="center" vertical="center"/>
    </xf>
    <xf numFmtId="0" fontId="0" fillId="0" borderId="47" xfId="0" applyBorder="1"/>
    <xf numFmtId="9" fontId="2" fillId="9" borderId="67" xfId="1" applyFon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1" fontId="2" fillId="9" borderId="67" xfId="1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left" indent="1"/>
    </xf>
    <xf numFmtId="3" fontId="3" fillId="2" borderId="67" xfId="0" applyNumberFormat="1" applyFont="1" applyFill="1" applyBorder="1" applyAlignment="1">
      <alignment horizontal="left" vertical="center"/>
    </xf>
    <xf numFmtId="3" fontId="2" fillId="9" borderId="67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" fillId="2" borderId="67" xfId="0" applyFont="1" applyFill="1" applyBorder="1" applyAlignment="1">
      <alignment horizontal="left"/>
    </xf>
    <xf numFmtId="3" fontId="3" fillId="2" borderId="67" xfId="0" applyNumberFormat="1" applyFont="1" applyFill="1" applyBorder="1" applyAlignment="1">
      <alignment horizontal="center"/>
    </xf>
    <xf numFmtId="9" fontId="3" fillId="2" borderId="67" xfId="1" applyFont="1" applyFill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9" fontId="1" fillId="0" borderId="67" xfId="1" applyFont="1" applyFill="1" applyBorder="1" applyAlignment="1">
      <alignment horizontal="center"/>
    </xf>
    <xf numFmtId="3" fontId="0" fillId="3" borderId="67" xfId="0" applyNumberFormat="1" applyFill="1" applyBorder="1" applyAlignment="1">
      <alignment horizontal="center"/>
    </xf>
    <xf numFmtId="9" fontId="0" fillId="3" borderId="67" xfId="1" applyFont="1" applyFill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3" fontId="0" fillId="2" borderId="67" xfId="0" applyNumberFormat="1" applyFill="1" applyBorder="1" applyAlignment="1">
      <alignment horizontal="center"/>
    </xf>
    <xf numFmtId="3" fontId="3" fillId="2" borderId="67" xfId="0" applyNumberFormat="1" applyFont="1" applyFill="1" applyBorder="1" applyAlignment="1">
      <alignment horizontal="center" vertical="center"/>
    </xf>
    <xf numFmtId="9" fontId="3" fillId="2" borderId="67" xfId="1" applyFont="1" applyFill="1" applyBorder="1" applyAlignment="1">
      <alignment horizontal="center" vertical="center"/>
    </xf>
    <xf numFmtId="3" fontId="0" fillId="3" borderId="67" xfId="0" applyNumberFormat="1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4" fontId="0" fillId="3" borderId="67" xfId="0" applyNumberFormat="1" applyFill="1" applyBorder="1" applyAlignment="1">
      <alignment horizontal="center"/>
    </xf>
    <xf numFmtId="4" fontId="0" fillId="3" borderId="67" xfId="0" applyNumberForma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left"/>
    </xf>
    <xf numFmtId="0" fontId="0" fillId="3" borderId="67" xfId="0" applyFill="1" applyBorder="1" applyAlignment="1">
      <alignment horizontal="left" indent="1"/>
    </xf>
    <xf numFmtId="0" fontId="0" fillId="3" borderId="67" xfId="0" applyFill="1" applyBorder="1" applyAlignment="1">
      <alignment horizontal="center"/>
    </xf>
    <xf numFmtId="9" fontId="0" fillId="3" borderId="67" xfId="0" applyNumberFormat="1" applyFill="1" applyBorder="1" applyAlignment="1">
      <alignment horizontal="center"/>
    </xf>
    <xf numFmtId="9" fontId="0" fillId="3" borderId="67" xfId="0" applyNumberFormat="1" applyFill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9" fontId="0" fillId="0" borderId="67" xfId="1" applyFont="1" applyBorder="1" applyAlignment="1">
      <alignment horizontal="center"/>
    </xf>
    <xf numFmtId="9" fontId="0" fillId="0" borderId="67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14" fillId="5" borderId="53" xfId="0" applyNumberFormat="1" applyFont="1" applyFill="1" applyBorder="1" applyAlignment="1">
      <alignment horizontal="center" vertical="center"/>
    </xf>
    <xf numFmtId="9" fontId="14" fillId="5" borderId="53" xfId="1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horizontal="left"/>
    </xf>
    <xf numFmtId="3" fontId="3" fillId="6" borderId="67" xfId="0" applyNumberFormat="1" applyFont="1" applyFill="1" applyBorder="1" applyAlignment="1">
      <alignment horizontal="center"/>
    </xf>
    <xf numFmtId="165" fontId="3" fillId="6" borderId="67" xfId="1" applyNumberFormat="1" applyFont="1" applyFill="1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3" fillId="7" borderId="67" xfId="0" applyFont="1" applyFill="1" applyBorder="1" applyAlignment="1">
      <alignment horizontal="left"/>
    </xf>
    <xf numFmtId="3" fontId="3" fillId="7" borderId="67" xfId="0" applyNumberFormat="1" applyFont="1" applyFill="1" applyBorder="1" applyAlignment="1">
      <alignment horizontal="center"/>
    </xf>
    <xf numFmtId="4" fontId="3" fillId="7" borderId="67" xfId="0" applyNumberFormat="1" applyFont="1" applyFill="1" applyBorder="1" applyAlignment="1">
      <alignment horizontal="center"/>
    </xf>
    <xf numFmtId="9" fontId="3" fillId="6" borderId="67" xfId="1" applyFont="1" applyFill="1" applyBorder="1" applyAlignment="1">
      <alignment horizontal="center"/>
    </xf>
    <xf numFmtId="2" fontId="3" fillId="7" borderId="67" xfId="1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3" fontId="23" fillId="10" borderId="69" xfId="0" applyNumberFormat="1" applyFont="1" applyFill="1" applyBorder="1" applyAlignment="1">
      <alignment horizontal="center"/>
    </xf>
    <xf numFmtId="0" fontId="19" fillId="5" borderId="53" xfId="0" applyFont="1" applyFill="1" applyBorder="1" applyAlignment="1">
      <alignment horizontal="center"/>
    </xf>
    <xf numFmtId="9" fontId="3" fillId="0" borderId="67" xfId="1" applyFont="1" applyBorder="1" applyAlignment="1">
      <alignment horizontal="center"/>
    </xf>
    <xf numFmtId="3" fontId="14" fillId="5" borderId="53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indent="1"/>
    </xf>
    <xf numFmtId="0" fontId="3" fillId="7" borderId="10" xfId="0" applyFont="1" applyFill="1" applyBorder="1" applyAlignment="1">
      <alignment horizontal="left"/>
    </xf>
    <xf numFmtId="9" fontId="3" fillId="7" borderId="67" xfId="1" applyFont="1" applyFill="1" applyBorder="1" applyAlignment="1">
      <alignment horizontal="center"/>
    </xf>
    <xf numFmtId="165" fontId="3" fillId="0" borderId="67" xfId="1" applyNumberFormat="1" applyFont="1" applyBorder="1" applyAlignment="1">
      <alignment horizontal="center"/>
    </xf>
    <xf numFmtId="0" fontId="0" fillId="3" borderId="10" xfId="0" applyFill="1" applyBorder="1" applyAlignment="1">
      <alignment horizontal="left" indent="1"/>
    </xf>
    <xf numFmtId="3" fontId="14" fillId="5" borderId="70" xfId="0" applyNumberFormat="1" applyFont="1" applyFill="1" applyBorder="1" applyAlignment="1">
      <alignment horizontal="center" vertical="center"/>
    </xf>
    <xf numFmtId="3" fontId="3" fillId="2" borderId="68" xfId="0" applyNumberFormat="1" applyFont="1" applyFill="1" applyBorder="1" applyAlignment="1">
      <alignment horizontal="center"/>
    </xf>
    <xf numFmtId="0" fontId="3" fillId="2" borderId="68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3" fontId="3" fillId="2" borderId="68" xfId="0" applyNumberFormat="1" applyFont="1" applyFill="1" applyBorder="1" applyAlignment="1">
      <alignment horizontal="center" vertical="center"/>
    </xf>
    <xf numFmtId="9" fontId="0" fillId="2" borderId="68" xfId="1" applyFont="1" applyFill="1" applyBorder="1" applyAlignment="1">
      <alignment horizontal="center"/>
    </xf>
    <xf numFmtId="3" fontId="0" fillId="0" borderId="71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3" fillId="2" borderId="68" xfId="0" applyNumberFormat="1" applyFont="1" applyFill="1" applyBorder="1" applyAlignment="1">
      <alignment horizontal="left" vertical="center"/>
    </xf>
    <xf numFmtId="0" fontId="0" fillId="0" borderId="42" xfId="0" applyBorder="1" applyAlignment="1">
      <alignment horizontal="center" vertical="center" wrapText="1"/>
    </xf>
    <xf numFmtId="0" fontId="0" fillId="0" borderId="10" xfId="0" applyBorder="1"/>
    <xf numFmtId="165" fontId="3" fillId="0" borderId="42" xfId="1" applyNumberFormat="1" applyFont="1" applyFill="1" applyBorder="1" applyAlignment="1">
      <alignment horizontal="center"/>
    </xf>
    <xf numFmtId="3" fontId="2" fillId="4" borderId="67" xfId="0" applyNumberFormat="1" applyFont="1" applyFill="1" applyBorder="1" applyAlignment="1">
      <alignment horizontal="center" vertical="center"/>
    </xf>
    <xf numFmtId="3" fontId="2" fillId="4" borderId="67" xfId="0" applyNumberFormat="1" applyFont="1" applyFill="1" applyBorder="1" applyAlignment="1">
      <alignment horizontal="center"/>
    </xf>
    <xf numFmtId="165" fontId="2" fillId="4" borderId="67" xfId="1" applyNumberFormat="1" applyFont="1" applyFill="1" applyBorder="1" applyAlignment="1">
      <alignment horizontal="center"/>
    </xf>
    <xf numFmtId="0" fontId="0" fillId="0" borderId="72" xfId="0" applyBorder="1" applyAlignment="1">
      <alignment horizontal="left" indent="1"/>
    </xf>
    <xf numFmtId="3" fontId="0" fillId="3" borderId="72" xfId="0" applyNumberFormat="1" applyFill="1" applyBorder="1" applyAlignment="1">
      <alignment horizontal="center" vertical="center"/>
    </xf>
    <xf numFmtId="3" fontId="0" fillId="3" borderId="72" xfId="0" applyNumberFormat="1" applyFill="1" applyBorder="1" applyAlignment="1">
      <alignment horizontal="center"/>
    </xf>
    <xf numFmtId="9" fontId="0" fillId="3" borderId="72" xfId="1" applyFont="1" applyFill="1" applyBorder="1" applyAlignment="1">
      <alignment horizontal="center"/>
    </xf>
    <xf numFmtId="0" fontId="2" fillId="4" borderId="67" xfId="0" applyFont="1" applyFill="1" applyBorder="1" applyAlignment="1">
      <alignment horizontal="left" vertical="center"/>
    </xf>
    <xf numFmtId="3" fontId="3" fillId="2" borderId="73" xfId="0" applyNumberFormat="1" applyFont="1" applyFill="1" applyBorder="1" applyAlignment="1">
      <alignment horizontal="center" vertical="center"/>
    </xf>
    <xf numFmtId="3" fontId="3" fillId="2" borderId="72" xfId="0" applyNumberFormat="1" applyFont="1" applyFill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9" fontId="6" fillId="0" borderId="67" xfId="1" applyFont="1" applyFill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9" fontId="7" fillId="0" borderId="67" xfId="1" applyFont="1" applyFill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2" fillId="9" borderId="75" xfId="0" applyNumberFormat="1" applyFont="1" applyFill="1" applyBorder="1" applyAlignment="1">
      <alignment horizontal="center" vertical="center"/>
    </xf>
    <xf numFmtId="3" fontId="2" fillId="9" borderId="49" xfId="0" applyNumberFormat="1" applyFont="1" applyFill="1" applyBorder="1" applyAlignment="1">
      <alignment horizontal="center" vertical="center"/>
    </xf>
    <xf numFmtId="9" fontId="2" fillId="9" borderId="51" xfId="1" applyFont="1" applyFill="1" applyBorder="1" applyAlignment="1">
      <alignment horizontal="center"/>
    </xf>
    <xf numFmtId="3" fontId="2" fillId="9" borderId="49" xfId="0" applyNumberFormat="1" applyFont="1" applyFill="1" applyBorder="1" applyAlignment="1">
      <alignment horizontal="center"/>
    </xf>
    <xf numFmtId="3" fontId="2" fillId="9" borderId="76" xfId="0" applyNumberFormat="1" applyFont="1" applyFill="1" applyBorder="1" applyAlignment="1">
      <alignment horizontal="center" vertical="center"/>
    </xf>
    <xf numFmtId="0" fontId="2" fillId="9" borderId="76" xfId="0" applyFont="1" applyFill="1" applyBorder="1" applyAlignment="1">
      <alignment horizontal="left"/>
    </xf>
    <xf numFmtId="3" fontId="3" fillId="2" borderId="51" xfId="0" applyNumberFormat="1" applyFont="1" applyFill="1" applyBorder="1" applyAlignment="1">
      <alignment horizontal="center" vertical="center"/>
    </xf>
    <xf numFmtId="3" fontId="0" fillId="3" borderId="51" xfId="0" applyNumberFormat="1" applyFill="1" applyBorder="1" applyAlignment="1">
      <alignment horizontal="center"/>
    </xf>
    <xf numFmtId="3" fontId="3" fillId="2" borderId="77" xfId="0" applyNumberFormat="1" applyFont="1" applyFill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3" fillId="2" borderId="79" xfId="0" applyNumberFormat="1" applyFont="1" applyFill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9" fontId="0" fillId="2" borderId="81" xfId="1" applyFont="1" applyFill="1" applyBorder="1" applyAlignment="1">
      <alignment horizontal="center"/>
    </xf>
    <xf numFmtId="9" fontId="6" fillId="0" borderId="78" xfId="1" applyFont="1" applyFill="1" applyBorder="1" applyAlignment="1">
      <alignment horizontal="center" vertical="center"/>
    </xf>
    <xf numFmtId="9" fontId="3" fillId="2" borderId="79" xfId="1" applyFont="1" applyFill="1" applyBorder="1" applyAlignment="1">
      <alignment horizontal="center" vertical="center"/>
    </xf>
    <xf numFmtId="9" fontId="6" fillId="0" borderId="80" xfId="1" applyFont="1" applyFill="1" applyBorder="1" applyAlignment="1">
      <alignment horizontal="center" vertical="center"/>
    </xf>
    <xf numFmtId="9" fontId="3" fillId="2" borderId="77" xfId="1" applyFont="1" applyFill="1" applyBorder="1" applyAlignment="1">
      <alignment horizontal="center" vertical="center"/>
    </xf>
    <xf numFmtId="9" fontId="7" fillId="0" borderId="78" xfId="1" applyFont="1" applyFill="1" applyBorder="1" applyAlignment="1">
      <alignment horizontal="center" vertical="center"/>
    </xf>
    <xf numFmtId="9" fontId="7" fillId="0" borderId="82" xfId="1" applyFont="1" applyFill="1" applyBorder="1" applyAlignment="1">
      <alignment horizontal="center" vertical="center"/>
    </xf>
    <xf numFmtId="3" fontId="0" fillId="3" borderId="83" xfId="0" applyNumberFormat="1" applyFill="1" applyBorder="1" applyAlignment="1">
      <alignment horizontal="center" vertical="center"/>
    </xf>
    <xf numFmtId="3" fontId="3" fillId="2" borderId="83" xfId="0" applyNumberFormat="1" applyFont="1" applyFill="1" applyBorder="1" applyAlignment="1">
      <alignment horizontal="center" vertical="center"/>
    </xf>
    <xf numFmtId="0" fontId="0" fillId="3" borderId="83" xfId="0" applyFill="1" applyBorder="1" applyAlignment="1">
      <alignment horizontal="center"/>
    </xf>
    <xf numFmtId="3" fontId="0" fillId="3" borderId="80" xfId="0" applyNumberFormat="1" applyFill="1" applyBorder="1" applyAlignment="1">
      <alignment horizontal="center" vertical="center"/>
    </xf>
    <xf numFmtId="9" fontId="0" fillId="3" borderId="83" xfId="1" applyFont="1" applyFill="1" applyBorder="1" applyAlignment="1">
      <alignment horizontal="center"/>
    </xf>
    <xf numFmtId="9" fontId="3" fillId="2" borderId="83" xfId="1" applyFont="1" applyFill="1" applyBorder="1" applyAlignment="1">
      <alignment horizontal="center" vertical="center"/>
    </xf>
    <xf numFmtId="9" fontId="0" fillId="3" borderId="83" xfId="0" applyNumberFormat="1" applyFill="1" applyBorder="1" applyAlignment="1">
      <alignment horizontal="center" vertical="center"/>
    </xf>
    <xf numFmtId="9" fontId="0" fillId="3" borderId="80" xfId="1" applyFont="1" applyFill="1" applyBorder="1" applyAlignment="1">
      <alignment horizontal="center"/>
    </xf>
    <xf numFmtId="0" fontId="0" fillId="3" borderId="83" xfId="0" applyFill="1" applyBorder="1" applyAlignment="1">
      <alignment horizontal="center" vertical="center"/>
    </xf>
    <xf numFmtId="3" fontId="0" fillId="3" borderId="83" xfId="0" applyNumberFormat="1" applyFill="1" applyBorder="1" applyAlignment="1">
      <alignment horizontal="center"/>
    </xf>
    <xf numFmtId="3" fontId="0" fillId="3" borderId="82" xfId="0" applyNumberFormat="1" applyFill="1" applyBorder="1" applyAlignment="1">
      <alignment horizontal="center"/>
    </xf>
    <xf numFmtId="9" fontId="0" fillId="3" borderId="83" xfId="0" applyNumberFormat="1" applyFill="1" applyBorder="1" applyAlignment="1">
      <alignment horizontal="center"/>
    </xf>
    <xf numFmtId="9" fontId="0" fillId="3" borderId="84" xfId="1" applyFont="1" applyFill="1" applyBorder="1" applyAlignment="1">
      <alignment horizontal="center"/>
    </xf>
    <xf numFmtId="0" fontId="28" fillId="12" borderId="0" xfId="0" applyFont="1" applyFill="1"/>
    <xf numFmtId="0" fontId="2" fillId="13" borderId="1" xfId="0" applyFont="1" applyFill="1" applyBorder="1" applyAlignment="1">
      <alignment horizontal="center" vertical="center" wrapText="1"/>
    </xf>
    <xf numFmtId="9" fontId="2" fillId="13" borderId="1" xfId="1" applyFont="1" applyFill="1" applyBorder="1" applyAlignment="1">
      <alignment horizontal="center" vertical="center" wrapText="1"/>
    </xf>
    <xf numFmtId="0" fontId="19" fillId="13" borderId="67" xfId="0" applyFont="1" applyFill="1" applyBorder="1" applyAlignment="1">
      <alignment horizontal="left"/>
    </xf>
    <xf numFmtId="3" fontId="19" fillId="14" borderId="67" xfId="0" applyNumberFormat="1" applyFont="1" applyFill="1" applyBorder="1" applyAlignment="1">
      <alignment horizontal="center"/>
    </xf>
    <xf numFmtId="9" fontId="19" fillId="13" borderId="67" xfId="1" applyFont="1" applyFill="1" applyBorder="1" applyAlignment="1">
      <alignment horizontal="center"/>
    </xf>
    <xf numFmtId="0" fontId="3" fillId="3" borderId="50" xfId="0" applyFont="1" applyFill="1" applyBorder="1" applyAlignment="1">
      <alignment vertical="center"/>
    </xf>
    <xf numFmtId="0" fontId="14" fillId="5" borderId="53" xfId="0" applyFont="1" applyFill="1" applyBorder="1" applyAlignment="1">
      <alignment horizontal="center" vertical="center" wrapText="1"/>
    </xf>
    <xf numFmtId="0" fontId="21" fillId="0" borderId="55" xfId="0" applyFont="1" applyBorder="1"/>
    <xf numFmtId="0" fontId="21" fillId="0" borderId="42" xfId="0" applyFont="1" applyBorder="1"/>
    <xf numFmtId="0" fontId="0" fillId="0" borderId="55" xfId="0" applyBorder="1"/>
    <xf numFmtId="0" fontId="14" fillId="5" borderId="42" xfId="0" applyFont="1" applyFill="1" applyBorder="1" applyAlignment="1">
      <alignment horizontal="center" vertical="center" wrapText="1"/>
    </xf>
    <xf numFmtId="0" fontId="30" fillId="12" borderId="0" xfId="0" applyFont="1" applyFill="1"/>
    <xf numFmtId="9" fontId="3" fillId="2" borderId="42" xfId="1" applyFont="1" applyFill="1" applyBorder="1" applyAlignment="1">
      <alignment horizontal="center"/>
    </xf>
    <xf numFmtId="165" fontId="3" fillId="2" borderId="42" xfId="0" applyNumberFormat="1" applyFont="1" applyFill="1" applyBorder="1" applyAlignment="1">
      <alignment horizontal="center"/>
    </xf>
    <xf numFmtId="165" fontId="19" fillId="13" borderId="67" xfId="0" applyNumberFormat="1" applyFont="1" applyFill="1" applyBorder="1" applyAlignment="1">
      <alignment horizontal="center"/>
    </xf>
    <xf numFmtId="9" fontId="3" fillId="2" borderId="42" xfId="0" applyNumberFormat="1" applyFont="1" applyFill="1" applyBorder="1" applyAlignment="1">
      <alignment horizontal="center"/>
    </xf>
    <xf numFmtId="9" fontId="0" fillId="0" borderId="67" xfId="0" applyNumberFormat="1" applyBorder="1" applyAlignment="1">
      <alignment horizontal="center"/>
    </xf>
    <xf numFmtId="9" fontId="3" fillId="2" borderId="67" xfId="0" applyNumberFormat="1" applyFont="1" applyFill="1" applyBorder="1" applyAlignment="1">
      <alignment horizontal="center" vertical="center"/>
    </xf>
    <xf numFmtId="165" fontId="2" fillId="4" borderId="67" xfId="0" applyNumberFormat="1" applyFont="1" applyFill="1" applyBorder="1" applyAlignment="1">
      <alignment horizontal="center" vertical="center"/>
    </xf>
    <xf numFmtId="9" fontId="2" fillId="9" borderId="67" xfId="0" applyNumberFormat="1" applyFont="1" applyFill="1" applyBorder="1" applyAlignment="1">
      <alignment horizontal="center" vertical="center"/>
    </xf>
    <xf numFmtId="165" fontId="2" fillId="9" borderId="67" xfId="0" applyNumberFormat="1" applyFont="1" applyFill="1" applyBorder="1" applyAlignment="1">
      <alignment horizontal="center" vertical="center"/>
    </xf>
    <xf numFmtId="165" fontId="3" fillId="2" borderId="42" xfId="1" applyNumberFormat="1" applyFont="1" applyFill="1" applyBorder="1" applyAlignment="1">
      <alignment horizontal="center"/>
    </xf>
    <xf numFmtId="165" fontId="3" fillId="2" borderId="67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165" fontId="22" fillId="0" borderId="0" xfId="1" applyNumberFormat="1" applyFont="1"/>
    <xf numFmtId="165" fontId="22" fillId="0" borderId="0" xfId="0" applyNumberFormat="1" applyFont="1"/>
    <xf numFmtId="0" fontId="32" fillId="0" borderId="0" xfId="0" applyFont="1"/>
    <xf numFmtId="165" fontId="32" fillId="0" borderId="0" xfId="1" applyNumberFormat="1" applyFont="1"/>
    <xf numFmtId="0" fontId="22" fillId="0" borderId="0" xfId="0" applyFont="1"/>
    <xf numFmtId="0" fontId="0" fillId="0" borderId="52" xfId="0" applyBorder="1"/>
    <xf numFmtId="4" fontId="3" fillId="2" borderId="67" xfId="0" applyNumberFormat="1" applyFont="1" applyFill="1" applyBorder="1" applyAlignment="1">
      <alignment horizontal="center"/>
    </xf>
    <xf numFmtId="165" fontId="19" fillId="14" borderId="67" xfId="1" applyNumberFormat="1" applyFont="1" applyFill="1" applyBorder="1" applyAlignment="1">
      <alignment horizontal="center"/>
    </xf>
    <xf numFmtId="165" fontId="3" fillId="2" borderId="68" xfId="1" applyNumberFormat="1" applyFont="1" applyFill="1" applyBorder="1" applyAlignment="1">
      <alignment horizontal="center"/>
    </xf>
    <xf numFmtId="165" fontId="3" fillId="2" borderId="67" xfId="1" applyNumberFormat="1" applyFont="1" applyFill="1" applyBorder="1" applyAlignment="1">
      <alignment horizontal="center"/>
    </xf>
    <xf numFmtId="10" fontId="3" fillId="2" borderId="67" xfId="1" applyNumberFormat="1" applyFont="1" applyFill="1" applyBorder="1" applyAlignment="1">
      <alignment horizontal="center"/>
    </xf>
    <xf numFmtId="165" fontId="3" fillId="2" borderId="68" xfId="1" applyNumberFormat="1" applyFont="1" applyFill="1" applyBorder="1" applyAlignment="1">
      <alignment horizontal="center" vertical="center"/>
    </xf>
    <xf numFmtId="10" fontId="0" fillId="0" borderId="0" xfId="0" applyNumberFormat="1"/>
    <xf numFmtId="0" fontId="11" fillId="5" borderId="47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31" fillId="15" borderId="0" xfId="0" applyFont="1" applyFill="1" applyAlignment="1">
      <alignment horizontal="center" vertical="center"/>
    </xf>
    <xf numFmtId="0" fontId="31" fillId="15" borderId="47" xfId="0" applyFont="1" applyFill="1" applyBorder="1" applyAlignment="1">
      <alignment horizontal="center" vertical="center"/>
    </xf>
    <xf numFmtId="0" fontId="31" fillId="15" borderId="46" xfId="0" applyFont="1" applyFill="1" applyBorder="1" applyAlignment="1">
      <alignment horizontal="center" vertical="center"/>
    </xf>
    <xf numFmtId="0" fontId="12" fillId="3" borderId="49" xfId="3" applyFont="1" applyFill="1" applyBorder="1" applyAlignment="1">
      <alignment horizontal="left" vertical="center"/>
    </xf>
    <xf numFmtId="0" fontId="12" fillId="3" borderId="51" xfId="3" applyFont="1" applyFill="1" applyBorder="1" applyAlignment="1">
      <alignment horizontal="left" vertical="center"/>
    </xf>
    <xf numFmtId="0" fontId="12" fillId="3" borderId="48" xfId="3" applyFont="1" applyFill="1" applyBorder="1" applyAlignment="1">
      <alignment horizontal="left" vertical="center"/>
    </xf>
    <xf numFmtId="0" fontId="12" fillId="3" borderId="50" xfId="3" applyFont="1" applyFill="1" applyBorder="1" applyAlignment="1">
      <alignment horizontal="left" vertical="center"/>
    </xf>
    <xf numFmtId="0" fontId="31" fillId="15" borderId="45" xfId="0" applyFont="1" applyFill="1" applyBorder="1" applyAlignment="1">
      <alignment horizontal="center" vertical="center"/>
    </xf>
    <xf numFmtId="0" fontId="12" fillId="3" borderId="47" xfId="3" applyFont="1" applyFill="1" applyBorder="1" applyAlignment="1">
      <alignment horizontal="left" vertical="center"/>
    </xf>
    <xf numFmtId="0" fontId="12" fillId="3" borderId="46" xfId="3" applyFont="1" applyFill="1" applyBorder="1" applyAlignment="1">
      <alignment horizontal="left" vertical="center"/>
    </xf>
    <xf numFmtId="0" fontId="12" fillId="3" borderId="0" xfId="3" applyFont="1" applyFill="1" applyBorder="1" applyAlignment="1">
      <alignment horizontal="left" vertical="center" indent="1"/>
    </xf>
    <xf numFmtId="0" fontId="12" fillId="3" borderId="45" xfId="3" applyFont="1" applyFill="1" applyBorder="1" applyAlignment="1">
      <alignment horizontal="left" vertical="center" indent="1"/>
    </xf>
    <xf numFmtId="0" fontId="12" fillId="3" borderId="48" xfId="3" applyFont="1" applyFill="1" applyBorder="1" applyAlignment="1">
      <alignment horizontal="left" vertical="center" indent="1"/>
    </xf>
    <xf numFmtId="0" fontId="12" fillId="3" borderId="50" xfId="3" applyFont="1" applyFill="1" applyBorder="1" applyAlignment="1">
      <alignment horizontal="left" vertical="center" indent="1"/>
    </xf>
    <xf numFmtId="0" fontId="12" fillId="3" borderId="0" xfId="3" applyFont="1" applyFill="1" applyBorder="1" applyAlignment="1">
      <alignment horizontal="left" vertical="center"/>
    </xf>
    <xf numFmtId="0" fontId="12" fillId="3" borderId="45" xfId="3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5" fontId="0" fillId="0" borderId="53" xfId="1" applyNumberFormat="1" applyFont="1" applyBorder="1" applyAlignment="1">
      <alignment horizontal="center" vertical="center"/>
    </xf>
    <xf numFmtId="165" fontId="0" fillId="0" borderId="54" xfId="1" applyNumberFormat="1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3" applyFont="1"/>
    <xf numFmtId="3" fontId="28" fillId="12" borderId="0" xfId="0" applyNumberFormat="1" applyFont="1" applyFill="1" applyAlignment="1">
      <alignment horizontal="right"/>
    </xf>
    <xf numFmtId="3" fontId="29" fillId="12" borderId="0" xfId="0" applyNumberFormat="1" applyFont="1" applyFill="1" applyAlignment="1">
      <alignment horizontal="right"/>
    </xf>
  </cellXfs>
  <cellStyles count="5">
    <cellStyle name="Hipervínculo" xfId="3" builtinId="8"/>
    <cellStyle name="Millares" xfId="4" builtinId="3"/>
    <cellStyle name="Normal" xfId="0" builtinId="0"/>
    <cellStyle name="Normal 2" xfId="2" xr:uid="{00000000-0005-0000-0000-000003000000}"/>
    <cellStyle name="Porcentaje" xfId="1" builtinId="5"/>
  </cellStyles>
  <dxfs count="34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 style="thin">
          <color theme="6"/>
        </bottom>
      </border>
    </dxf>
    <dxf>
      <font>
        <b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6"/>
        </right>
        <top style="thin">
          <color theme="6"/>
        </top>
        <bottom style="thin">
          <color theme="6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 style="thin">
          <color theme="6"/>
        </bottom>
      </border>
    </dxf>
    <dxf>
      <font>
        <b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</font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</font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</font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/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</font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/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/>
      </font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1"/>
        </right>
        <top style="thin">
          <color theme="6"/>
        </top>
        <bottom style="thin">
          <color theme="6"/>
        </bottom>
      </border>
    </dxf>
    <dxf>
      <font>
        <b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6"/>
        </right>
        <top style="thin">
          <color theme="6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6"/>
        </right>
        <top style="thin">
          <color theme="6"/>
        </top>
        <bottom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</dxfs>
  <tableStyles count="2" defaultTableStyle="Estilo de tabla 2" defaultPivotStyle="PivotStyleLight16">
    <tableStyle name="Estilo de tabla 1" pivot="0" count="1" xr9:uid="{00000000-0011-0000-FFFF-FFFF00000000}">
      <tableStyleElement type="wholeTable" dxfId="341"/>
    </tableStyle>
    <tableStyle name="Estilo de tabla 2" pivot="0" count="1" xr9:uid="{00000000-0011-0000-FFFF-FFFF01000000}">
      <tableStyleElement type="wholeTable" dxfId="340"/>
    </tableStyle>
  </tableStyles>
  <colors>
    <mruColors>
      <color rgb="FF800000"/>
      <color rgb="FFB85C00"/>
      <color rgb="FF663300"/>
      <color rgb="FF9A4D00"/>
      <color rgb="FFCC6600"/>
      <color rgb="FFDB6413"/>
      <color rgb="FFED7A2B"/>
      <color rgb="FFEA6B14"/>
      <color rgb="FFFF6600"/>
      <color rgb="FFFFA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Variación de la superficie </a:t>
            </a:r>
            <a:r>
              <a:rPr lang="es-ES" baseline="0"/>
              <a:t>d</a:t>
            </a:r>
            <a:r>
              <a:rPr lang="es-ES"/>
              <a:t>e cítricos por</a:t>
            </a:r>
            <a:r>
              <a:rPr lang="es-ES" baseline="0"/>
              <a:t> </a:t>
            </a:r>
            <a:r>
              <a:rPr lang="es-ES"/>
              <a:t>CCAA</a:t>
            </a:r>
          </a:p>
          <a:p>
            <a:pPr>
              <a:defRPr/>
            </a:pPr>
            <a:r>
              <a:rPr lang="es-ES"/>
              <a:t>2021 vs 2020 (ha)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CÍTRICOS!$A$9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([1]Cítricos!$B$5,[1]Cítricos!$B$16,[1]Cítricos!$B$24,[1]Cítricos!$B$37,[1]Cítricos!$B$42)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CÍTRICOS!$H$9</c:f>
              <c:numCache>
                <c:formatCode>#,##0</c:formatCode>
                <c:ptCount val="1"/>
                <c:pt idx="0">
                  <c:v>2184.3000000000029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3-412A-BF40-E4B0B74CBE19}"/>
            </c:ext>
          </c:extLst>
        </c:ser>
        <c:ser>
          <c:idx val="1"/>
          <c:order val="1"/>
          <c:tx>
            <c:strRef>
              <c:f>CÍTRICOS!$A$20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([1]Cítricos!$B$5,[1]Cítricos!$B$16,[1]Cítricos!$B$24,[1]Cítricos!$B$37,[1]Cítricos!$B$42)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CÍTRICOS!$H$20</c:f>
              <c:numCache>
                <c:formatCode>#,##0</c:formatCode>
                <c:ptCount val="1"/>
                <c:pt idx="0">
                  <c:v>184.0000000000291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3-412A-BF40-E4B0B74CBE19}"/>
            </c:ext>
          </c:extLst>
        </c:ser>
        <c:ser>
          <c:idx val="2"/>
          <c:order val="2"/>
          <c:tx>
            <c:strRef>
              <c:f>CÍTRICOS!$A$28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([1]Cítricos!$B$5,[1]Cítricos!$B$16,[1]Cítricos!$B$24,[1]Cítricos!$B$37,[1]Cítricos!$B$42)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CÍTRICOS!$H$28</c:f>
              <c:numCache>
                <c:formatCode>#,##0</c:formatCode>
                <c:ptCount val="1"/>
                <c:pt idx="0">
                  <c:v>-173.18000000000211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63-412A-BF40-E4B0B74CBE19}"/>
            </c:ext>
          </c:extLst>
        </c:ser>
        <c:ser>
          <c:idx val="3"/>
          <c:order val="3"/>
          <c:tx>
            <c:strRef>
              <c:f>CÍTRICOS!$A$41</c:f>
              <c:strCache>
                <c:ptCount val="1"/>
                <c:pt idx="0">
                  <c:v>I. BALEARES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([1]Cítricos!$B$5,[1]Cítricos!$B$16,[1]Cítricos!$B$24,[1]Cítricos!$B$37,[1]Cítricos!$B$42)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CÍTRICOS!$H$41</c:f>
              <c:numCache>
                <c:formatCode>#,##0</c:formatCode>
                <c:ptCount val="1"/>
                <c:pt idx="0">
                  <c:v>-5.5899999999998045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63-412A-BF40-E4B0B74CBE19}"/>
            </c:ext>
          </c:extLst>
        </c:ser>
        <c:ser>
          <c:idx val="4"/>
          <c:order val="4"/>
          <c:tx>
            <c:strRef>
              <c:f>CÍTRICOS!$A$46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([1]Cítricos!$B$5,[1]Cítricos!$B$16,[1]Cítricos!$B$24,[1]Cítricos!$B$37,[1]Cítricos!$B$42)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CÍTRICOS!$H$46</c:f>
              <c:numCache>
                <c:formatCode>#,##0</c:formatCode>
                <c:ptCount val="1"/>
                <c:pt idx="0">
                  <c:v>1751.0799999999981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63-412A-BF40-E4B0B74CBE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8113248"/>
        <c:axId val="848116512"/>
      </c:barChart>
      <c:catAx>
        <c:axId val="848113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48116512"/>
        <c:crosses val="autoZero"/>
        <c:auto val="1"/>
        <c:lblAlgn val="ctr"/>
        <c:lblOffset val="100"/>
        <c:noMultiLvlLbl val="0"/>
      </c:catAx>
      <c:valAx>
        <c:axId val="848116512"/>
        <c:scaling>
          <c:orientation val="minMax"/>
          <c:max val="2200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3248"/>
        <c:crosses val="autoZero"/>
        <c:crossBetween val="between"/>
        <c:minorUnit val="3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RSU REGEPA 2021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7742132233470818"/>
          <c:y val="0.23998889567964465"/>
          <c:w val="0.45531608548931385"/>
          <c:h val="0.699973376684862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3C-4C3C-9992-77048F8D6AD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3C-4C3C-9992-77048F8D6AD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3C-4C3C-9992-77048F8D6AD3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3C-4C3C-9992-77048F8D6AD3}"/>
              </c:ext>
            </c:extLst>
          </c:dPt>
          <c:dLbls>
            <c:dLbl>
              <c:idx val="0"/>
              <c:layout>
                <c:manualLayout>
                  <c:x val="-0.18177557805274341"/>
                  <c:y val="-6.00279827383441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C-4C3C-9992-77048F8D6AD3}"/>
                </c:ext>
              </c:extLst>
            </c:dLbl>
            <c:dLbl>
              <c:idx val="1"/>
              <c:layout>
                <c:manualLayout>
                  <c:x val="0.17704926884139482"/>
                  <c:y val="-0.142970712158539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C-4C3C-9992-77048F8D6AD3}"/>
                </c:ext>
              </c:extLst>
            </c:dLbl>
            <c:dLbl>
              <c:idx val="2"/>
              <c:layout>
                <c:manualLayout>
                  <c:x val="1.2465241844769404E-2"/>
                  <c:y val="6.1820527259813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3C-4C3C-9992-77048F8D6AD3}"/>
                </c:ext>
              </c:extLst>
            </c:dLbl>
            <c:dLbl>
              <c:idx val="3"/>
              <c:layout>
                <c:manualLayout>
                  <c:x val="2.70586176727909E-3"/>
                  <c:y val="1.9720977742568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3C-4C3C-9992-77048F8D6AD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'NAR-REPR'!$A$52:$A$55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'NAR-REPR'!$D$52:$D$55</c:f>
              <c:numCache>
                <c:formatCode>#,##0</c:formatCode>
                <c:ptCount val="4"/>
                <c:pt idx="0">
                  <c:v>108084.02000000002</c:v>
                </c:pt>
                <c:pt idx="1">
                  <c:v>78551.239999999962</c:v>
                </c:pt>
                <c:pt idx="2">
                  <c:v>30125.489999999998</c:v>
                </c:pt>
                <c:pt idx="3">
                  <c:v>2335.0500000000002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3C-4C3C-9992-77048F8D6A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Cítricos:</a:t>
            </a:r>
            <a:r>
              <a:rPr lang="es-ES" baseline="0"/>
              <a:t> RSU REGEPA 2021 vs </a:t>
            </a:r>
            <a:r>
              <a:rPr lang="es-ES" sz="1400" b="0" i="0" u="none" strike="noStrike" baseline="0">
                <a:effectLst/>
              </a:rPr>
              <a:t>Superficies anuales 2021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Superficies anuales 2021 (ha)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'NAR-REPR'!$A$52:$A$55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'NAR-REPR'!$B$52:$B$55</c:f>
              <c:numCache>
                <c:formatCode>#,##0</c:formatCode>
                <c:ptCount val="4"/>
                <c:pt idx="0">
                  <c:v>143173</c:v>
                </c:pt>
                <c:pt idx="1">
                  <c:v>102384</c:v>
                </c:pt>
                <c:pt idx="2">
                  <c:v>50412</c:v>
                </c:pt>
                <c:pt idx="3">
                  <c:v>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F-4392-8C72-47A192916F85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173356849377906E-3"/>
                  <c:y val="-0.12251146575482984"/>
                </c:manualLayout>
              </c:layout>
              <c:tx>
                <c:rich>
                  <a:bodyPr/>
                  <a:lstStyle/>
                  <a:p>
                    <a:fld id="{3440E9DA-763C-4432-9FF2-B87A5722542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3E3-42B9-B31C-E2B1D7C960B7}"/>
                </c:ext>
              </c:extLst>
            </c:dLbl>
            <c:dLbl>
              <c:idx val="1"/>
              <c:layout>
                <c:manualLayout>
                  <c:x val="2.4173356849377906E-3"/>
                  <c:y val="-0.11026031917934685"/>
                </c:manualLayout>
              </c:layout>
              <c:tx>
                <c:rich>
                  <a:bodyPr/>
                  <a:lstStyle/>
                  <a:p>
                    <a:fld id="{9D10603E-E756-4EE1-A493-F875B8EC75A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13F-4392-8C72-47A192916F85}"/>
                </c:ext>
              </c:extLst>
            </c:dLbl>
            <c:dLbl>
              <c:idx val="2"/>
              <c:layout>
                <c:manualLayout>
                  <c:x val="0"/>
                  <c:y val="-9.8009172603863839E-2"/>
                </c:manualLayout>
              </c:layout>
              <c:tx>
                <c:rich>
                  <a:bodyPr/>
                  <a:lstStyle/>
                  <a:p>
                    <a:fld id="{4BBD1F47-11EF-4783-B320-99FDDFD4A30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13F-4392-8C72-47A192916F85}"/>
                </c:ext>
              </c:extLst>
            </c:dLbl>
            <c:dLbl>
              <c:idx val="3"/>
              <c:layout>
                <c:manualLayout>
                  <c:x val="-4.8346713698755811E-3"/>
                  <c:y val="-6.1255732877414974E-2"/>
                </c:manualLayout>
              </c:layout>
              <c:tx>
                <c:rich>
                  <a:bodyPr/>
                  <a:lstStyle/>
                  <a:p>
                    <a:fld id="{C0B2871F-D13B-46C3-979C-EFB9ADEB5EF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13F-4392-8C72-47A19291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'NAR-REPR'!$A$52:$A$55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'NAR-REPR'!$D$52:$D$55</c:f>
              <c:numCache>
                <c:formatCode>#,##0</c:formatCode>
                <c:ptCount val="4"/>
                <c:pt idx="0">
                  <c:v>108084.02000000002</c:v>
                </c:pt>
                <c:pt idx="1">
                  <c:v>78551.239999999962</c:v>
                </c:pt>
                <c:pt idx="2">
                  <c:v>30125.489999999998</c:v>
                </c:pt>
                <c:pt idx="3">
                  <c:v>2335.0500000000002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'NAR-REPR'!$F$52:$F$55</c15:f>
                <c15:dlblRangeCache>
                  <c:ptCount val="4"/>
                  <c:pt idx="0">
                    <c:v>75,5%</c:v>
                  </c:pt>
                  <c:pt idx="1">
                    <c:v>76,7%</c:v>
                  </c:pt>
                  <c:pt idx="2">
                    <c:v>59,8%</c:v>
                  </c:pt>
                  <c:pt idx="3">
                    <c:v>82,5%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C13F-4392-8C72-47A19291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114336"/>
        <c:axId val="848118144"/>
        <c:axId val="0"/>
      </c:bar3DChart>
      <c:catAx>
        <c:axId val="84811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8144"/>
        <c:crosses val="autoZero"/>
        <c:auto val="1"/>
        <c:lblAlgn val="ctr"/>
        <c:lblOffset val="100"/>
        <c:noMultiLvlLbl val="0"/>
      </c:catAx>
      <c:valAx>
        <c:axId val="8481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u="sng"/>
              <a:t>NARANJO</a:t>
            </a:r>
            <a:r>
              <a:rPr lang="es-ES"/>
              <a:t>: RSU REGEPA 2021 vs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'NAR-REPR'!$N$9:$N$13</c15:sqref>
                  </c15:fullRef>
                </c:ext>
              </c:extLst>
              <c:f>('NAR-REPR'!$N$9:$N$11,'NAR-REPR'!$N$13)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'NAR-REPR'!$O$9:$O$13</c15:sqref>
                  </c15:fullRef>
                </c:ext>
              </c:extLst>
              <c:f>('NAR-REPR'!$O$9:$O$11,'NAR-REPR'!$O$13)</c:f>
              <c:numCache>
                <c:formatCode>#,##0</c:formatCode>
                <c:ptCount val="4"/>
                <c:pt idx="0">
                  <c:v>50354.649999999994</c:v>
                </c:pt>
                <c:pt idx="1">
                  <c:v>48576.2</c:v>
                </c:pt>
                <c:pt idx="2">
                  <c:v>1918.6299999999981</c:v>
                </c:pt>
                <c:pt idx="3">
                  <c:v>5401.0300000000007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3-428F-B770-1B3F10FF31D9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003E153-9357-4755-8AAD-76B23ECEB1E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423-428F-B770-1B3F10FF31D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ED2B69A-F38E-4FFD-87A7-6D0BC01B122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423-428F-B770-1B3F10FF31D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F0B391B-DEAC-4370-AE9D-0F3E3F037A6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423-428F-B770-1B3F10FF31D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2B7D9B-1AA0-47D6-A148-B0F97FA3EA4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423-428F-B770-1B3F10FF3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'NAR-REPR'!$N$9:$N$13</c15:sqref>
                  </c15:fullRef>
                </c:ext>
              </c:extLst>
              <c:f>('NAR-REPR'!$N$9:$N$11,'NAR-REPR'!$N$13)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'NAR-REPR'!$P$9:$P$13</c15:sqref>
                  </c15:fullRef>
                </c:ext>
              </c:extLst>
              <c:f>('NAR-REPR'!$P$9:$P$11,'NAR-REPR'!$P$13)</c:f>
              <c:numCache>
                <c:formatCode>#,##0</c:formatCode>
                <c:ptCount val="4"/>
                <c:pt idx="0">
                  <c:v>51398.600000000006</c:v>
                </c:pt>
                <c:pt idx="1">
                  <c:v>48693.510000000009</c:v>
                </c:pt>
                <c:pt idx="2">
                  <c:v>1949.0699999999988</c:v>
                </c:pt>
                <c:pt idx="3">
                  <c:v>5317.9300000000012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'NAR-REPR'!$Q$9:$Q$13</c15:f>
                <c15:dlblRangeCache>
                  <c:ptCount val="5"/>
                  <c:pt idx="0">
                    <c:v>2,1%</c:v>
                  </c:pt>
                  <c:pt idx="1">
                    <c:v>0,2%</c:v>
                  </c:pt>
                  <c:pt idx="2">
                    <c:v>1,59%</c:v>
                  </c:pt>
                  <c:pt idx="3">
                    <c:v>-5,1%</c:v>
                  </c:pt>
                  <c:pt idx="4">
                    <c:v>-1,5%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8423-428F-B770-1B3F10FF3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121952"/>
        <c:axId val="848117056"/>
        <c:axId val="0"/>
      </c:bar3DChart>
      <c:catAx>
        <c:axId val="8481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7056"/>
        <c:crosses val="autoZero"/>
        <c:auto val="1"/>
        <c:lblAlgn val="ctr"/>
        <c:lblOffset val="100"/>
        <c:noMultiLvlLbl val="0"/>
      </c:catAx>
      <c:valAx>
        <c:axId val="84811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 (ha)</a:t>
                </a:r>
              </a:p>
            </c:rich>
          </c:tx>
          <c:layout>
            <c:manualLayout>
              <c:xMode val="edge"/>
              <c:yMode val="edge"/>
              <c:x val="2.4417178080656465E-2"/>
              <c:y val="0.35136685497009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2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i="0" u="sng" baseline="0"/>
              <a:t>NARANJO</a:t>
            </a:r>
            <a:r>
              <a:rPr lang="es-ES" b="1" i="0" baseline="0"/>
              <a:t>: RSU REGEPA 2021 vs Superficies Anuales 2021 (ha)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Superificies anuales 2021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'NAR-REPR'!$N$9:$N$13</c15:sqref>
                  </c15:fullRef>
                </c:ext>
              </c:extLst>
              <c:f>('NAR-REPR'!$N$9:$N$11,'NAR-REPR'!$N$13)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'NAR-REPR'!$R$9:$R$13</c15:sqref>
                  </c15:fullRef>
                </c:ext>
              </c:extLst>
              <c:f>('NAR-REPR'!$R$9:$R$11,'NAR-REPR'!$R$13)</c:f>
              <c:numCache>
                <c:formatCode>#,##0</c:formatCode>
                <c:ptCount val="4"/>
                <c:pt idx="0">
                  <c:v>60529</c:v>
                </c:pt>
                <c:pt idx="1">
                  <c:v>70668</c:v>
                </c:pt>
                <c:pt idx="2">
                  <c:v>2293</c:v>
                </c:pt>
                <c:pt idx="3">
                  <c:v>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A-473A-AE79-5F6B174C1D64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6914970386636353E-2"/>
                  <c:y val="-3.2705501445190403E-2"/>
                </c:manualLayout>
              </c:layout>
              <c:tx>
                <c:rich>
                  <a:bodyPr/>
                  <a:lstStyle/>
                  <a:p>
                    <a:fld id="{39A2F161-8F52-4BD8-8A7C-D4A72B3BE49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5DA-473A-AE79-5F6B174C1D64}"/>
                </c:ext>
              </c:extLst>
            </c:dLbl>
            <c:dLbl>
              <c:idx val="1"/>
              <c:layout>
                <c:manualLayout>
                  <c:x val="3.9375968412412109E-2"/>
                  <c:y val="-2.4529126083892832E-2"/>
                </c:manualLayout>
              </c:layout>
              <c:tx>
                <c:rich>
                  <a:bodyPr/>
                  <a:lstStyle/>
                  <a:p>
                    <a:fld id="{10C81BE6-91F4-42E7-9A1C-47785E0E524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5DA-473A-AE79-5F6B174C1D64}"/>
                </c:ext>
              </c:extLst>
            </c:dLbl>
            <c:dLbl>
              <c:idx val="2"/>
              <c:layout>
                <c:manualLayout>
                  <c:x val="1.4765988154654542E-2"/>
                  <c:y val="-2.04409384032441E-2"/>
                </c:manualLayout>
              </c:layout>
              <c:tx>
                <c:rich>
                  <a:bodyPr/>
                  <a:lstStyle/>
                  <a:p>
                    <a:fld id="{B289E1FB-050B-4B7A-9601-E70A0228E78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5DA-473A-AE79-5F6B174C1D64}"/>
                </c:ext>
              </c:extLst>
            </c:dLbl>
            <c:dLbl>
              <c:idx val="3"/>
              <c:layout>
                <c:manualLayout>
                  <c:x val="3.1992974335084842E-2"/>
                  <c:y val="-2.4529126083892832E-2"/>
                </c:manualLayout>
              </c:layout>
              <c:tx>
                <c:rich>
                  <a:bodyPr/>
                  <a:lstStyle/>
                  <a:p>
                    <a:fld id="{660A8BC5-B393-4838-A095-86E43AB80C2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5DA-473A-AE79-5F6B174C1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'NAR-REPR'!$N$9:$N$13</c15:sqref>
                  </c15:fullRef>
                </c:ext>
              </c:extLst>
              <c:f>('NAR-REPR'!$N$9:$N$11,'NAR-REPR'!$N$13)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'NAR-REPR'!$P$9:$P$13</c15:sqref>
                  </c15:fullRef>
                </c:ext>
              </c:extLst>
              <c:f>('NAR-REPR'!$P$9:$P$11,'NAR-REPR'!$P$13)</c:f>
              <c:numCache>
                <c:formatCode>#,##0</c:formatCode>
                <c:ptCount val="4"/>
                <c:pt idx="0">
                  <c:v>51398.600000000006</c:v>
                </c:pt>
                <c:pt idx="1">
                  <c:v>48693.510000000009</c:v>
                </c:pt>
                <c:pt idx="2">
                  <c:v>1949.0699999999988</c:v>
                </c:pt>
                <c:pt idx="3">
                  <c:v>5317.9300000000012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'NAR-REPR'!$S$9:$S$13</c15:f>
                <c15:dlblRangeCache>
                  <c:ptCount val="5"/>
                  <c:pt idx="0">
                    <c:v>84,9%</c:v>
                  </c:pt>
                  <c:pt idx="1">
                    <c:v>68,9%</c:v>
                  </c:pt>
                  <c:pt idx="2">
                    <c:v>85,0%</c:v>
                  </c:pt>
                  <c:pt idx="3">
                    <c:v>39,9%</c:v>
                  </c:pt>
                  <c:pt idx="4">
                    <c:v>76,6%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45DA-473A-AE79-5F6B174C1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118688"/>
        <c:axId val="848122496"/>
        <c:axId val="0"/>
      </c:bar3DChart>
      <c:catAx>
        <c:axId val="84811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22496"/>
        <c:crosses val="autoZero"/>
        <c:auto val="1"/>
        <c:lblAlgn val="ctr"/>
        <c:lblOffset val="100"/>
        <c:noMultiLvlLbl val="0"/>
      </c:catAx>
      <c:valAx>
        <c:axId val="84812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 (ha)</a:t>
                </a:r>
              </a:p>
            </c:rich>
          </c:tx>
          <c:layout>
            <c:manualLayout>
              <c:xMode val="edge"/>
              <c:yMode val="edge"/>
              <c:x val="2.4417178080656465E-2"/>
              <c:y val="0.35136685497009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LIMONERO</a:t>
            </a:r>
            <a:r>
              <a:rPr lang="en-US"/>
              <a:t>: RSU REGEPA 2021 vs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16E-2"/>
                  <c:y val="-3.8751483459993186E-2"/>
                </c:manualLayout>
              </c:layout>
              <c:tx>
                <c:rich>
                  <a:bodyPr/>
                  <a:lstStyle/>
                  <a:p>
                    <a:fld id="{79056AD7-E281-4B33-9A99-14245ED4D1C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996-4573-8DBC-9BE2A094447B}"/>
                </c:ext>
              </c:extLst>
            </c:dLbl>
            <c:dLbl>
              <c:idx val="1"/>
              <c:layout>
                <c:manualLayout>
                  <c:x val="3.3333333333333229E-2"/>
                  <c:y val="-3.4446441034986439E-2"/>
                </c:manualLayout>
              </c:layout>
              <c:tx>
                <c:rich>
                  <a:bodyPr/>
                  <a:lstStyle/>
                  <a:p>
                    <a:fld id="{6A20E924-78C3-4A11-91E1-337F914302E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996-4573-8DBC-9BE2A094447B}"/>
                </c:ext>
              </c:extLst>
            </c:dLbl>
            <c:dLbl>
              <c:idx val="2"/>
              <c:layout>
                <c:manualLayout>
                  <c:x val="2.7777777777777776E-2"/>
                  <c:y val="-5.1668305633605638E-2"/>
                </c:manualLayout>
              </c:layout>
              <c:tx>
                <c:rich>
                  <a:bodyPr/>
                  <a:lstStyle/>
                  <a:p>
                    <a:fld id="{0D74EBFD-794C-4ABC-B974-1BF18A1C2B8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996-4573-8DBC-9BE2A09444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('LIM-REPR'!$A$9,'LIM-REPR'!$A$21,'LIM-REPR'!$A$46)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('LIM-REPR'!$C$9,'LIM-REPR'!$C$21,'LIM-REPR'!$C$46)</c:f>
              <c:numCache>
                <c:formatCode>#,##0</c:formatCode>
                <c:ptCount val="3"/>
                <c:pt idx="0">
                  <c:v>3283.02</c:v>
                </c:pt>
                <c:pt idx="1">
                  <c:v>9249.23</c:v>
                </c:pt>
                <c:pt idx="2">
                  <c:v>14484.839999999998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('LIM-REPR'!$L$9,'LIM-REPR'!$L$21,'LIM-REPR'!$L$46)</c15:f>
                <c15:dlblRangeCache>
                  <c:ptCount val="3"/>
                  <c:pt idx="0">
                    <c:v>20,6%</c:v>
                  </c:pt>
                  <c:pt idx="1">
                    <c:v>9,1%</c:v>
                  </c:pt>
                  <c:pt idx="2">
                    <c:v>10,4%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295-4896-B9C6-0CDECDA5352D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('LIM-REPR'!$A$9,'LIM-REPR'!$A$21,'LIM-REPR'!$A$46)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('LIM-REPR'!$D$9,'LIM-REPR'!$D$21,'LIM-REPR'!$D$46)</c:f>
              <c:numCache>
                <c:formatCode>#,##0</c:formatCode>
                <c:ptCount val="3"/>
                <c:pt idx="0">
                  <c:v>3958.5800000000004</c:v>
                </c:pt>
                <c:pt idx="1">
                  <c:v>10092.11</c:v>
                </c:pt>
                <c:pt idx="2">
                  <c:v>15987.63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5-4896-B9C6-0CDECDA53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111616"/>
        <c:axId val="848113792"/>
        <c:axId val="0"/>
      </c:bar3DChart>
      <c:catAx>
        <c:axId val="84811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3792"/>
        <c:crosses val="autoZero"/>
        <c:auto val="1"/>
        <c:lblAlgn val="ctr"/>
        <c:lblOffset val="100"/>
        <c:noMultiLvlLbl val="0"/>
      </c:catAx>
      <c:valAx>
        <c:axId val="84811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Distribución autonómica de la superficie plantada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9D-405E-A964-F66C6FFEF00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2F-43C7-A834-AC3599B0F15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F-43C7-A834-AC3599B0F152}"/>
              </c:ext>
            </c:extLst>
          </c:dPt>
          <c:dLbls>
            <c:dLbl>
              <c:idx val="0"/>
              <c:layout>
                <c:manualLayout>
                  <c:x val="3.0783027121609797E-3"/>
                  <c:y val="5.0296369203849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9D-405E-A964-F66C6FFEF005}"/>
                </c:ext>
              </c:extLst>
            </c:dLbl>
            <c:dLbl>
              <c:idx val="1"/>
              <c:layout>
                <c:manualLayout>
                  <c:x val="-0.19027777777777777"/>
                  <c:y val="-0.1040157480314960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91666666666666"/>
                      <c:h val="0.269675925925925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72F-43C7-A834-AC3599B0F152}"/>
                </c:ext>
              </c:extLst>
            </c:dLbl>
            <c:dLbl>
              <c:idx val="2"/>
              <c:layout>
                <c:manualLayout>
                  <c:x val="0.16432239720034997"/>
                  <c:y val="2.81933508311461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2F-43C7-A834-AC3599B0F1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('LIM-EDAD'!$A$5,'LIM-EDAD'!$A$17,'LIM-EDAD'!$A$34)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('LIM-EDAD'!$AA$5,'LIM-EDAD'!$AA$17,'LIM-EDAD'!$AA$34)</c:f>
              <c:numCache>
                <c:formatCode>0.0%</c:formatCode>
                <c:ptCount val="3"/>
                <c:pt idx="0">
                  <c:v>0.13140300788468498</c:v>
                </c:pt>
                <c:pt idx="1">
                  <c:v>0.33500235182896637</c:v>
                </c:pt>
                <c:pt idx="2">
                  <c:v>0.53070107739326389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49D-405E-A964-F66C6FFEF0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LIMONERO</a:t>
            </a:r>
            <a:r>
              <a:rPr lang="en-US"/>
              <a:t>: Representatividad de la información 
RSU REGEPA vs Superficies anuales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0D-46CC-8D1D-710359F16B25}"/>
              </c:ext>
            </c:extLst>
          </c:dPt>
          <c:cat>
            <c:strRef>
              <c:f>('LIM-REPR'!$A$9,'LIM-REPR'!$A$21,'LIM-REPR'!$A$46,'LIM-REPR'!$A$50)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f>('LIM-REPR'!$H$9,'LIM-REPR'!$H$21,'LIM-REPR'!$H$46,'LIM-REPR'!$H$50)</c:f>
              <c:numCache>
                <c:formatCode>0%</c:formatCode>
                <c:ptCount val="4"/>
                <c:pt idx="0">
                  <c:v>0.55543426406622709</c:v>
                </c:pt>
                <c:pt idx="1">
                  <c:v>0.6156728892142509</c:v>
                </c:pt>
                <c:pt idx="2">
                  <c:v>0.61007517362436081</c:v>
                </c:pt>
                <c:pt idx="3" formatCode="0.0%">
                  <c:v>0.5975856938824089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7-4240-ADDE-E76F9AA45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8114880"/>
        <c:axId val="848115424"/>
      </c:barChart>
      <c:catAx>
        <c:axId val="84811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5424"/>
        <c:crosses val="autoZero"/>
        <c:auto val="1"/>
        <c:lblAlgn val="ctr"/>
        <c:lblOffset val="100"/>
        <c:noMultiLvlLbl val="0"/>
      </c:catAx>
      <c:valAx>
        <c:axId val="84811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LIMONERO</a:t>
            </a:r>
            <a:r>
              <a:rPr lang="en-US"/>
              <a:t>:</a:t>
            </a:r>
            <a:r>
              <a:rPr lang="en-US" baseline="0"/>
              <a:t> </a:t>
            </a:r>
            <a:r>
              <a:rPr lang="en-US"/>
              <a:t>RSU REGEPA 2021 vs Superficies anuales 2021 (ha)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2021 (ha)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('LIM-REPR'!$A$9,'LIM-REPR'!$A$21,'LIM-REPR'!$A$46)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('LIM-REPR'!$F$9,'LIM-REPR'!$F$21,'LIM-REPR'!$F$46)</c:f>
              <c:numCache>
                <c:formatCode>#,##0</c:formatCode>
                <c:ptCount val="3"/>
                <c:pt idx="0">
                  <c:v>7127</c:v>
                </c:pt>
                <c:pt idx="1">
                  <c:v>16392</c:v>
                </c:pt>
                <c:pt idx="2">
                  <c:v>26206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44-44BF-9137-6BFAE07B3819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000000000000001E-2"/>
                  <c:y val="-4.6296296296296384E-2"/>
                </c:manualLayout>
              </c:layout>
              <c:tx>
                <c:rich>
                  <a:bodyPr/>
                  <a:lstStyle/>
                  <a:p>
                    <a:fld id="{DC0DE3AC-9FBB-4667-ABD3-8CA956461B6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344-418A-AA27-AF413A9CB065}"/>
                </c:ext>
              </c:extLst>
            </c:dLbl>
            <c:dLbl>
              <c:idx val="1"/>
              <c:layout>
                <c:manualLayout>
                  <c:x val="-1.388888888888899E-2"/>
                  <c:y val="-9.2592592592592587E-2"/>
                </c:manualLayout>
              </c:layout>
              <c:tx>
                <c:rich>
                  <a:bodyPr/>
                  <a:lstStyle/>
                  <a:p>
                    <a:fld id="{5AB65C6D-96C6-49D6-B569-1199AB6864D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344-418A-AA27-AF413A9CB065}"/>
                </c:ext>
              </c:extLst>
            </c:dLbl>
            <c:dLbl>
              <c:idx val="2"/>
              <c:layout>
                <c:manualLayout>
                  <c:x val="-1.3888888888888888E-2"/>
                  <c:y val="-0.16203703703703703"/>
                </c:manualLayout>
              </c:layout>
              <c:tx>
                <c:rich>
                  <a:bodyPr/>
                  <a:lstStyle/>
                  <a:p>
                    <a:fld id="{4E288726-AB53-4E34-9F30-6F292788158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344-418A-AA27-AF413A9CB0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('LIM-REPR'!$A$9,'LIM-REPR'!$A$21,'LIM-REPR'!$A$46)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('LIM-REPR'!$D$9,'LIM-REPR'!$D$21,'LIM-REPR'!$D$46)</c:f>
              <c:numCache>
                <c:formatCode>#,##0</c:formatCode>
                <c:ptCount val="3"/>
                <c:pt idx="0">
                  <c:v>3958.5800000000004</c:v>
                </c:pt>
                <c:pt idx="1">
                  <c:v>10092.11</c:v>
                </c:pt>
                <c:pt idx="2">
                  <c:v>15987.63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('LIM-REPR'!$H$9,'LIM-REPR'!$H$21,'LIM-REPR'!$H$46)</c15:f>
                <c15:dlblRangeCache>
                  <c:ptCount val="3"/>
                  <c:pt idx="0">
                    <c:v>56%</c:v>
                  </c:pt>
                  <c:pt idx="1">
                    <c:v>62%</c:v>
                  </c:pt>
                  <c:pt idx="2">
                    <c:v>61%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744-44BF-9137-6BFAE07B3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115968"/>
        <c:axId val="704219728"/>
        <c:axId val="0"/>
      </c:bar3DChart>
      <c:catAx>
        <c:axId val="84811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4219728"/>
        <c:crosses val="autoZero"/>
        <c:auto val="1"/>
        <c:lblAlgn val="ctr"/>
        <c:lblOffset val="100"/>
        <c:noMultiLvlLbl val="0"/>
      </c:catAx>
      <c:valAx>
        <c:axId val="70421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LIMONERO</a:t>
            </a:r>
            <a:r>
              <a:rPr lang="en-US"/>
              <a:t>: Representatividad </a:t>
            </a:r>
          </a:p>
          <a:p>
            <a:pPr>
              <a:defRPr/>
            </a:pPr>
            <a:r>
              <a:rPr lang="en-US"/>
              <a:t>de la información de Superficies anuales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CA-4F39-9AE0-06BD510117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7A-4D3C-85C6-B036C1DF0E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7A-4D3C-85C6-B036C1DF0E27}"/>
              </c:ext>
            </c:extLst>
          </c:dPt>
          <c:dLbls>
            <c:dLbl>
              <c:idx val="0"/>
              <c:layout>
                <c:manualLayout>
                  <c:x val="-6.4671259842519688E-2"/>
                  <c:y val="7.774061779852081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68044619422573"/>
                      <c:h val="0.164727868698717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7CA-4F39-9AE0-06BD51011783}"/>
                </c:ext>
              </c:extLst>
            </c:dLbl>
            <c:dLbl>
              <c:idx val="1"/>
              <c:layout>
                <c:manualLayout>
                  <c:x val="-0.15421456692913396"/>
                  <c:y val="-0.100630686025150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31955380577426"/>
                      <c:h val="0.249493083932897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A7A-4D3C-85C6-B036C1DF0E27}"/>
                </c:ext>
              </c:extLst>
            </c:dLbl>
            <c:dLbl>
              <c:idx val="2"/>
              <c:layout>
                <c:manualLayout>
                  <c:x val="0.16535903324584428"/>
                  <c:y val="-2.6669947506561681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A-4D3C-85C6-B036C1DF0E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('LIM-REPR'!$A$9,'LIM-REPR'!$A$21,'LIM-REPR'!$A$46)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('LIM-REPR'!$AQ$9,'LIM-REPR'!$AQ$21,'LIM-REPR'!$AQ$46)</c:f>
              <c:numCache>
                <c:formatCode>0.0%</c:formatCode>
                <c:ptCount val="3"/>
                <c:pt idx="0">
                  <c:v>0.141375069427914</c:v>
                </c:pt>
                <c:pt idx="1">
                  <c:v>0.32516067602951676</c:v>
                </c:pt>
                <c:pt idx="2">
                  <c:v>0.51983654685392366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9-475B-A42B-A6B8E8A01B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Distribución autonómica de la superficie plantada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64-43DA-A887-A5194CEE4FA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64-43DA-A887-A5194CEE4FA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64-43DA-A887-A5194CEE4FA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164-43DA-A887-A5194CEE4FAA}"/>
              </c:ext>
            </c:extLst>
          </c:dPt>
          <c:dLbls>
            <c:dLbl>
              <c:idx val="1"/>
              <c:layout>
                <c:manualLayout>
                  <c:x val="6.1111111111111109E-2"/>
                  <c:y val="-0.1793981481481481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125000000000001"/>
                      <c:h val="0.215277777777777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164-43DA-A887-A5194CEE4FAA}"/>
                </c:ext>
              </c:extLst>
            </c:dLbl>
            <c:dLbl>
              <c:idx val="2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64-43DA-A887-A5194CEE4F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('PC-EDAD'!$A$5,'PC-EDAD'!$A$13,'PC-EDAD'!$A$17,'PC-EDAD'!$A$28)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('PC-EDAD'!$AA$5,'PC-EDAD'!$AA$13,'PC-EDAD'!$AA$17,'PC-EDAD'!$AA$28)</c:f>
              <c:numCache>
                <c:formatCode>0.0%</c:formatCode>
                <c:ptCount val="4"/>
                <c:pt idx="0">
                  <c:v>0.18383618132571813</c:v>
                </c:pt>
                <c:pt idx="1">
                  <c:v>0.66320735356946614</c:v>
                </c:pt>
                <c:pt idx="2">
                  <c:v>7.3555172394477772E-2</c:v>
                </c:pt>
                <c:pt idx="3">
                  <c:v>7.8643952660709129E-2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164-43DA-A887-A5194CEE4F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u="none"/>
              <a:t>CÍTRICOS</a:t>
            </a:r>
            <a:r>
              <a:rPr lang="es-ES" u="none" baseline="0"/>
              <a:t> </a:t>
            </a:r>
            <a:r>
              <a:rPr lang="es-ES" u="none"/>
              <a:t>(CCAA</a:t>
            </a:r>
            <a:r>
              <a:rPr lang="es-ES"/>
              <a:t>): Representatividad 2021</a:t>
            </a:r>
            <a:r>
              <a:rPr lang="es-ES" baseline="0"/>
              <a:t> y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Representatividad 2020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1182116172788896E-17"/>
                  <c:y val="0.130503283889372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96-4A89-8EDE-1B97EF0FAC98}"/>
                </c:ext>
              </c:extLst>
            </c:dLbl>
            <c:dLbl>
              <c:idx val="1"/>
              <c:layout>
                <c:manualLayout>
                  <c:x val="0"/>
                  <c:y val="0.13434161576847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6-4A89-8EDE-1B97EF0FAC98}"/>
                </c:ext>
              </c:extLst>
            </c:dLbl>
            <c:dLbl>
              <c:idx val="2"/>
              <c:layout>
                <c:manualLayout>
                  <c:x val="2.3108030040438206E-3"/>
                  <c:y val="0.16120993892216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6-4A89-8EDE-1B97EF0FAC98}"/>
                </c:ext>
              </c:extLst>
            </c:dLbl>
            <c:dLbl>
              <c:idx val="3"/>
              <c:layout>
                <c:manualLayout>
                  <c:x val="-2.3108030040439901E-3"/>
                  <c:y val="0.1228266201311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6-4A89-8EDE-1B97EF0FAC98}"/>
                </c:ext>
              </c:extLst>
            </c:dLbl>
            <c:dLbl>
              <c:idx val="4"/>
              <c:layout>
                <c:manualLayout>
                  <c:x val="0"/>
                  <c:y val="0.13817994764757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96-4A89-8EDE-1B97EF0FA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wrap="square" lIns="38100" tIns="19050" rIns="38100" bIns="19050" anchor="b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(CÍTRICOS!$A$9,CÍTRICOS!$A$20,CÍTRICOS!$A$28,CÍTRICOS!$A$42,CÍTRICOS!$A$46)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(CÍTRICOS!$F$9,CÍTRICOS!$F$20,CÍTRICOS!$F$28,CÍTRICOS!$F$41,CÍTRICOS!$F$46)</c:f>
              <c:numCache>
                <c:formatCode>0%</c:formatCode>
                <c:ptCount val="5"/>
                <c:pt idx="0">
                  <c:v>0.78815701623114998</c:v>
                </c:pt>
                <c:pt idx="1">
                  <c:v>0.69886629624508134</c:v>
                </c:pt>
                <c:pt idx="2">
                  <c:v>0.90214732295100575</c:v>
                </c:pt>
                <c:pt idx="3">
                  <c:v>0.36598591549295767</c:v>
                </c:pt>
                <c:pt idx="4">
                  <c:v>0.6785273876939486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9-4298-8622-356926DD5E9B}"/>
            </c:ext>
          </c:extLst>
        </c:ser>
        <c:ser>
          <c:idx val="1"/>
          <c:order val="1"/>
          <c:tx>
            <c:v>Representatividad 2021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108030040439051E-3"/>
                  <c:y val="0.13817994764757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96-4A89-8EDE-1B97EF0FAC98}"/>
                </c:ext>
              </c:extLst>
            </c:dLbl>
            <c:dLbl>
              <c:idx val="1"/>
              <c:layout>
                <c:manualLayout>
                  <c:x val="0"/>
                  <c:y val="0.145856611405769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96-4A89-8EDE-1B97EF0FAC98}"/>
                </c:ext>
              </c:extLst>
            </c:dLbl>
            <c:dLbl>
              <c:idx val="2"/>
              <c:layout>
                <c:manualLayout>
                  <c:x val="-2.3108030040439051E-3"/>
                  <c:y val="0.13817994764757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96-4A89-8EDE-1B97EF0FAC98}"/>
                </c:ext>
              </c:extLst>
            </c:dLbl>
            <c:dLbl>
              <c:idx val="3"/>
              <c:layout>
                <c:manualLayout>
                  <c:x val="-8.4728464691155585E-17"/>
                  <c:y val="0.11514995637297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96-4A89-8EDE-1B97EF0FAC98}"/>
                </c:ext>
              </c:extLst>
            </c:dLbl>
            <c:dLbl>
              <c:idx val="4"/>
              <c:layout>
                <c:manualLayout>
                  <c:x val="2.3108030040439051E-3"/>
                  <c:y val="0.1420182795266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96-4A89-8EDE-1B97EF0FA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(CÍTRICOS!$A$9,CÍTRICOS!$A$20,CÍTRICOS!$A$28,CÍTRICOS!$A$42,CÍTRICOS!$A$46)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(CÍTRICOS!$G$9,CÍTRICOS!$G$20,CÍTRICOS!$G$28,CÍTRICOS!$G$41,CÍTRICOS!$G$46)</c:f>
              <c:numCache>
                <c:formatCode>0%</c:formatCode>
                <c:ptCount val="5"/>
                <c:pt idx="0">
                  <c:v>0.79494464197308612</c:v>
                </c:pt>
                <c:pt idx="1">
                  <c:v>0.70140271436218771</c:v>
                </c:pt>
                <c:pt idx="2">
                  <c:v>0.85120723684210475</c:v>
                </c:pt>
                <c:pt idx="3">
                  <c:v>0.36336150234741788</c:v>
                </c:pt>
                <c:pt idx="4">
                  <c:v>0.71283950926389583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9-4298-8622-356926DD5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123040"/>
        <c:axId val="848123584"/>
        <c:axId val="0"/>
      </c:bar3DChart>
      <c:catAx>
        <c:axId val="8481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23584"/>
        <c:crosses val="autoZero"/>
        <c:auto val="1"/>
        <c:lblAlgn val="ctr"/>
        <c:lblOffset val="100"/>
        <c:noMultiLvlLbl val="0"/>
      </c:catAx>
      <c:valAx>
        <c:axId val="84812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2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CLEMENTINAS: RSU REGEPA 2020 vs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7F0D4CC-CEF7-472C-B40F-CCA363D7543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382-42A7-8DDF-37258A2AEC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DA82439-C896-43BE-92F2-1EF0092F6D9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382-42A7-8DDF-37258A2AEC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5E3714A-38D9-4216-A4B1-24B8A7514AE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382-42A7-8DDF-37258A2AEC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37BD2BB-D539-4602-92BE-163D97BD814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382-42A7-8DDF-37258A2AE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('PC-REPR'!$A$48,'PC-REPR'!$A$56,'PC-REPR'!$A$60,'PC-REPR'!$A$67)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('PC-REPR'!$C$48,'PC-REPR'!$C$56,'PC-REPR'!$C$60,'PC-REPR'!$C$67)</c:f>
              <c:numCache>
                <c:formatCode>#,##0</c:formatCode>
                <c:ptCount val="4"/>
                <c:pt idx="0">
                  <c:v>2491.0700000000002</c:v>
                </c:pt>
                <c:pt idx="1">
                  <c:v>33532.170000000006</c:v>
                </c:pt>
                <c:pt idx="2">
                  <c:v>5577.0699999999979</c:v>
                </c:pt>
                <c:pt idx="3">
                  <c:v>1572.6799999999998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('PC-REPR'!$L$48,'PC-REPR'!$L$56,'PC-REPR'!$L$60,'PC-REPR'!$L$67)</c15:f>
                <c15:dlblRangeCache>
                  <c:ptCount val="4"/>
                  <c:pt idx="0">
                    <c:v>0%</c:v>
                  </c:pt>
                  <c:pt idx="1">
                    <c:v>-3%</c:v>
                  </c:pt>
                  <c:pt idx="2">
                    <c:v>-4%</c:v>
                  </c:pt>
                  <c:pt idx="3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3A1-4065-A635-33E0759AFF53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('PC-REPR'!$A$48,'PC-REPR'!$A$56,'PC-REPR'!$A$60,'PC-REPR'!$A$67)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('PC-REPR'!$D$48,'PC-REPR'!$D$56,'PC-REPR'!$D$60,'PC-REPR'!$D$67)</c:f>
              <c:numCache>
                <c:formatCode>#,##0</c:formatCode>
                <c:ptCount val="4"/>
                <c:pt idx="0">
                  <c:v>2498.41</c:v>
                </c:pt>
                <c:pt idx="1">
                  <c:v>32607.280000000002</c:v>
                </c:pt>
                <c:pt idx="2">
                  <c:v>5377.47</c:v>
                </c:pt>
                <c:pt idx="3">
                  <c:v>1693.98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1-4065-A635-33E0759AF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4205584"/>
        <c:axId val="959160448"/>
        <c:axId val="0"/>
      </c:bar3DChart>
      <c:catAx>
        <c:axId val="70420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0448"/>
        <c:crosses val="autoZero"/>
        <c:auto val="1"/>
        <c:lblAlgn val="ctr"/>
        <c:lblOffset val="100"/>
        <c:noMultiLvlLbl val="0"/>
      </c:catAx>
      <c:valAx>
        <c:axId val="95916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420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MANDARINOS: RSU REGEPA 2020 vs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('PC-REPR'!$A$48,'PC-REPR'!$A$56,'PC-REPR'!$A$60,'PC-REPR'!$A$67)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('PC-REPR'!$C$79,'PC-REPR'!$C$87,'PC-REPR'!$C$95,'PC-REPR'!$C$103)</c:f>
              <c:numCache>
                <c:formatCode>#,##0</c:formatCode>
                <c:ptCount val="4"/>
                <c:pt idx="0">
                  <c:v>6525.61</c:v>
                </c:pt>
                <c:pt idx="1">
                  <c:v>660.13</c:v>
                </c:pt>
                <c:pt idx="2">
                  <c:v>2.86</c:v>
                </c:pt>
                <c:pt idx="3">
                  <c:v>3150.3200000000006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1-4065-A635-33E0759AFF53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888E-2"/>
                  <c:y val="-9.2479285914276281E-3"/>
                </c:manualLayout>
              </c:layout>
              <c:tx>
                <c:rich>
                  <a:bodyPr/>
                  <a:lstStyle/>
                  <a:p>
                    <a:fld id="{A959BE0B-39D9-460C-8355-2AD63996FD2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F7C-4D62-AF75-F7D8EE266F6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6D1FD2B-0A0D-4E87-AF1A-0FD7618D216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F7C-4D62-AF75-F7D8EE266F6C}"/>
                </c:ext>
              </c:extLst>
            </c:dLbl>
            <c:dLbl>
              <c:idx val="2"/>
              <c:layout>
                <c:manualLayout>
                  <c:x val="-1.0185067526415994E-16"/>
                  <c:y val="-4.1615678661424231E-2"/>
                </c:manualLayout>
              </c:layout>
              <c:tx>
                <c:rich>
                  <a:bodyPr/>
                  <a:lstStyle/>
                  <a:p>
                    <a:fld id="{60EB98FD-3167-4013-8467-0B56A806344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F7C-4D62-AF75-F7D8EE266F6C}"/>
                </c:ext>
              </c:extLst>
            </c:dLbl>
            <c:dLbl>
              <c:idx val="3"/>
              <c:layout>
                <c:manualLayout>
                  <c:x val="-5.5555555555555558E-3"/>
                  <c:y val="-6.9359464435707049E-2"/>
                </c:manualLayout>
              </c:layout>
              <c:tx>
                <c:rich>
                  <a:bodyPr/>
                  <a:lstStyle/>
                  <a:p>
                    <a:fld id="{E2615487-FBDB-4179-AD36-E915CE3AD72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7C-4D62-AF75-F7D8EE266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('PC-REPR'!$A$48,'PC-REPR'!$A$56,'PC-REPR'!$A$60,'PC-REPR'!$A$67)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('PC-REPR'!$D$79,'PC-REPR'!$D$87,'PC-REPR'!$D$95,'PC-REPR'!$D$103)</c:f>
              <c:numCache>
                <c:formatCode>#,##0</c:formatCode>
                <c:ptCount val="4"/>
                <c:pt idx="0">
                  <c:v>6368.89</c:v>
                </c:pt>
                <c:pt idx="1">
                  <c:v>666.05</c:v>
                </c:pt>
                <c:pt idx="2">
                  <c:v>1.8</c:v>
                </c:pt>
                <c:pt idx="3">
                  <c:v>2805.65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('PC-REPR'!$L$79,'PC-REPR'!$L$87,'PC-REPR'!$L$95,'PC-REPR'!$L$103)</c15:f>
                <c15:dlblRangeCache>
                  <c:ptCount val="4"/>
                  <c:pt idx="0">
                    <c:v>-2%</c:v>
                  </c:pt>
                  <c:pt idx="1">
                    <c:v>1%</c:v>
                  </c:pt>
                  <c:pt idx="2">
                    <c:v>-37%</c:v>
                  </c:pt>
                  <c:pt idx="3">
                    <c:v>-11%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3A1-4065-A635-33E0759AF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164256"/>
        <c:axId val="959165888"/>
        <c:axId val="0"/>
      </c:bar3DChart>
      <c:catAx>
        <c:axId val="9591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5888"/>
        <c:crosses val="autoZero"/>
        <c:auto val="1"/>
        <c:lblAlgn val="ctr"/>
        <c:lblOffset val="100"/>
        <c:noMultiLvlLbl val="0"/>
      </c:catAx>
      <c:valAx>
        <c:axId val="95916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MANDARINOS HÍBRIDOS: RSU REGEPA 2020 vs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914E-2"/>
                  <c:y val="-1.3871892887141411E-2"/>
                </c:manualLayout>
              </c:layout>
              <c:tx>
                <c:rich>
                  <a:bodyPr/>
                  <a:lstStyle/>
                  <a:p>
                    <a:fld id="{3A372BF0-DFD3-423E-893A-842D5180486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DBC-4B4B-A8B3-E8BBDB9EED9A}"/>
                </c:ext>
              </c:extLst>
            </c:dLbl>
            <c:dLbl>
              <c:idx val="1"/>
              <c:layout>
                <c:manualLayout>
                  <c:x val="2.5000000000000001E-2"/>
                  <c:y val="-1.3871892887141453E-2"/>
                </c:manualLayout>
              </c:layout>
              <c:tx>
                <c:rich>
                  <a:bodyPr/>
                  <a:lstStyle/>
                  <a:p>
                    <a:fld id="{3BF99C8B-946F-4878-9500-EB7B459172A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DBC-4B4B-A8B3-E8BBDB9EED9A}"/>
                </c:ext>
              </c:extLst>
            </c:dLbl>
            <c:dLbl>
              <c:idx val="2"/>
              <c:layout>
                <c:manualLayout>
                  <c:x val="3.888888888888889E-2"/>
                  <c:y val="-9.2479285914276923E-3"/>
                </c:manualLayout>
              </c:layout>
              <c:tx>
                <c:rich>
                  <a:bodyPr/>
                  <a:lstStyle/>
                  <a:p>
                    <a:fld id="{1C640DAA-4E96-4B18-9FE5-B376483FE96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DBC-4B4B-A8B3-E8BBDB9EED9A}"/>
                </c:ext>
              </c:extLst>
            </c:dLbl>
            <c:dLbl>
              <c:idx val="3"/>
              <c:layout>
                <c:manualLayout>
                  <c:x val="2.5000000000000001E-2"/>
                  <c:y val="-1.3871892887141411E-2"/>
                </c:manualLayout>
              </c:layout>
              <c:tx>
                <c:rich>
                  <a:bodyPr/>
                  <a:lstStyle/>
                  <a:p>
                    <a:fld id="{7CEEDAB2-1591-4E00-828F-1E6E0019A83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DBC-4B4B-A8B3-E8BBDB9EED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('PC-REPR'!$A$48,'PC-REPR'!$A$56,'PC-REPR'!$A$60,'PC-REPR'!$A$67)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('PC-REPR'!$C$115,'PC-REPR'!$C$123,'PC-REPR'!$C$127,'PC-REPR'!$C$134)</c:f>
              <c:numCache>
                <c:formatCode>#,##0</c:formatCode>
                <c:ptCount val="4"/>
                <c:pt idx="0">
                  <c:v>4923.4400000000005</c:v>
                </c:pt>
                <c:pt idx="1">
                  <c:v>14284.490000000002</c:v>
                </c:pt>
                <c:pt idx="2">
                  <c:v>239.4199999999999</c:v>
                </c:pt>
                <c:pt idx="3">
                  <c:v>1193.08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('PC-REPR'!$L$115,'PC-REPR'!$L$123,'PC-REPR'!$L$127,'PC-REPR'!$L$134)</c15:f>
                <c15:dlblRangeCache>
                  <c:ptCount val="4"/>
                  <c:pt idx="0">
                    <c:v>11%</c:v>
                  </c:pt>
                  <c:pt idx="1">
                    <c:v>4%</c:v>
                  </c:pt>
                  <c:pt idx="2">
                    <c:v>10%</c:v>
                  </c:pt>
                  <c:pt idx="3">
                    <c:v>37%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3A1-4065-A635-33E0759AFF53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('PC-REPR'!$A$48,'PC-REPR'!$A$56,'PC-REPR'!$A$60,'PC-REPR'!$A$67)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('PC-REPR'!$D$115,'PC-REPR'!$D$123,'PC-REPR'!$D$127,'PC-REPR'!$D$134)</c:f>
              <c:numCache>
                <c:formatCode>#,##0</c:formatCode>
                <c:ptCount val="4"/>
                <c:pt idx="0">
                  <c:v>5484.36</c:v>
                </c:pt>
                <c:pt idx="1">
                  <c:v>14803.680000000004</c:v>
                </c:pt>
                <c:pt idx="2">
                  <c:v>264.36</c:v>
                </c:pt>
                <c:pt idx="3">
                  <c:v>1634.57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1-4065-A635-33E0759AF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171872"/>
        <c:axId val="959172416"/>
        <c:axId val="0"/>
      </c:bar3DChart>
      <c:catAx>
        <c:axId val="9591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2416"/>
        <c:crosses val="autoZero"/>
        <c:auto val="1"/>
        <c:lblAlgn val="ctr"/>
        <c:lblOffset val="100"/>
        <c:noMultiLvlLbl val="0"/>
      </c:catAx>
      <c:valAx>
        <c:axId val="95917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SATSUMAS: RSU REGEPA 2020 vs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('PC-REPR'!$A$48,'PC-REPR'!$A$56,'PC-REPR'!$A$60,'PC-REPR'!$A$67)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('PC-REPR'!$C$146,'PC-REPR'!$C$152,'PC-REPR'!$C$156,'PC-REPR'!$C$160)</c:f>
              <c:numCache>
                <c:formatCode>#,##0</c:formatCode>
                <c:ptCount val="4"/>
                <c:pt idx="0">
                  <c:v>136.25</c:v>
                </c:pt>
                <c:pt idx="1">
                  <c:v>4426.75</c:v>
                </c:pt>
                <c:pt idx="2">
                  <c:v>162.59999999999994</c:v>
                </c:pt>
                <c:pt idx="3">
                  <c:v>60.42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1-4065-A635-33E0759AFF53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-9.2479285914276073E-3"/>
                </c:manualLayout>
              </c:layout>
              <c:tx>
                <c:rich>
                  <a:bodyPr/>
                  <a:lstStyle/>
                  <a:p>
                    <a:fld id="{48CBCCFE-2387-4C50-8FE8-743656519B5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4BA-4E6A-8B83-1D1375EBE18A}"/>
                </c:ext>
              </c:extLst>
            </c:dLbl>
            <c:dLbl>
              <c:idx val="1"/>
              <c:layout>
                <c:manualLayout>
                  <c:x val="1.9444444444444393E-2"/>
                  <c:y val="-2.311982147856880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30FD96D-AF0D-4316-9D30-82FDB1C1DDFD}" type="CELLRANGE">
                      <a:rPr lang="en-US"/>
                      <a:pPr>
                        <a:defRPr sz="1100" b="1"/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791557305336838E-2"/>
                      <c:h val="9.90915548571468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4BA-4E6A-8B83-1D1375EBE18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A37DE34-0910-4365-B2DE-39A31EE8C81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4BA-4E6A-8B83-1D1375EBE18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2D44F7-A8A7-42AA-B749-059078F34FB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4BA-4E6A-8B83-1D1375EBE1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('PC-REPR'!$A$48,'PC-REPR'!$A$56,'PC-REPR'!$A$60,'PC-REPR'!$A$67)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('PC-REPR'!$D$146,'PC-REPR'!$D$152,'PC-REPR'!$D$156,'PC-REPR'!$D$160)</c:f>
              <c:numCache>
                <c:formatCode>#,##0</c:formatCode>
                <c:ptCount val="4"/>
                <c:pt idx="0">
                  <c:v>88.9</c:v>
                </c:pt>
                <c:pt idx="1">
                  <c:v>4018.75</c:v>
                </c:pt>
                <c:pt idx="2">
                  <c:v>133.52000000000001</c:v>
                </c:pt>
                <c:pt idx="3">
                  <c:v>42.519999999999996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('PC-REPR'!$L$146,'PC-REPR'!$L$152,'PC-REPR'!$L$156,'PC-REPR'!$L$160)</c15:f>
                <c15:dlblRangeCache>
                  <c:ptCount val="4"/>
                  <c:pt idx="0">
                    <c:v>-35%</c:v>
                  </c:pt>
                  <c:pt idx="1">
                    <c:v>-9%</c:v>
                  </c:pt>
                  <c:pt idx="2">
                    <c:v>-18%</c:v>
                  </c:pt>
                  <c:pt idx="3">
                    <c:v>-30%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3A1-4065-A635-33E0759AF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174048"/>
        <c:axId val="959167520"/>
        <c:axId val="0"/>
      </c:bar3DChart>
      <c:catAx>
        <c:axId val="9591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7520"/>
        <c:crosses val="autoZero"/>
        <c:auto val="1"/>
        <c:lblAlgn val="ctr"/>
        <c:lblOffset val="100"/>
        <c:noMultiLvlLbl val="0"/>
      </c:catAx>
      <c:valAx>
        <c:axId val="9591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PEQUEÑOS</a:t>
            </a:r>
            <a:r>
              <a:rPr lang="en-US" u="sng" baseline="0"/>
              <a:t> CÍTRICOS</a:t>
            </a:r>
            <a:r>
              <a:rPr lang="en-US"/>
              <a:t>: Representatividad de la</a:t>
            </a:r>
            <a:r>
              <a:rPr lang="en-US" baseline="0"/>
              <a:t> </a:t>
            </a:r>
            <a:r>
              <a:rPr lang="en-US"/>
              <a:t>información RSU REGEPA vs Superficies anuales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66-4D10-A2A7-04A30C71D3B5}"/>
              </c:ext>
            </c:extLst>
          </c:dPt>
          <c:cat>
            <c:strRef>
              <c:f>('PC-REPR'!$A$9,'PC-REPR'!$A$17,'PC-REPR'!$A$25,'PC-REPR'!$A$36,'PC-REPR'!$A$38)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  <c:pt idx="4">
                  <c:v>ESPAÑA</c:v>
                </c:pt>
              </c:strCache>
            </c:strRef>
          </c:cat>
          <c:val>
            <c:numRef>
              <c:f>('PC-REPR'!$H$9,'PC-REPR'!$H$17,'PC-REPR'!$H$25,'PC-REPR'!$H$36,'PC-REPR'!$H$38)</c:f>
              <c:numCache>
                <c:formatCode>0%</c:formatCode>
                <c:ptCount val="5"/>
                <c:pt idx="0">
                  <c:v>0.72235305887649448</c:v>
                </c:pt>
                <c:pt idx="1">
                  <c:v>0.74928819019949033</c:v>
                </c:pt>
                <c:pt idx="2">
                  <c:v>0.85055939938171599</c:v>
                </c:pt>
                <c:pt idx="3">
                  <c:v>1.0830259467040673</c:v>
                </c:pt>
                <c:pt idx="4">
                  <c:v>0.76722183153617718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1-45EB-862E-E1A2FF40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172960"/>
        <c:axId val="959161536"/>
      </c:barChart>
      <c:catAx>
        <c:axId val="95917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1536"/>
        <c:crosses val="autoZero"/>
        <c:auto val="1"/>
        <c:lblAlgn val="ctr"/>
        <c:lblOffset val="100"/>
        <c:noMultiLvlLbl val="0"/>
      </c:catAx>
      <c:valAx>
        <c:axId val="9591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PEQUEÑOS CÍTRICOS</a:t>
            </a:r>
            <a:r>
              <a:rPr lang="en-US"/>
              <a:t>: RSU REGEPA 2021 vs Superficies anuales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2021 (ha)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6111111111111059E-2"/>
                  <c:y val="-2.3148148148148234E-2"/>
                </c:manualLayout>
              </c:layout>
              <c:tx>
                <c:rich>
                  <a:bodyPr/>
                  <a:lstStyle/>
                  <a:p>
                    <a:fld id="{B0FE3EDD-165C-437A-BA3D-0CBE806297E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28E-4B2F-9B82-0FC36FDDADF9}"/>
                </c:ext>
              </c:extLst>
            </c:dLbl>
            <c:dLbl>
              <c:idx val="1"/>
              <c:layout>
                <c:manualLayout>
                  <c:x val="2.2222222222222171E-2"/>
                  <c:y val="-4.2437781360066642E-17"/>
                </c:manualLayout>
              </c:layout>
              <c:tx>
                <c:rich>
                  <a:bodyPr/>
                  <a:lstStyle/>
                  <a:p>
                    <a:fld id="{CB91A385-C0F1-413E-A8FB-5B4A7CD2587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28E-4B2F-9B82-0FC36FDDADF9}"/>
                </c:ext>
              </c:extLst>
            </c:dLbl>
            <c:dLbl>
              <c:idx val="2"/>
              <c:layout>
                <c:manualLayout>
                  <c:x val="3.3333333333333333E-2"/>
                  <c:y val="-1.3888888888888973E-2"/>
                </c:manualLayout>
              </c:layout>
              <c:tx>
                <c:rich>
                  <a:bodyPr/>
                  <a:lstStyle/>
                  <a:p>
                    <a:fld id="{B74C67B2-7EC1-43E8-BBFA-AAD187D8730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28E-4B2F-9B82-0FC36FDDADF9}"/>
                </c:ext>
              </c:extLst>
            </c:dLbl>
            <c:dLbl>
              <c:idx val="3"/>
              <c:layout>
                <c:manualLayout>
                  <c:x val="4.1666666666666664E-2"/>
                  <c:y val="-8.4875562720133283E-17"/>
                </c:manualLayout>
              </c:layout>
              <c:tx>
                <c:rich>
                  <a:bodyPr/>
                  <a:lstStyle/>
                  <a:p>
                    <a:fld id="{77084009-46A5-486C-9EDC-7A94CBBA36F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28E-4B2F-9B82-0FC36FDDAD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('PC-REPR'!$A$9,'PC-REPR'!$A$17,'PC-REPR'!$A$25,'PC-REPR'!$A$36)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('PC-REPR'!$F$9,'PC-REPR'!$F$17,'PC-REPR'!$F$25,'PC-REPR'!$F$36)</c:f>
              <c:numCache>
                <c:formatCode>#,##0</c:formatCode>
                <c:ptCount val="4"/>
                <c:pt idx="0">
                  <c:v>19991</c:v>
                </c:pt>
                <c:pt idx="1">
                  <c:v>69527</c:v>
                </c:pt>
                <c:pt idx="2">
                  <c:v>6793</c:v>
                </c:pt>
                <c:pt idx="3">
                  <c:v>5704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('PC-REPR'!$H$9,'PC-REPR'!$H$17,'PC-REPR'!$H$25,'PC-REPR'!$H$36)</c15:f>
                <c15:dlblRangeCache>
                  <c:ptCount val="4"/>
                  <c:pt idx="0">
                    <c:v>72%</c:v>
                  </c:pt>
                  <c:pt idx="1">
                    <c:v>75%</c:v>
                  </c:pt>
                  <c:pt idx="2">
                    <c:v>85%</c:v>
                  </c:pt>
                  <c:pt idx="3">
                    <c:v>108%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6498-4C4D-A138-FBBC17B9B658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('PC-REPR'!$A$9,'PC-REPR'!$A$17,'PC-REPR'!$A$25,'PC-REPR'!$A$36)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('PC-REPR'!$D$9,'PC-REPR'!$D$17,'PC-REPR'!$D$25,'PC-REPR'!$D$36)</c:f>
              <c:numCache>
                <c:formatCode>#,##0</c:formatCode>
                <c:ptCount val="4"/>
                <c:pt idx="0">
                  <c:v>14440.560000000001</c:v>
                </c:pt>
                <c:pt idx="1">
                  <c:v>52095.759999999966</c:v>
                </c:pt>
                <c:pt idx="2">
                  <c:v>5777.8499999999967</c:v>
                </c:pt>
                <c:pt idx="3">
                  <c:v>6177.58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8-4C4D-A138-FBBC17B9B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164800"/>
        <c:axId val="959165344"/>
        <c:axId val="0"/>
      </c:bar3DChart>
      <c:catAx>
        <c:axId val="9591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5344"/>
        <c:crosses val="autoZero"/>
        <c:auto val="1"/>
        <c:lblAlgn val="ctr"/>
        <c:lblOffset val="100"/>
        <c:noMultiLvlLbl val="0"/>
      </c:catAx>
      <c:valAx>
        <c:axId val="9591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PEQUEÑOS</a:t>
            </a:r>
            <a:r>
              <a:rPr lang="en-US" u="sng" baseline="0"/>
              <a:t> CÍTRICOS</a:t>
            </a:r>
            <a:r>
              <a:rPr lang="en-US" u="none" baseline="0"/>
              <a:t>: </a:t>
            </a:r>
            <a:r>
              <a:rPr lang="en-US" u="none"/>
              <a:t>Representatividad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de la información del Superficies anuales</a:t>
            </a:r>
          </a:p>
          <a:p>
            <a:pPr>
              <a:defRPr/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B5-4A74-9EC5-1278A29A874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B5-4A74-9EC5-1278A29A874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A4-4E4F-9715-63CA1B97C511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A4-4E4F-9715-63CA1B97C511}"/>
              </c:ext>
            </c:extLst>
          </c:dPt>
          <c:dLbls>
            <c:dLbl>
              <c:idx val="0"/>
              <c:layout>
                <c:manualLayout>
                  <c:x val="-4.107983549300432E-2"/>
                  <c:y val="1.1219668257339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B5-4A74-9EC5-1278A29A8746}"/>
                </c:ext>
              </c:extLst>
            </c:dLbl>
            <c:dLbl>
              <c:idx val="1"/>
              <c:layout>
                <c:manualLayout>
                  <c:x val="0.10953716907433809"/>
                  <c:y val="-0.147269560692256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B5-4A74-9EC5-1278A29A8746}"/>
                </c:ext>
              </c:extLst>
            </c:dLbl>
            <c:dLbl>
              <c:idx val="3"/>
              <c:layout>
                <c:manualLayout>
                  <c:x val="3.5035236737140048E-2"/>
                  <c:y val="4.19940086295998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A4-4E4F-9715-63CA1B97C5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('PC-REPR'!$A$9,'PC-REPR'!$A$17,'PC-REPR'!$A$25,'PC-REPR'!$A$36)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('PC-REPR'!$AV$6,'PC-REPR'!$AS$14,'PC-REPR'!$AS$22,'PC-REPR'!$AS$33)</c:f>
              <c:numCache>
                <c:formatCode>0.0%</c:formatCode>
                <c:ptCount val="4"/>
                <c:pt idx="0">
                  <c:v>0.19525511798718551</c:v>
                </c:pt>
                <c:pt idx="1">
                  <c:v>0.67908071573683393</c:v>
                </c:pt>
                <c:pt idx="2">
                  <c:v>6.6348257540240665E-2</c:v>
                </c:pt>
                <c:pt idx="3">
                  <c:v>5.5711829973433352E-2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6-436E-BFC1-29C840CA9E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PEQUEÑOS</a:t>
            </a:r>
            <a:r>
              <a:rPr lang="en-US" u="sng" baseline="0"/>
              <a:t> CÍTRICOS</a:t>
            </a:r>
            <a:r>
              <a:rPr lang="en-US" u="none" baseline="0"/>
              <a:t>: RSU REGEPA 2021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7233823134312934"/>
          <c:y val="0.24702409526647964"/>
          <c:w val="0.46057288114576228"/>
          <c:h val="0.696952307027866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B5-4A74-9EC5-1278A29A87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B5-4A74-9EC5-1278A29A87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48-44B2-ACFB-F6390A1925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48-44B2-ACFB-F6390A192538}"/>
              </c:ext>
            </c:extLst>
          </c:dPt>
          <c:dLbls>
            <c:dLbl>
              <c:idx val="3"/>
              <c:layout>
                <c:manualLayout>
                  <c:x val="-3.28496290325914E-2"/>
                  <c:y val="8.39254703294565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48-44B2-ACFB-F6390A1925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('PC-REPR'!$A$43,'PC-REPR'!$A$74,'PC-REPR'!$A$110,'PC-REPR'!$A$141)</c:f>
              <c:strCache>
                <c:ptCount val="4"/>
                <c:pt idx="0">
                  <c:v>CLEMENTINA</c:v>
                </c:pt>
                <c:pt idx="1">
                  <c:v>MANDARINO</c:v>
                </c:pt>
                <c:pt idx="2">
                  <c:v>MANDARINO HÍBRIDO</c:v>
                </c:pt>
                <c:pt idx="3">
                  <c:v>SATSUMA</c:v>
                </c:pt>
              </c:strCache>
            </c:strRef>
          </c:cat>
          <c:val>
            <c:numRef>
              <c:f>('PC-REPR'!$D$69,'PC-REPR'!$D$105,'PC-REPR'!$D$136,'PC-REPR'!$D$162)</c:f>
              <c:numCache>
                <c:formatCode>#,##0</c:formatCode>
                <c:ptCount val="4"/>
                <c:pt idx="0">
                  <c:v>42219.58</c:v>
                </c:pt>
                <c:pt idx="1">
                  <c:v>9858.59</c:v>
                </c:pt>
                <c:pt idx="2">
                  <c:v>22187.820000000003</c:v>
                </c:pt>
                <c:pt idx="3">
                  <c:v>4283.6900000000005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6-436E-BFC1-29C840CA9E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u="sng"/>
              <a:t>PEQUEÑOS CÍTRICOS</a:t>
            </a:r>
            <a:r>
              <a:rPr lang="es-ES"/>
              <a:t>: RSU REGEPA 2021 vs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'PC-REPR'!$N$9:$N$12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'PC-REPR'!$O$9:$O$12</c:f>
              <c:numCache>
                <c:formatCode>#,##0</c:formatCode>
                <c:ptCount val="4"/>
                <c:pt idx="0">
                  <c:v>14076.369999999999</c:v>
                </c:pt>
                <c:pt idx="1">
                  <c:v>52903.539999999964</c:v>
                </c:pt>
                <c:pt idx="2">
                  <c:v>5981.9499999999989</c:v>
                </c:pt>
                <c:pt idx="3">
                  <c:v>5976.5000000000009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E-4768-A31E-26F06ED808B1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441F3BA-43A5-4882-A324-62CD25AAB08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E9E-4768-A31E-26F06ED808B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DD98200-7EF0-4A3E-AB84-087AEF2A23B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E9E-4768-A31E-26F06ED808B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82A4033-8EC9-4DFD-BD49-D6990D65253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E9E-4768-A31E-26F06ED808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3F50D5C-9BE0-4AFF-9942-9228715EFC7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E9E-4768-A31E-26F06ED808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'PC-REPR'!$N$9:$N$12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'PC-REPR'!$P$9:$P$12</c:f>
              <c:numCache>
                <c:formatCode>#,##0</c:formatCode>
                <c:ptCount val="4"/>
                <c:pt idx="0">
                  <c:v>14440.560000000001</c:v>
                </c:pt>
                <c:pt idx="1">
                  <c:v>52095.759999999966</c:v>
                </c:pt>
                <c:pt idx="2">
                  <c:v>5777.8499999999967</c:v>
                </c:pt>
                <c:pt idx="3">
                  <c:v>6177.58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'PC-REPR'!$Q$9:$Q$12</c15:f>
                <c15:dlblRangeCache>
                  <c:ptCount val="4"/>
                  <c:pt idx="0">
                    <c:v>2,6%</c:v>
                  </c:pt>
                  <c:pt idx="1">
                    <c:v>-1,5%</c:v>
                  </c:pt>
                  <c:pt idx="2">
                    <c:v>-3,4%</c:v>
                  </c:pt>
                  <c:pt idx="3">
                    <c:v>3,4%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2E9E-4768-A31E-26F06ED80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163712"/>
        <c:axId val="959166432"/>
        <c:axId val="0"/>
      </c:bar3DChart>
      <c:catAx>
        <c:axId val="9591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6432"/>
        <c:crosses val="autoZero"/>
        <c:auto val="1"/>
        <c:lblAlgn val="ctr"/>
        <c:lblOffset val="100"/>
        <c:noMultiLvlLbl val="0"/>
      </c:catAx>
      <c:valAx>
        <c:axId val="95916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u="sng"/>
              <a:t>PEQUEÑOS CÍTRICOS</a:t>
            </a:r>
            <a:r>
              <a:rPr lang="es-ES"/>
              <a:t>: RSU REGEPA 2021 vs Superficies</a:t>
            </a:r>
            <a:r>
              <a:rPr lang="es-ES" baseline="0"/>
              <a:t> Anuales 2021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Superficies anuales 2021 (ha)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'PC-REPR'!$N$9:$N$12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'PC-REPR'!$R$9:$R$12</c:f>
              <c:numCache>
                <c:formatCode>#,##0</c:formatCode>
                <c:ptCount val="4"/>
                <c:pt idx="0">
                  <c:v>19991</c:v>
                </c:pt>
                <c:pt idx="1">
                  <c:v>69527</c:v>
                </c:pt>
                <c:pt idx="2">
                  <c:v>6793</c:v>
                </c:pt>
                <c:pt idx="3">
                  <c:v>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F-4528-956A-F5262998A519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7811037-155D-47CA-94EA-C15CA3BF28A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21F-4528-956A-F5262998A5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5A71736-1C0F-4912-81BE-78A984A69E8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21F-4528-956A-F5262998A51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E49788-3792-4428-B418-66454873DEC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21F-4528-956A-F5262998A51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1418EB7-9CC9-4D37-8E82-08CBC58D667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21F-4528-956A-F5262998A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'PC-REPR'!$N$9:$N$12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f>'PC-REPR'!$P$9:$P$12</c:f>
              <c:numCache>
                <c:formatCode>#,##0</c:formatCode>
                <c:ptCount val="4"/>
                <c:pt idx="0">
                  <c:v>14440.560000000001</c:v>
                </c:pt>
                <c:pt idx="1">
                  <c:v>52095.759999999966</c:v>
                </c:pt>
                <c:pt idx="2">
                  <c:v>5777.8499999999967</c:v>
                </c:pt>
                <c:pt idx="3">
                  <c:v>6177.58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'PC-REPR'!$S$9:$S$12</c15:f>
                <c15:dlblRangeCache>
                  <c:ptCount val="4"/>
                  <c:pt idx="0">
                    <c:v>72%</c:v>
                  </c:pt>
                  <c:pt idx="1">
                    <c:v>75%</c:v>
                  </c:pt>
                  <c:pt idx="2">
                    <c:v>85%</c:v>
                  </c:pt>
                  <c:pt idx="3">
                    <c:v>108%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E21F-4528-956A-F5262998A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168608"/>
        <c:axId val="959170240"/>
        <c:axId val="0"/>
      </c:bar3DChart>
      <c:catAx>
        <c:axId val="95916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0240"/>
        <c:crosses val="autoZero"/>
        <c:auto val="1"/>
        <c:lblAlgn val="ctr"/>
        <c:lblOffset val="100"/>
        <c:noMultiLvlLbl val="0"/>
      </c:catAx>
      <c:valAx>
        <c:axId val="95917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SUPERFICIES DE CULTIVO MAPA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179155730533683"/>
          <c:y val="0.14333041703120444"/>
          <c:w val="0.51122397200349956"/>
          <c:h val="0.85203995333916593"/>
        </c:manualLayout>
      </c:layout>
      <c:pieChart>
        <c:varyColors val="1"/>
        <c:ser>
          <c:idx val="0"/>
          <c:order val="0"/>
          <c:tx>
            <c:v>superficie (ha)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65-40AF-AFE6-E60C2D7533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65-40AF-AFE6-E60C2D7533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65-40AF-AFE6-E60C2D7533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65-40AF-AFE6-E60C2D7533A6}"/>
              </c:ext>
            </c:extLst>
          </c:dPt>
          <c:dLbls>
            <c:dLbl>
              <c:idx val="3"/>
              <c:layout>
                <c:manualLayout>
                  <c:x val="1.0283828757919678E-2"/>
                  <c:y val="1.49972373005356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5-40AF-AFE6-E60C2D7533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CÍTRICOS!$A$55:$A$58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CÍTRICOS!$B$55:$B$58</c:f>
              <c:numCache>
                <c:formatCode>#,##0</c:formatCode>
                <c:ptCount val="4"/>
                <c:pt idx="0">
                  <c:v>143173</c:v>
                </c:pt>
                <c:pt idx="1">
                  <c:v>102384</c:v>
                </c:pt>
                <c:pt idx="2">
                  <c:v>50412</c:v>
                </c:pt>
                <c:pt idx="3">
                  <c:v>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5-40AF-AFE6-E60C2D753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POMELO</a:t>
            </a:r>
            <a:r>
              <a:rPr lang="en-US"/>
              <a:t>: RSU REGEPA 2021 vs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2020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999999999999949E-2"/>
                  <c:y val="-6.4412716036076095E-2"/>
                </c:manualLayout>
              </c:layout>
              <c:tx>
                <c:rich>
                  <a:bodyPr/>
                  <a:lstStyle/>
                  <a:p>
                    <a:fld id="{36C9C353-6E7C-4610-82DE-685EB76068D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8F1-4E63-801F-975E192D245F}"/>
                </c:ext>
              </c:extLst>
            </c:dLbl>
            <c:dLbl>
              <c:idx val="1"/>
              <c:layout>
                <c:manualLayout>
                  <c:x val="3.0555555555555454E-2"/>
                  <c:y val="-2.157204127563803E-2"/>
                </c:manualLayout>
              </c:layout>
              <c:tx>
                <c:rich>
                  <a:bodyPr/>
                  <a:lstStyle/>
                  <a:p>
                    <a:fld id="{1CCBE839-28B1-4524-A1E1-1796843B022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8F1-4E63-801F-975E192D245F}"/>
                </c:ext>
              </c:extLst>
            </c:dLbl>
            <c:dLbl>
              <c:idx val="2"/>
              <c:layout>
                <c:manualLayout>
                  <c:x val="2.2222222222222223E-2"/>
                  <c:y val="-7.2994861187180973E-2"/>
                </c:manualLayout>
              </c:layout>
              <c:tx>
                <c:rich>
                  <a:bodyPr/>
                  <a:lstStyle/>
                  <a:p>
                    <a:fld id="{1D96944E-A39F-4099-A207-CF40CB557DA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8F1-4E63-801F-975E192D24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('POM-REPR'!$A$9,'POM-REPR'!$A$17,'POM-REPR'!$A$30)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('POM-REPR'!$C$9,'POM-REPR'!$C$17,'POM-REPR'!$C$30)</c:f>
              <c:numCache>
                <c:formatCode>#,##0</c:formatCode>
                <c:ptCount val="3"/>
                <c:pt idx="0">
                  <c:v>753.16</c:v>
                </c:pt>
                <c:pt idx="1">
                  <c:v>459.25999999999988</c:v>
                </c:pt>
                <c:pt idx="2">
                  <c:v>857.36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('POM-REPR'!$L$9,'POM-REPR'!$L$17,'POM-REPR'!$L$30)</c15:f>
                <c15:dlblRangeCache>
                  <c:ptCount val="3"/>
                  <c:pt idx="0">
                    <c:v>13,4%</c:v>
                  </c:pt>
                  <c:pt idx="1">
                    <c:v>6,9%</c:v>
                  </c:pt>
                  <c:pt idx="2">
                    <c:v>15,2%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295-4896-B9C6-0CDECDA5352D}"/>
            </c:ext>
          </c:extLst>
        </c:ser>
        <c:ser>
          <c:idx val="1"/>
          <c:order val="1"/>
          <c:tx>
            <c:v>RSU REGEPA 2021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('POM-REPR'!$A$9,'POM-REPR'!$A$17,'POM-REPR'!$A$30)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('POM-REPR'!$D$9,'POM-REPR'!$D$17,'POM-REPR'!$D$30)</c:f>
              <c:numCache>
                <c:formatCode>#,##0</c:formatCode>
                <c:ptCount val="3"/>
                <c:pt idx="0">
                  <c:v>853.76</c:v>
                </c:pt>
                <c:pt idx="1">
                  <c:v>490.84999999999991</c:v>
                </c:pt>
                <c:pt idx="2">
                  <c:v>987.67000000000019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5-4896-B9C6-0CDECDA53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170784"/>
        <c:axId val="959171328"/>
        <c:axId val="0"/>
      </c:bar3DChart>
      <c:catAx>
        <c:axId val="95917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1328"/>
        <c:crosses val="autoZero"/>
        <c:auto val="1"/>
        <c:lblAlgn val="ctr"/>
        <c:lblOffset val="100"/>
        <c:noMultiLvlLbl val="0"/>
      </c:catAx>
      <c:valAx>
        <c:axId val="95917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POMELO</a:t>
            </a:r>
            <a:r>
              <a:rPr lang="en-US"/>
              <a:t>: Representatividad de la información 
RSU REGEPA vs Superficies anuales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C2-40FE-8ABB-520CE056C190}"/>
              </c:ext>
            </c:extLst>
          </c:dPt>
          <c:cat>
            <c:strRef>
              <c:f>('POM-REPR'!$A$9,'POM-REPR'!$A$17,'POM-REPR'!$A$30,'POM-REPR'!$A$32)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f>('POM-REPR'!$H$9,'POM-REPR'!$H$17,'POM-REPR'!$H$30,'POM-REPR'!$H$32)</c:f>
              <c:numCache>
                <c:formatCode>0%</c:formatCode>
                <c:ptCount val="4"/>
                <c:pt idx="0">
                  <c:v>0.88198347107438013</c:v>
                </c:pt>
                <c:pt idx="1">
                  <c:v>0.57883254716981125</c:v>
                </c:pt>
                <c:pt idx="2">
                  <c:v>0.99163654618473918</c:v>
                </c:pt>
                <c:pt idx="3" formatCode="0.0%">
                  <c:v>0.82481455316142716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6-48A0-8EC4-0B5E4E2E1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173504"/>
        <c:axId val="959174592"/>
      </c:barChart>
      <c:catAx>
        <c:axId val="9591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4592"/>
        <c:crosses val="autoZero"/>
        <c:auto val="1"/>
        <c:lblAlgn val="ctr"/>
        <c:lblOffset val="100"/>
        <c:noMultiLvlLbl val="0"/>
      </c:catAx>
      <c:valAx>
        <c:axId val="959174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POMELO</a:t>
            </a:r>
            <a:r>
              <a:rPr lang="en-US"/>
              <a:t>: Representatividad </a:t>
            </a:r>
          </a:p>
          <a:p>
            <a:pPr>
              <a:defRPr/>
            </a:pPr>
            <a:r>
              <a:rPr lang="en-US"/>
              <a:t>de la información de</a:t>
            </a:r>
            <a:r>
              <a:rPr lang="en-US" baseline="0"/>
              <a:t> Superficies anuales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C5-47E3-B1BD-33D01FBEAB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C5-47E3-B1BD-33D01FBEAB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278-44D7-98BE-189B1C48525D}"/>
              </c:ext>
            </c:extLst>
          </c:dPt>
          <c:dLbls>
            <c:dLbl>
              <c:idx val="0"/>
              <c:layout>
                <c:manualLayout>
                  <c:x val="-0.16849409448818908"/>
                  <c:y val="0.11687080781568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C5-47E3-B1BD-33D01FBEABD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('POM-REPR'!$A$9,'POM-REPR'!$A$17,'POM-REPR'!$A$30)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('POM-REPR'!$AS$9,'POM-REPR'!$AS$17,'POM-REPR'!$AS$30)</c:f>
              <c:numCache>
                <c:formatCode>0.0%</c:formatCode>
                <c:ptCount val="3"/>
                <c:pt idx="0">
                  <c:v>0.34192864712115861</c:v>
                </c:pt>
                <c:pt idx="1">
                  <c:v>0.29954079830448604</c:v>
                </c:pt>
                <c:pt idx="2">
                  <c:v>0.3518191451783822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2-45AD-81B5-3F9F987B35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Distribución autonómica de la superficie plantada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9D-405E-A964-F66C6FFEF00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E8-40BD-8450-5084AB957C4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E8-40BD-8450-5084AB957C4E}"/>
              </c:ext>
            </c:extLst>
          </c:dPt>
          <c:dLbls>
            <c:dLbl>
              <c:idx val="1"/>
              <c:layout>
                <c:manualLayout>
                  <c:x val="-6.5860125349625959E-2"/>
                  <c:y val="-8.4706146303427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E8-40BD-8450-5084AB957C4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('LIM-EDAD'!$A$5,'LIM-EDAD'!$A$17,'LIM-EDAD'!$A$34)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('POM-EDAD'!$AA$5,'POM-EDAD'!$AA$12,'POM-EDAD'!$AA$25)</c:f>
              <c:numCache>
                <c:formatCode>0.0%</c:formatCode>
                <c:ptCount val="3"/>
                <c:pt idx="0">
                  <c:v>0.36562814500760149</c:v>
                </c:pt>
                <c:pt idx="1">
                  <c:v>0.21020963148540711</c:v>
                </c:pt>
                <c:pt idx="2">
                  <c:v>0.4229759534057087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49D-405E-A964-F66C6FFEF0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POMELO</a:t>
            </a:r>
            <a:r>
              <a:rPr lang="en-US"/>
              <a:t>:</a:t>
            </a:r>
            <a:r>
              <a:rPr lang="en-US" baseline="0"/>
              <a:t> </a:t>
            </a:r>
            <a:r>
              <a:rPr lang="en-US"/>
              <a:t>RSU REGEPA 2021 vs</a:t>
            </a:r>
            <a:r>
              <a:rPr lang="en-US" baseline="0"/>
              <a:t> Superficies anuales 2021 (ha)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2021 (ha)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('LIM-REPR'!$A$9,'LIM-REPR'!$A$21,'LIM-REPR'!$A$46)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('POM-REPR'!$F$9,'POM-REPR'!$F$17,'POM-REPR'!$F$30)</c:f>
              <c:numCache>
                <c:formatCode>#,##0</c:formatCode>
                <c:ptCount val="3"/>
                <c:pt idx="0">
                  <c:v>968</c:v>
                </c:pt>
                <c:pt idx="1">
                  <c:v>848</c:v>
                </c:pt>
                <c:pt idx="2">
                  <c:v>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44-44BF-9137-6BFAE07B3819}"/>
            </c:ext>
          </c:extLst>
        </c:ser>
        <c:ser>
          <c:idx val="0"/>
          <c:order val="1"/>
          <c:tx>
            <c:v>RSU REGEPA 2021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-7.407407407407407E-2"/>
                </c:manualLayout>
              </c:layout>
              <c:tx>
                <c:rich>
                  <a:bodyPr/>
                  <a:lstStyle/>
                  <a:p>
                    <a:fld id="{F358E1DA-06B2-4A75-8113-E1BE016A238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6F2-43BD-830B-ABC63560832E}"/>
                </c:ext>
              </c:extLst>
            </c:dLbl>
            <c:dLbl>
              <c:idx val="1"/>
              <c:layout>
                <c:manualLayout>
                  <c:x val="-5.5555555555555558E-3"/>
                  <c:y val="-0.17129629629629634"/>
                </c:manualLayout>
              </c:layout>
              <c:tx>
                <c:rich>
                  <a:bodyPr/>
                  <a:lstStyle/>
                  <a:p>
                    <a:fld id="{48C5D373-C0EB-43EB-A294-1525BFC9F62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6F2-43BD-830B-ABC63560832E}"/>
                </c:ext>
              </c:extLst>
            </c:dLbl>
            <c:dLbl>
              <c:idx val="2"/>
              <c:layout>
                <c:manualLayout>
                  <c:x val="-2.7777777777777779E-3"/>
                  <c:y val="-1.8518518518518517E-2"/>
                </c:manualLayout>
              </c:layout>
              <c:tx>
                <c:rich>
                  <a:bodyPr/>
                  <a:lstStyle/>
                  <a:p>
                    <a:fld id="{8FBBC456-96D1-4835-9258-10500A47364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6F2-43BD-830B-ABC6356083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('LIM-REPR'!$A$9,'LIM-REPR'!$A$21,'LIM-REPR'!$A$46)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f>('POM-REPR'!$D$9,'POM-REPR'!$D$17,'POM-REPR'!$D$30)</c:f>
              <c:numCache>
                <c:formatCode>#,##0</c:formatCode>
                <c:ptCount val="3"/>
                <c:pt idx="0">
                  <c:v>853.76</c:v>
                </c:pt>
                <c:pt idx="1">
                  <c:v>490.84999999999991</c:v>
                </c:pt>
                <c:pt idx="2">
                  <c:v>987.67000000000019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('POM-REPR'!$H$9,'POM-REPR'!$H$17,'POM-REPR'!$H$30)</c15:f>
                <c15:dlblRangeCache>
                  <c:ptCount val="3"/>
                  <c:pt idx="0">
                    <c:v>88%</c:v>
                  </c:pt>
                  <c:pt idx="1">
                    <c:v>58%</c:v>
                  </c:pt>
                  <c:pt idx="2">
                    <c:v>99%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744-44BF-9137-6BFAE07B3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9175136"/>
        <c:axId val="959166976"/>
        <c:axId val="0"/>
      </c:bar3DChart>
      <c:catAx>
        <c:axId val="95917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6976"/>
        <c:crosses val="autoZero"/>
        <c:auto val="1"/>
        <c:lblAlgn val="ctr"/>
        <c:lblOffset val="100"/>
        <c:noMultiLvlLbl val="0"/>
      </c:catAx>
      <c:valAx>
        <c:axId val="95916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>
                    <a:lumMod val="65000"/>
                    <a:lumOff val="35000"/>
                  </a:schemeClr>
                </a:solidFill>
              </a:rPr>
              <a:t>Naranjo: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'NAR-EDAD'!$B$4:$X$4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'NAR-EDAD'!$B$38:$X$38</c:f>
              <c:numCache>
                <c:formatCode>#,##0</c:formatCode>
                <c:ptCount val="23"/>
                <c:pt idx="0">
                  <c:v>37735.469999999936</c:v>
                </c:pt>
                <c:pt idx="1">
                  <c:v>8668.7599999999984</c:v>
                </c:pt>
                <c:pt idx="2">
                  <c:v>2494.1899999999991</c:v>
                </c:pt>
                <c:pt idx="3">
                  <c:v>2654.53</c:v>
                </c:pt>
                <c:pt idx="4">
                  <c:v>2959.2099999999996</c:v>
                </c:pt>
                <c:pt idx="5">
                  <c:v>4529.3499999999976</c:v>
                </c:pt>
                <c:pt idx="6">
                  <c:v>6073.5899999999992</c:v>
                </c:pt>
                <c:pt idx="7">
                  <c:v>5125.0599999999986</c:v>
                </c:pt>
                <c:pt idx="8">
                  <c:v>3478.0500000000006</c:v>
                </c:pt>
                <c:pt idx="9">
                  <c:v>3358.4300000000003</c:v>
                </c:pt>
                <c:pt idx="10">
                  <c:v>2475.94</c:v>
                </c:pt>
                <c:pt idx="11">
                  <c:v>3826.4700000000012</c:v>
                </c:pt>
                <c:pt idx="12">
                  <c:v>1754.08</c:v>
                </c:pt>
                <c:pt idx="13">
                  <c:v>1805.5100000000002</c:v>
                </c:pt>
                <c:pt idx="14">
                  <c:v>1744.5500000000002</c:v>
                </c:pt>
                <c:pt idx="15">
                  <c:v>1623.8100000000004</c:v>
                </c:pt>
                <c:pt idx="16">
                  <c:v>1937.94</c:v>
                </c:pt>
                <c:pt idx="17">
                  <c:v>1806.0099999999998</c:v>
                </c:pt>
                <c:pt idx="18">
                  <c:v>2506.7399999999993</c:v>
                </c:pt>
                <c:pt idx="19">
                  <c:v>4083.55</c:v>
                </c:pt>
                <c:pt idx="20">
                  <c:v>3008.0700000000006</c:v>
                </c:pt>
                <c:pt idx="21">
                  <c:v>2260.0300000000002</c:v>
                </c:pt>
                <c:pt idx="22">
                  <c:v>2028.3199999999995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C-4300-B350-24E9A811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175680"/>
        <c:axId val="959163168"/>
      </c:barChart>
      <c:catAx>
        <c:axId val="95917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3168"/>
        <c:crosses val="autoZero"/>
        <c:auto val="1"/>
        <c:lblAlgn val="ctr"/>
        <c:lblOffset val="100"/>
        <c:noMultiLvlLbl val="0"/>
      </c:catAx>
      <c:valAx>
        <c:axId val="95916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7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>
                    <a:lumMod val="65000"/>
                    <a:lumOff val="35000"/>
                  </a:schemeClr>
                </a:solidFill>
              </a:rPr>
              <a:t>Naranjo: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'NAR-EDAD'!$B$4:$X$4</c15:sqref>
                  </c15:fullRef>
                </c:ext>
              </c:extLst>
              <c:f>'NAR-EDAD'!$C$4:$X$4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'NAR-EDAD'!$B$38:$X$38</c15:sqref>
                  </c15:fullRef>
                </c:ext>
              </c:extLst>
              <c:f>'NAR-EDAD'!$C$38:$X$38</c:f>
              <c:numCache>
                <c:formatCode>#,##0</c:formatCode>
                <c:ptCount val="22"/>
                <c:pt idx="0">
                  <c:v>8668.7599999999984</c:v>
                </c:pt>
                <c:pt idx="1">
                  <c:v>2494.1899999999991</c:v>
                </c:pt>
                <c:pt idx="2">
                  <c:v>2654.53</c:v>
                </c:pt>
                <c:pt idx="3">
                  <c:v>2959.2099999999996</c:v>
                </c:pt>
                <c:pt idx="4">
                  <c:v>4529.3499999999976</c:v>
                </c:pt>
                <c:pt idx="5">
                  <c:v>6073.5899999999992</c:v>
                </c:pt>
                <c:pt idx="6">
                  <c:v>5125.0599999999986</c:v>
                </c:pt>
                <c:pt idx="7">
                  <c:v>3478.0500000000006</c:v>
                </c:pt>
                <c:pt idx="8">
                  <c:v>3358.4300000000003</c:v>
                </c:pt>
                <c:pt idx="9">
                  <c:v>2475.94</c:v>
                </c:pt>
                <c:pt idx="10">
                  <c:v>3826.4700000000012</c:v>
                </c:pt>
                <c:pt idx="11">
                  <c:v>1754.08</c:v>
                </c:pt>
                <c:pt idx="12">
                  <c:v>1805.5100000000002</c:v>
                </c:pt>
                <c:pt idx="13">
                  <c:v>1744.5500000000002</c:v>
                </c:pt>
                <c:pt idx="14">
                  <c:v>1623.8100000000004</c:v>
                </c:pt>
                <c:pt idx="15">
                  <c:v>1937.94</c:v>
                </c:pt>
                <c:pt idx="16">
                  <c:v>1806.0099999999998</c:v>
                </c:pt>
                <c:pt idx="17">
                  <c:v>2506.7399999999993</c:v>
                </c:pt>
                <c:pt idx="18">
                  <c:v>4083.55</c:v>
                </c:pt>
                <c:pt idx="19">
                  <c:v>3008.0700000000006</c:v>
                </c:pt>
                <c:pt idx="20">
                  <c:v>2260.0300000000002</c:v>
                </c:pt>
                <c:pt idx="21">
                  <c:v>2028.3199999999995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C-4300-B350-24E9A811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162080"/>
        <c:axId val="959168064"/>
      </c:barChart>
      <c:catAx>
        <c:axId val="959162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8064"/>
        <c:crosses val="autoZero"/>
        <c:auto val="1"/>
        <c:lblAlgn val="ctr"/>
        <c:lblOffset val="100"/>
        <c:noMultiLvlLbl val="0"/>
      </c:catAx>
      <c:valAx>
        <c:axId val="959168064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Naranjo: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'NAR-EDAD'!$B$4:$X$4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'NAR-EDAD'!$B$5:$X$5</c:f>
              <c:numCache>
                <c:formatCode>#,##0</c:formatCode>
                <c:ptCount val="23"/>
                <c:pt idx="0">
                  <c:v>13532.820000000002</c:v>
                </c:pt>
                <c:pt idx="1">
                  <c:v>3333.6299999999997</c:v>
                </c:pt>
                <c:pt idx="2">
                  <c:v>1122.02</c:v>
                </c:pt>
                <c:pt idx="3">
                  <c:v>1369.5199999999998</c:v>
                </c:pt>
                <c:pt idx="4">
                  <c:v>1684.5899999999995</c:v>
                </c:pt>
                <c:pt idx="5">
                  <c:v>2530.7600000000002</c:v>
                </c:pt>
                <c:pt idx="6">
                  <c:v>3548.8999999999992</c:v>
                </c:pt>
                <c:pt idx="7">
                  <c:v>3901.0299999999988</c:v>
                </c:pt>
                <c:pt idx="8">
                  <c:v>2236.5300000000016</c:v>
                </c:pt>
                <c:pt idx="9">
                  <c:v>1965.04</c:v>
                </c:pt>
                <c:pt idx="10">
                  <c:v>1218.23</c:v>
                </c:pt>
                <c:pt idx="11">
                  <c:v>1496.54</c:v>
                </c:pt>
                <c:pt idx="12">
                  <c:v>824.45</c:v>
                </c:pt>
                <c:pt idx="13">
                  <c:v>705.68000000000018</c:v>
                </c:pt>
                <c:pt idx="14">
                  <c:v>899.34999999999991</c:v>
                </c:pt>
                <c:pt idx="15">
                  <c:v>584.56000000000017</c:v>
                </c:pt>
                <c:pt idx="16">
                  <c:v>907.95</c:v>
                </c:pt>
                <c:pt idx="17">
                  <c:v>965.74</c:v>
                </c:pt>
                <c:pt idx="18">
                  <c:v>1403.31</c:v>
                </c:pt>
                <c:pt idx="19">
                  <c:v>2460.7499999999995</c:v>
                </c:pt>
                <c:pt idx="20">
                  <c:v>1743.2900000000004</c:v>
                </c:pt>
                <c:pt idx="21">
                  <c:v>1496.78</c:v>
                </c:pt>
                <c:pt idx="22">
                  <c:v>1430.6999999999998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0-447E-966F-271F260406EE}"/>
            </c:ext>
          </c:extLst>
        </c:ser>
        <c:ser>
          <c:idx val="1"/>
          <c:order val="1"/>
          <c:tx>
            <c:strRef>
              <c:f>'NAR-EDAD'!$A$16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'NAR-EDAD'!$B$4:$X$4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'NAR-EDAD'!$B$16:$X$16</c:f>
              <c:numCache>
                <c:formatCode>#,##0</c:formatCode>
                <c:ptCount val="23"/>
                <c:pt idx="0">
                  <c:v>21637.479999999934</c:v>
                </c:pt>
                <c:pt idx="1">
                  <c:v>4739.07</c:v>
                </c:pt>
                <c:pt idx="2">
                  <c:v>990.85999999999899</c:v>
                </c:pt>
                <c:pt idx="3">
                  <c:v>1060.5900000000004</c:v>
                </c:pt>
                <c:pt idx="4">
                  <c:v>989.54000000000019</c:v>
                </c:pt>
                <c:pt idx="5">
                  <c:v>1729.439999999998</c:v>
                </c:pt>
                <c:pt idx="6">
                  <c:v>2086.599999999999</c:v>
                </c:pt>
                <c:pt idx="7">
                  <c:v>952.74000000000024</c:v>
                </c:pt>
                <c:pt idx="8">
                  <c:v>961.26999999999919</c:v>
                </c:pt>
                <c:pt idx="9">
                  <c:v>1160.3700000000003</c:v>
                </c:pt>
                <c:pt idx="10">
                  <c:v>1107.2299999999998</c:v>
                </c:pt>
                <c:pt idx="11">
                  <c:v>2004.0300000000011</c:v>
                </c:pt>
                <c:pt idx="12">
                  <c:v>777.75999999999988</c:v>
                </c:pt>
                <c:pt idx="13">
                  <c:v>896.82000000000028</c:v>
                </c:pt>
                <c:pt idx="14">
                  <c:v>748.40000000000032</c:v>
                </c:pt>
                <c:pt idx="15">
                  <c:v>834.5100000000001</c:v>
                </c:pt>
                <c:pt idx="16">
                  <c:v>791.75000000000011</c:v>
                </c:pt>
                <c:pt idx="17">
                  <c:v>654.24999999999989</c:v>
                </c:pt>
                <c:pt idx="18">
                  <c:v>858.6999999999997</c:v>
                </c:pt>
                <c:pt idx="19">
                  <c:v>1372.5000000000005</c:v>
                </c:pt>
                <c:pt idx="20">
                  <c:v>1050.29</c:v>
                </c:pt>
                <c:pt idx="21">
                  <c:v>691.36000000000035</c:v>
                </c:pt>
                <c:pt idx="22">
                  <c:v>512.53999999999951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0-447E-966F-271F2604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160992"/>
        <c:axId val="959162624"/>
      </c:barChart>
      <c:catAx>
        <c:axId val="95916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2624"/>
        <c:crosses val="autoZero"/>
        <c:auto val="1"/>
        <c:lblAlgn val="ctr"/>
        <c:lblOffset val="100"/>
        <c:noMultiLvlLbl val="0"/>
      </c:catAx>
      <c:valAx>
        <c:axId val="9591626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Naranjo: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'NAR-EDAD'!$B$4:$X$4</c15:sqref>
                  </c15:fullRef>
                </c:ext>
              </c:extLst>
              <c:f>'NAR-EDAD'!$C$4:$X$4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'NAR-EDAD'!$B$5:$X$5</c15:sqref>
                  </c15:fullRef>
                </c:ext>
              </c:extLst>
              <c:f>'NAR-EDAD'!$C$5:$X$5</c:f>
              <c:numCache>
                <c:formatCode>#,##0</c:formatCode>
                <c:ptCount val="22"/>
                <c:pt idx="0">
                  <c:v>3333.6299999999997</c:v>
                </c:pt>
                <c:pt idx="1">
                  <c:v>1122.02</c:v>
                </c:pt>
                <c:pt idx="2">
                  <c:v>1369.5199999999998</c:v>
                </c:pt>
                <c:pt idx="3">
                  <c:v>1684.5899999999995</c:v>
                </c:pt>
                <c:pt idx="4">
                  <c:v>2530.7600000000002</c:v>
                </c:pt>
                <c:pt idx="5">
                  <c:v>3548.8999999999992</c:v>
                </c:pt>
                <c:pt idx="6">
                  <c:v>3901.0299999999988</c:v>
                </c:pt>
                <c:pt idx="7">
                  <c:v>2236.5300000000016</c:v>
                </c:pt>
                <c:pt idx="8">
                  <c:v>1965.04</c:v>
                </c:pt>
                <c:pt idx="9">
                  <c:v>1218.23</c:v>
                </c:pt>
                <c:pt idx="10">
                  <c:v>1496.54</c:v>
                </c:pt>
                <c:pt idx="11">
                  <c:v>824.45</c:v>
                </c:pt>
                <c:pt idx="12">
                  <c:v>705.68000000000018</c:v>
                </c:pt>
                <c:pt idx="13">
                  <c:v>899.34999999999991</c:v>
                </c:pt>
                <c:pt idx="14">
                  <c:v>584.56000000000017</c:v>
                </c:pt>
                <c:pt idx="15">
                  <c:v>907.95</c:v>
                </c:pt>
                <c:pt idx="16">
                  <c:v>965.74</c:v>
                </c:pt>
                <c:pt idx="17">
                  <c:v>1403.31</c:v>
                </c:pt>
                <c:pt idx="18">
                  <c:v>2460.7499999999995</c:v>
                </c:pt>
                <c:pt idx="19">
                  <c:v>1743.2900000000004</c:v>
                </c:pt>
                <c:pt idx="20">
                  <c:v>1496.78</c:v>
                </c:pt>
                <c:pt idx="21">
                  <c:v>1430.6999999999998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0-447E-966F-271F260406EE}"/>
            </c:ext>
          </c:extLst>
        </c:ser>
        <c:ser>
          <c:idx val="1"/>
          <c:order val="1"/>
          <c:tx>
            <c:strRef>
              <c:f>'NAR-EDAD'!$A$16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'NAR-EDAD'!$B$4:$X$4</c15:sqref>
                  </c15:fullRef>
                </c:ext>
              </c:extLst>
              <c:f>'NAR-EDAD'!$C$4:$X$4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'NAR-EDAD'!$B$16:$X$16</c15:sqref>
                  </c15:fullRef>
                </c:ext>
              </c:extLst>
              <c:f>'NAR-EDAD'!$C$16:$X$16</c:f>
              <c:numCache>
                <c:formatCode>#,##0</c:formatCode>
                <c:ptCount val="22"/>
                <c:pt idx="0">
                  <c:v>4739.07</c:v>
                </c:pt>
                <c:pt idx="1">
                  <c:v>990.85999999999899</c:v>
                </c:pt>
                <c:pt idx="2">
                  <c:v>1060.5900000000004</c:v>
                </c:pt>
                <c:pt idx="3">
                  <c:v>989.54000000000019</c:v>
                </c:pt>
                <c:pt idx="4">
                  <c:v>1729.439999999998</c:v>
                </c:pt>
                <c:pt idx="5">
                  <c:v>2086.599999999999</c:v>
                </c:pt>
                <c:pt idx="6">
                  <c:v>952.74000000000024</c:v>
                </c:pt>
                <c:pt idx="7">
                  <c:v>961.26999999999919</c:v>
                </c:pt>
                <c:pt idx="8">
                  <c:v>1160.3700000000003</c:v>
                </c:pt>
                <c:pt idx="9">
                  <c:v>1107.2299999999998</c:v>
                </c:pt>
                <c:pt idx="10">
                  <c:v>2004.0300000000011</c:v>
                </c:pt>
                <c:pt idx="11">
                  <c:v>777.75999999999988</c:v>
                </c:pt>
                <c:pt idx="12">
                  <c:v>896.82000000000028</c:v>
                </c:pt>
                <c:pt idx="13">
                  <c:v>748.40000000000032</c:v>
                </c:pt>
                <c:pt idx="14">
                  <c:v>834.5100000000001</c:v>
                </c:pt>
                <c:pt idx="15">
                  <c:v>791.75000000000011</c:v>
                </c:pt>
                <c:pt idx="16">
                  <c:v>654.24999999999989</c:v>
                </c:pt>
                <c:pt idx="17">
                  <c:v>858.6999999999997</c:v>
                </c:pt>
                <c:pt idx="18">
                  <c:v>1372.5000000000005</c:v>
                </c:pt>
                <c:pt idx="19">
                  <c:v>1050.29</c:v>
                </c:pt>
                <c:pt idx="20">
                  <c:v>691.36000000000035</c:v>
                </c:pt>
                <c:pt idx="21">
                  <c:v>512.53999999999951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0-447E-966F-271F2604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72928"/>
        <c:axId val="962464768"/>
      </c:barChart>
      <c:lineChart>
        <c:grouping val="standard"/>
        <c:varyColors val="0"/>
        <c:ser>
          <c:idx val="2"/>
          <c:order val="2"/>
          <c:tx>
            <c:v>% C. VALENCIANA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22"/>
              <c:pt idx="0">
                <c:v>200%</c:v>
              </c:pt>
              <c:pt idx="1">
                <c:v>300%</c:v>
              </c:pt>
              <c:pt idx="2">
                <c:v>400%</c:v>
              </c:pt>
              <c:pt idx="3">
                <c:v>500%</c:v>
              </c:pt>
              <c:pt idx="4">
                <c:v>600%</c:v>
              </c:pt>
              <c:pt idx="5">
                <c:v>700%</c:v>
              </c:pt>
              <c:pt idx="6">
                <c:v>800%</c:v>
              </c:pt>
              <c:pt idx="7">
                <c:v>900%</c:v>
              </c:pt>
              <c:pt idx="8">
                <c:v>1000%</c:v>
              </c:pt>
              <c:pt idx="9">
                <c:v>1100%</c:v>
              </c:pt>
              <c:pt idx="10">
                <c:v>1200%</c:v>
              </c:pt>
              <c:pt idx="11">
                <c:v>1300%</c:v>
              </c:pt>
              <c:pt idx="12">
                <c:v>1400%</c:v>
              </c:pt>
              <c:pt idx="13">
                <c:v>1500%</c:v>
              </c:pt>
              <c:pt idx="14">
                <c:v>1600%</c:v>
              </c:pt>
              <c:pt idx="15">
                <c:v>1700%</c:v>
              </c:pt>
              <c:pt idx="16">
                <c:v>1800%</c:v>
              </c:pt>
              <c:pt idx="17">
                <c:v>1900%</c:v>
              </c:pt>
              <c:pt idx="18">
                <c:v>2000%</c:v>
              </c:pt>
              <c:pt idx="19">
                <c:v>2100%</c:v>
              </c:pt>
              <c:pt idx="20">
                <c:v>2200%</c:v>
              </c:pt>
              <c:pt idx="21">
                <c:v>2300%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'NAR-EDAD'!$B$44:$X$44</c15:sqref>
                  </c15:fullRef>
                </c:ext>
              </c:extLst>
              <c:f>'NAR-EDAD'!$C$44:$X$44</c:f>
              <c:numCache>
                <c:formatCode>0%</c:formatCode>
                <c:ptCount val="22"/>
                <c:pt idx="0">
                  <c:v>9.7324468907663608E-2</c:v>
                </c:pt>
                <c:pt idx="1">
                  <c:v>2.034891302762936E-2</c:v>
                </c:pt>
                <c:pt idx="2">
                  <c:v>2.178093138079391E-2</c:v>
                </c:pt>
                <c:pt idx="3">
                  <c:v>2.0321804692247526E-2</c:v>
                </c:pt>
                <c:pt idx="4">
                  <c:v>3.5516848138489106E-2</c:v>
                </c:pt>
                <c:pt idx="5">
                  <c:v>4.2851706521053884E-2</c:v>
                </c:pt>
                <c:pt idx="6">
                  <c:v>1.9566057160389581E-2</c:v>
                </c:pt>
                <c:pt idx="7">
                  <c:v>1.9741234509485981E-2</c:v>
                </c:pt>
                <c:pt idx="8">
                  <c:v>2.3830075096250038E-2</c:v>
                </c:pt>
                <c:pt idx="9">
                  <c:v>2.2738759230952987E-2</c:v>
                </c:pt>
                <c:pt idx="10">
                  <c:v>4.1155997996447667E-2</c:v>
                </c:pt>
                <c:pt idx="11">
                  <c:v>1.5972559792875912E-2</c:v>
                </c:pt>
                <c:pt idx="12">
                  <c:v>1.8417649497848926E-2</c:v>
                </c:pt>
                <c:pt idx="13">
                  <c:v>1.5369604696806649E-2</c:v>
                </c:pt>
                <c:pt idx="14">
                  <c:v>1.7138012848118802E-2</c:v>
                </c:pt>
                <c:pt idx="15">
                  <c:v>1.6259867074688215E-2</c:v>
                </c:pt>
                <c:pt idx="16">
                  <c:v>1.3436082139077691E-2</c:v>
                </c:pt>
                <c:pt idx="17">
                  <c:v>1.7634793630609113E-2</c:v>
                </c:pt>
                <c:pt idx="18">
                  <c:v>2.8186507811821384E-2</c:v>
                </c:pt>
                <c:pt idx="19">
                  <c:v>2.156940421834453E-2</c:v>
                </c:pt>
                <c:pt idx="20">
                  <c:v>1.4198196022426838E-2</c:v>
                </c:pt>
                <c:pt idx="21">
                  <c:v>1.0525838042893197E-2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DB-488E-911D-A743CEC89B77}"/>
            </c:ext>
          </c:extLst>
        </c:ser>
        <c:ser>
          <c:idx val="3"/>
          <c:order val="3"/>
          <c:tx>
            <c:v>% ANDALUCÍA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2"/>
              <c:pt idx="0">
                <c:v>200%</c:v>
              </c:pt>
              <c:pt idx="1">
                <c:v>300%</c:v>
              </c:pt>
              <c:pt idx="2">
                <c:v>400%</c:v>
              </c:pt>
              <c:pt idx="3">
                <c:v>500%</c:v>
              </c:pt>
              <c:pt idx="4">
                <c:v>600%</c:v>
              </c:pt>
              <c:pt idx="5">
                <c:v>700%</c:v>
              </c:pt>
              <c:pt idx="6">
                <c:v>800%</c:v>
              </c:pt>
              <c:pt idx="7">
                <c:v>900%</c:v>
              </c:pt>
              <c:pt idx="8">
                <c:v>1000%</c:v>
              </c:pt>
              <c:pt idx="9">
                <c:v>1100%</c:v>
              </c:pt>
              <c:pt idx="10">
                <c:v>1200%</c:v>
              </c:pt>
              <c:pt idx="11">
                <c:v>1300%</c:v>
              </c:pt>
              <c:pt idx="12">
                <c:v>1400%</c:v>
              </c:pt>
              <c:pt idx="13">
                <c:v>1500%</c:v>
              </c:pt>
              <c:pt idx="14">
                <c:v>1600%</c:v>
              </c:pt>
              <c:pt idx="15">
                <c:v>1700%</c:v>
              </c:pt>
              <c:pt idx="16">
                <c:v>1800%</c:v>
              </c:pt>
              <c:pt idx="17">
                <c:v>1900%</c:v>
              </c:pt>
              <c:pt idx="18">
                <c:v>2000%</c:v>
              </c:pt>
              <c:pt idx="19">
                <c:v>2100%</c:v>
              </c:pt>
              <c:pt idx="20">
                <c:v>2200%</c:v>
              </c:pt>
              <c:pt idx="21">
                <c:v>2300%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'NAR-EDAD'!$B$42:$X$42</c15:sqref>
                  </c15:fullRef>
                </c:ext>
              </c:extLst>
              <c:f>'NAR-EDAD'!$C$42:$X$42</c:f>
              <c:numCache>
                <c:formatCode>0%</c:formatCode>
                <c:ptCount val="22"/>
                <c:pt idx="0">
                  <c:v>6.4858381356690642E-2</c:v>
                </c:pt>
                <c:pt idx="1">
                  <c:v>2.1829777464755847E-2</c:v>
                </c:pt>
                <c:pt idx="2">
                  <c:v>2.6645083718233563E-2</c:v>
                </c:pt>
                <c:pt idx="3">
                  <c:v>3.27750172183678E-2</c:v>
                </c:pt>
                <c:pt idx="4">
                  <c:v>4.923791698606577E-2</c:v>
                </c:pt>
                <c:pt idx="5">
                  <c:v>6.9046627729159912E-2</c:v>
                </c:pt>
                <c:pt idx="6">
                  <c:v>7.5897592541431053E-2</c:v>
                </c:pt>
                <c:pt idx="7">
                  <c:v>4.3513442000365797E-2</c:v>
                </c:pt>
                <c:pt idx="8">
                  <c:v>3.8231391516500443E-2</c:v>
                </c:pt>
                <c:pt idx="9">
                  <c:v>2.3701618332016824E-2</c:v>
                </c:pt>
                <c:pt idx="10">
                  <c:v>2.9116357254866859E-2</c:v>
                </c:pt>
                <c:pt idx="11">
                  <c:v>1.6040320164362451E-2</c:v>
                </c:pt>
                <c:pt idx="12">
                  <c:v>1.3729556836178419E-2</c:v>
                </c:pt>
                <c:pt idx="13">
                  <c:v>1.7497558299253282E-2</c:v>
                </c:pt>
                <c:pt idx="14">
                  <c:v>1.1373072418314898E-2</c:v>
                </c:pt>
                <c:pt idx="15">
                  <c:v>1.7664878031697362E-2</c:v>
                </c:pt>
                <c:pt idx="16">
                  <c:v>1.8789227722155855E-2</c:v>
                </c:pt>
                <c:pt idx="17">
                  <c:v>2.7302494620476039E-2</c:v>
                </c:pt>
                <c:pt idx="18">
                  <c:v>4.7875817629273933E-2</c:v>
                </c:pt>
                <c:pt idx="19">
                  <c:v>3.3917071671212842E-2</c:v>
                </c:pt>
                <c:pt idx="20">
                  <c:v>2.9121026642749022E-2</c:v>
                </c:pt>
                <c:pt idx="21">
                  <c:v>2.7835388512527572E-2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B-488E-911D-A743CEC8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63680"/>
        <c:axId val="962462592"/>
      </c:lineChart>
      <c:catAx>
        <c:axId val="96247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4768"/>
        <c:crosses val="autoZero"/>
        <c:auto val="1"/>
        <c:lblAlgn val="ctr"/>
        <c:lblOffset val="100"/>
        <c:noMultiLvlLbl val="0"/>
      </c:catAx>
      <c:valAx>
        <c:axId val="962464768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72928"/>
        <c:crosses val="autoZero"/>
        <c:crossBetween val="between"/>
      </c:valAx>
      <c:valAx>
        <c:axId val="962462592"/>
        <c:scaling>
          <c:orientation val="minMax"/>
          <c:max val="0.1200000000000000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3680"/>
        <c:crosses val="max"/>
        <c:crossBetween val="between"/>
      </c:valAx>
      <c:catAx>
        <c:axId val="962463680"/>
        <c:scaling>
          <c:orientation val="minMax"/>
        </c:scaling>
        <c:delete val="1"/>
        <c:axPos val="b"/>
        <c:majorTickMark val="out"/>
        <c:minorTickMark val="none"/>
        <c:tickLblPos val="nextTo"/>
        <c:crossAx val="962462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Naranjo: Andalucía y C. Valenciana </a:t>
            </a:r>
          </a:p>
          <a:p>
            <a:pPr>
              <a:defRPr/>
            </a:pP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% según año plantación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'NAR-EDAD'!$A$42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'NAR-EDAD'!$B$41:$X$41</c15:sqref>
                  </c15:fullRef>
                </c:ext>
              </c:extLst>
              <c:f>'NAR-EDAD'!$C$41:$X$41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'NAR-EDAD'!$B$42:$X$42</c15:sqref>
                  </c15:fullRef>
                </c:ext>
              </c:extLst>
              <c:f>'NAR-EDAD'!$C$42:$X$42</c:f>
              <c:numCache>
                <c:formatCode>0%</c:formatCode>
                <c:ptCount val="22"/>
                <c:pt idx="0">
                  <c:v>6.4858381356690642E-2</c:v>
                </c:pt>
                <c:pt idx="1">
                  <c:v>2.1829777464755847E-2</c:v>
                </c:pt>
                <c:pt idx="2">
                  <c:v>2.6645083718233563E-2</c:v>
                </c:pt>
                <c:pt idx="3">
                  <c:v>3.27750172183678E-2</c:v>
                </c:pt>
                <c:pt idx="4">
                  <c:v>4.923791698606577E-2</c:v>
                </c:pt>
                <c:pt idx="5">
                  <c:v>6.9046627729159912E-2</c:v>
                </c:pt>
                <c:pt idx="6">
                  <c:v>7.5897592541431053E-2</c:v>
                </c:pt>
                <c:pt idx="7">
                  <c:v>4.3513442000365797E-2</c:v>
                </c:pt>
                <c:pt idx="8">
                  <c:v>3.8231391516500443E-2</c:v>
                </c:pt>
                <c:pt idx="9">
                  <c:v>2.3701618332016824E-2</c:v>
                </c:pt>
                <c:pt idx="10">
                  <c:v>2.9116357254866859E-2</c:v>
                </c:pt>
                <c:pt idx="11">
                  <c:v>1.6040320164362451E-2</c:v>
                </c:pt>
                <c:pt idx="12">
                  <c:v>1.3729556836178419E-2</c:v>
                </c:pt>
                <c:pt idx="13">
                  <c:v>1.7497558299253282E-2</c:v>
                </c:pt>
                <c:pt idx="14">
                  <c:v>1.1373072418314898E-2</c:v>
                </c:pt>
                <c:pt idx="15">
                  <c:v>1.7664878031697362E-2</c:v>
                </c:pt>
                <c:pt idx="16">
                  <c:v>1.8789227722155855E-2</c:v>
                </c:pt>
                <c:pt idx="17">
                  <c:v>2.7302494620476039E-2</c:v>
                </c:pt>
                <c:pt idx="18">
                  <c:v>4.7875817629273933E-2</c:v>
                </c:pt>
                <c:pt idx="19">
                  <c:v>3.3917071671212842E-2</c:v>
                </c:pt>
                <c:pt idx="20">
                  <c:v>2.9121026642749022E-2</c:v>
                </c:pt>
                <c:pt idx="21">
                  <c:v>2.7835388512527572E-2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66-4143-9542-7AC16D769766}"/>
            </c:ext>
          </c:extLst>
        </c:ser>
        <c:ser>
          <c:idx val="1"/>
          <c:order val="1"/>
          <c:tx>
            <c:strRef>
              <c:f>'NAR-EDAD'!$A$44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'NAR-EDAD'!$B$41:$X$41</c15:sqref>
                  </c15:fullRef>
                </c:ext>
              </c:extLst>
              <c:f>'NAR-EDAD'!$C$41:$X$41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'NAR-EDAD'!$B$44:$X$44</c15:sqref>
                  </c15:fullRef>
                </c:ext>
              </c:extLst>
              <c:f>'NAR-EDAD'!$C$44:$X$44</c:f>
              <c:numCache>
                <c:formatCode>0%</c:formatCode>
                <c:ptCount val="22"/>
                <c:pt idx="0">
                  <c:v>9.7324468907663608E-2</c:v>
                </c:pt>
                <c:pt idx="1">
                  <c:v>2.034891302762936E-2</c:v>
                </c:pt>
                <c:pt idx="2">
                  <c:v>2.178093138079391E-2</c:v>
                </c:pt>
                <c:pt idx="3">
                  <c:v>2.0321804692247526E-2</c:v>
                </c:pt>
                <c:pt idx="4">
                  <c:v>3.5516848138489106E-2</c:v>
                </c:pt>
                <c:pt idx="5">
                  <c:v>4.2851706521053884E-2</c:v>
                </c:pt>
                <c:pt idx="6">
                  <c:v>1.9566057160389581E-2</c:v>
                </c:pt>
                <c:pt idx="7">
                  <c:v>1.9741234509485981E-2</c:v>
                </c:pt>
                <c:pt idx="8">
                  <c:v>2.3830075096250038E-2</c:v>
                </c:pt>
                <c:pt idx="9">
                  <c:v>2.2738759230952987E-2</c:v>
                </c:pt>
                <c:pt idx="10">
                  <c:v>4.1155997996447667E-2</c:v>
                </c:pt>
                <c:pt idx="11">
                  <c:v>1.5972559792875912E-2</c:v>
                </c:pt>
                <c:pt idx="12">
                  <c:v>1.8417649497848926E-2</c:v>
                </c:pt>
                <c:pt idx="13">
                  <c:v>1.5369604696806649E-2</c:v>
                </c:pt>
                <c:pt idx="14">
                  <c:v>1.7138012848118802E-2</c:v>
                </c:pt>
                <c:pt idx="15">
                  <c:v>1.6259867074688215E-2</c:v>
                </c:pt>
                <c:pt idx="16">
                  <c:v>1.3436082139077691E-2</c:v>
                </c:pt>
                <c:pt idx="17">
                  <c:v>1.7634793630609113E-2</c:v>
                </c:pt>
                <c:pt idx="18">
                  <c:v>2.8186507811821384E-2</c:v>
                </c:pt>
                <c:pt idx="19">
                  <c:v>2.156940421834453E-2</c:v>
                </c:pt>
                <c:pt idx="20">
                  <c:v>1.4198196022426838E-2</c:v>
                </c:pt>
                <c:pt idx="21">
                  <c:v>1.0525838042893197E-2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66-4143-9542-7AC16D769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2460960"/>
        <c:axId val="962471296"/>
      </c:lineChart>
      <c:catAx>
        <c:axId val="9624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71296"/>
        <c:crosses val="autoZero"/>
        <c:auto val="1"/>
        <c:lblAlgn val="ctr"/>
        <c:lblOffset val="100"/>
        <c:noMultiLvlLbl val="0"/>
      </c:catAx>
      <c:valAx>
        <c:axId val="962471296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u="none"/>
              <a:t>CÍTRICOS</a:t>
            </a:r>
            <a:r>
              <a:rPr lang="es-ES" u="none" baseline="0"/>
              <a:t> </a:t>
            </a:r>
            <a:r>
              <a:rPr lang="es-ES" u="none"/>
              <a:t>(CCAA</a:t>
            </a:r>
            <a:r>
              <a:rPr lang="es-ES"/>
              <a:t>):  Variación de la Representatividad 2021</a:t>
            </a:r>
            <a:r>
              <a:rPr lang="es-ES" baseline="0"/>
              <a:t> vs 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Representatividad 2020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(CÍTRICOS!$A$9,CÍTRICOS!$A$20,CÍTRICOS!$A$28,CÍTRICOS!$A$41,CÍTRICOS!$A$46)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(CÍTRICOS!$F$9,CÍTRICOS!$F$20,CÍTRICOS!$F$28,CÍTRICOS!$F$41,CÍTRICOS!$F$46)</c:f>
              <c:numCache>
                <c:formatCode>0%</c:formatCode>
                <c:ptCount val="5"/>
                <c:pt idx="0">
                  <c:v>0.78815701623114998</c:v>
                </c:pt>
                <c:pt idx="1">
                  <c:v>0.69886629624508134</c:v>
                </c:pt>
                <c:pt idx="2">
                  <c:v>0.90214732295100575</c:v>
                </c:pt>
                <c:pt idx="3">
                  <c:v>0.36598591549295767</c:v>
                </c:pt>
                <c:pt idx="4">
                  <c:v>0.6785273876939486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9-4298-8622-356926DD5E9B}"/>
            </c:ext>
          </c:extLst>
        </c:ser>
        <c:ser>
          <c:idx val="1"/>
          <c:order val="1"/>
          <c:tx>
            <c:v>Representatividad 2021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(CÍTRICOS!$A$9,CÍTRICOS!$A$20,CÍTRICOS!$A$28,CÍTRICOS!$A$41,CÍTRICOS!$A$46)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(CÍTRICOS!$G$9,CÍTRICOS!$G$20,CÍTRICOS!$G$28,CÍTRICOS!$G$41,CÍTRICOS!$G$46)</c:f>
              <c:numCache>
                <c:formatCode>0%</c:formatCode>
                <c:ptCount val="5"/>
                <c:pt idx="0">
                  <c:v>0.79494464197308612</c:v>
                </c:pt>
                <c:pt idx="1">
                  <c:v>0.70140271436218771</c:v>
                </c:pt>
                <c:pt idx="2">
                  <c:v>0.85120723684210475</c:v>
                </c:pt>
                <c:pt idx="3">
                  <c:v>0.36336150234741788</c:v>
                </c:pt>
                <c:pt idx="4">
                  <c:v>0.71283950926389583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9-4298-8622-356926DD5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112704"/>
        <c:axId val="848124672"/>
      </c:barChart>
      <c:lineChart>
        <c:grouping val="standard"/>
        <c:varyColors val="0"/>
        <c:ser>
          <c:idx val="2"/>
          <c:order val="2"/>
          <c:tx>
            <c:strRef>
              <c:f>CÍTRICOS!$J$7</c:f>
              <c:strCache>
                <c:ptCount val="1"/>
                <c:pt idx="0">
                  <c:v>VARIACIÓN DE LA REPRESENTATIVIDAD</c:v>
                </c:pt>
              </c:strCache>
            </c:strRef>
          </c:tx>
          <c:spPr>
            <a:ln w="381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(CÍTRICOS!$A$9,CÍTRICOS!$A$20,CÍTRICOS!$A$28,CÍTRICOS!$A$41,CÍTRICOS!$A$46)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(CÍTRICOS!$J$9,CÍTRICOS!$J$20,CÍTRICOS!$J$28,CÍTRICOS!$J$41,CÍTRICOS!$J$46)</c:f>
              <c:numCache>
                <c:formatCode>0.0%</c:formatCode>
                <c:ptCount val="5"/>
                <c:pt idx="0">
                  <c:v>8.6120222267302982E-3</c:v>
                </c:pt>
                <c:pt idx="1">
                  <c:v>3.6293324355949341E-3</c:v>
                </c:pt>
                <c:pt idx="2" formatCode="0%">
                  <c:v>-5.646537412788788E-2</c:v>
                </c:pt>
                <c:pt idx="3">
                  <c:v>-7.1708036687829768E-3</c:v>
                </c:pt>
                <c:pt idx="4" formatCode="0%">
                  <c:v>5.0568513802458082E-2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83-440A-B6ED-4FA5E9C8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9584"/>
        <c:axId val="867448736"/>
      </c:lineChart>
      <c:catAx>
        <c:axId val="84811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24672"/>
        <c:crosses val="autoZero"/>
        <c:auto val="1"/>
        <c:lblAlgn val="ctr"/>
        <c:lblOffset val="100"/>
        <c:noMultiLvlLbl val="0"/>
      </c:catAx>
      <c:valAx>
        <c:axId val="84812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12704"/>
        <c:crosses val="autoZero"/>
        <c:crossBetween val="between"/>
      </c:valAx>
      <c:valAx>
        <c:axId val="867448736"/>
        <c:scaling>
          <c:orientation val="minMax"/>
          <c:max val="6.0000000000000012E-2"/>
          <c:min val="-6.0000000000000012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7439584"/>
        <c:crosses val="max"/>
        <c:crossBetween val="between"/>
      </c:valAx>
      <c:catAx>
        <c:axId val="86743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7448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Naranjo: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'NAR-EDAD'!$B$4:$X$4</c15:sqref>
                  </c15:fullRef>
                </c:ext>
              </c:extLst>
              <c:f>'NAR-EDAD'!$C$4:$X$4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'NAR-EDAD'!$B$5:$X$5</c15:sqref>
                  </c15:fullRef>
                </c:ext>
              </c:extLst>
              <c:f>'NAR-EDAD'!$C$5:$X$5</c:f>
              <c:numCache>
                <c:formatCode>#,##0</c:formatCode>
                <c:ptCount val="22"/>
                <c:pt idx="0">
                  <c:v>3333.6299999999997</c:v>
                </c:pt>
                <c:pt idx="1">
                  <c:v>1122.02</c:v>
                </c:pt>
                <c:pt idx="2">
                  <c:v>1369.5199999999998</c:v>
                </c:pt>
                <c:pt idx="3">
                  <c:v>1684.5899999999995</c:v>
                </c:pt>
                <c:pt idx="4">
                  <c:v>2530.7600000000002</c:v>
                </c:pt>
                <c:pt idx="5">
                  <c:v>3548.8999999999992</c:v>
                </c:pt>
                <c:pt idx="6">
                  <c:v>3901.0299999999988</c:v>
                </c:pt>
                <c:pt idx="7">
                  <c:v>2236.5300000000016</c:v>
                </c:pt>
                <c:pt idx="8">
                  <c:v>1965.04</c:v>
                </c:pt>
                <c:pt idx="9">
                  <c:v>1218.23</c:v>
                </c:pt>
                <c:pt idx="10">
                  <c:v>1496.54</c:v>
                </c:pt>
                <c:pt idx="11">
                  <c:v>824.45</c:v>
                </c:pt>
                <c:pt idx="12">
                  <c:v>705.68000000000018</c:v>
                </c:pt>
                <c:pt idx="13">
                  <c:v>899.34999999999991</c:v>
                </c:pt>
                <c:pt idx="14">
                  <c:v>584.56000000000017</c:v>
                </c:pt>
                <c:pt idx="15">
                  <c:v>907.95</c:v>
                </c:pt>
                <c:pt idx="16">
                  <c:v>965.74</c:v>
                </c:pt>
                <c:pt idx="17">
                  <c:v>1403.31</c:v>
                </c:pt>
                <c:pt idx="18">
                  <c:v>2460.7499999999995</c:v>
                </c:pt>
                <c:pt idx="19">
                  <c:v>1743.2900000000004</c:v>
                </c:pt>
                <c:pt idx="20">
                  <c:v>1496.78</c:v>
                </c:pt>
                <c:pt idx="21">
                  <c:v>1430.6999999999998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0-447E-966F-271F260406EE}"/>
            </c:ext>
          </c:extLst>
        </c:ser>
        <c:ser>
          <c:idx val="1"/>
          <c:order val="1"/>
          <c:tx>
            <c:strRef>
              <c:f>'NAR-EDAD'!$A$16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'NAR-EDAD'!$B$4:$X$4</c15:sqref>
                  </c15:fullRef>
                </c:ext>
              </c:extLst>
              <c:f>'NAR-EDAD'!$C$4:$X$4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'NAR-EDAD'!$B$16:$X$16</c15:sqref>
                  </c15:fullRef>
                </c:ext>
              </c:extLst>
              <c:f>'NAR-EDAD'!$C$16:$X$16</c:f>
              <c:numCache>
                <c:formatCode>#,##0</c:formatCode>
                <c:ptCount val="22"/>
                <c:pt idx="0">
                  <c:v>4739.07</c:v>
                </c:pt>
                <c:pt idx="1">
                  <c:v>990.85999999999899</c:v>
                </c:pt>
                <c:pt idx="2">
                  <c:v>1060.5900000000004</c:v>
                </c:pt>
                <c:pt idx="3">
                  <c:v>989.54000000000019</c:v>
                </c:pt>
                <c:pt idx="4">
                  <c:v>1729.439999999998</c:v>
                </c:pt>
                <c:pt idx="5">
                  <c:v>2086.599999999999</c:v>
                </c:pt>
                <c:pt idx="6">
                  <c:v>952.74000000000024</c:v>
                </c:pt>
                <c:pt idx="7">
                  <c:v>961.26999999999919</c:v>
                </c:pt>
                <c:pt idx="8">
                  <c:v>1160.3700000000003</c:v>
                </c:pt>
                <c:pt idx="9">
                  <c:v>1107.2299999999998</c:v>
                </c:pt>
                <c:pt idx="10">
                  <c:v>2004.0300000000011</c:v>
                </c:pt>
                <c:pt idx="11">
                  <c:v>777.75999999999988</c:v>
                </c:pt>
                <c:pt idx="12">
                  <c:v>896.82000000000028</c:v>
                </c:pt>
                <c:pt idx="13">
                  <c:v>748.40000000000032</c:v>
                </c:pt>
                <c:pt idx="14">
                  <c:v>834.5100000000001</c:v>
                </c:pt>
                <c:pt idx="15">
                  <c:v>791.75000000000011</c:v>
                </c:pt>
                <c:pt idx="16">
                  <c:v>654.24999999999989</c:v>
                </c:pt>
                <c:pt idx="17">
                  <c:v>858.6999999999997</c:v>
                </c:pt>
                <c:pt idx="18">
                  <c:v>1372.5000000000005</c:v>
                </c:pt>
                <c:pt idx="19">
                  <c:v>1050.29</c:v>
                </c:pt>
                <c:pt idx="20">
                  <c:v>691.36000000000035</c:v>
                </c:pt>
                <c:pt idx="21">
                  <c:v>512.53999999999951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0-447E-966F-271F2604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59872"/>
        <c:axId val="962468576"/>
      </c:barChart>
      <c:lineChart>
        <c:grouping val="standard"/>
        <c:varyColors val="0"/>
        <c:ser>
          <c:idx val="2"/>
          <c:order val="2"/>
          <c:tx>
            <c:v>% C.VALENCIANA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22"/>
              <c:pt idx="0">
                <c:v>200%</c:v>
              </c:pt>
              <c:pt idx="1">
                <c:v>300%</c:v>
              </c:pt>
              <c:pt idx="2">
                <c:v>400%</c:v>
              </c:pt>
              <c:pt idx="3">
                <c:v>500%</c:v>
              </c:pt>
              <c:pt idx="4">
                <c:v>600%</c:v>
              </c:pt>
              <c:pt idx="5">
                <c:v>700%</c:v>
              </c:pt>
              <c:pt idx="6">
                <c:v>800%</c:v>
              </c:pt>
              <c:pt idx="7">
                <c:v>900%</c:v>
              </c:pt>
              <c:pt idx="8">
                <c:v>1000%</c:v>
              </c:pt>
              <c:pt idx="9">
                <c:v>1100%</c:v>
              </c:pt>
              <c:pt idx="10">
                <c:v>1200%</c:v>
              </c:pt>
              <c:pt idx="11">
                <c:v>1300%</c:v>
              </c:pt>
              <c:pt idx="12">
                <c:v>1400%</c:v>
              </c:pt>
              <c:pt idx="13">
                <c:v>1500%</c:v>
              </c:pt>
              <c:pt idx="14">
                <c:v>1600%</c:v>
              </c:pt>
              <c:pt idx="15">
                <c:v>1700%</c:v>
              </c:pt>
              <c:pt idx="16">
                <c:v>1800%</c:v>
              </c:pt>
              <c:pt idx="17">
                <c:v>1900%</c:v>
              </c:pt>
              <c:pt idx="18">
                <c:v>2000%</c:v>
              </c:pt>
              <c:pt idx="19">
                <c:v>2100%</c:v>
              </c:pt>
              <c:pt idx="20">
                <c:v>2200%</c:v>
              </c:pt>
              <c:pt idx="21">
                <c:v>2300%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'NAR-EDAD'!$B$44:$X$44</c15:sqref>
                  </c15:fullRef>
                </c:ext>
              </c:extLst>
              <c:f>'NAR-EDAD'!$C$44:$X$44</c:f>
              <c:numCache>
                <c:formatCode>0%</c:formatCode>
                <c:ptCount val="22"/>
                <c:pt idx="0">
                  <c:v>9.7324468907663608E-2</c:v>
                </c:pt>
                <c:pt idx="1">
                  <c:v>2.034891302762936E-2</c:v>
                </c:pt>
                <c:pt idx="2">
                  <c:v>2.178093138079391E-2</c:v>
                </c:pt>
                <c:pt idx="3">
                  <c:v>2.0321804692247526E-2</c:v>
                </c:pt>
                <c:pt idx="4">
                  <c:v>3.5516848138489106E-2</c:v>
                </c:pt>
                <c:pt idx="5">
                  <c:v>4.2851706521053884E-2</c:v>
                </c:pt>
                <c:pt idx="6">
                  <c:v>1.9566057160389581E-2</c:v>
                </c:pt>
                <c:pt idx="7">
                  <c:v>1.9741234509485981E-2</c:v>
                </c:pt>
                <c:pt idx="8">
                  <c:v>2.3830075096250038E-2</c:v>
                </c:pt>
                <c:pt idx="9">
                  <c:v>2.2738759230952987E-2</c:v>
                </c:pt>
                <c:pt idx="10">
                  <c:v>4.1155997996447667E-2</c:v>
                </c:pt>
                <c:pt idx="11">
                  <c:v>1.5972559792875912E-2</c:v>
                </c:pt>
                <c:pt idx="12">
                  <c:v>1.8417649497848926E-2</c:v>
                </c:pt>
                <c:pt idx="13">
                  <c:v>1.5369604696806649E-2</c:v>
                </c:pt>
                <c:pt idx="14">
                  <c:v>1.7138012848118802E-2</c:v>
                </c:pt>
                <c:pt idx="15">
                  <c:v>1.6259867074688215E-2</c:v>
                </c:pt>
                <c:pt idx="16">
                  <c:v>1.3436082139077691E-2</c:v>
                </c:pt>
                <c:pt idx="17">
                  <c:v>1.7634793630609113E-2</c:v>
                </c:pt>
                <c:pt idx="18">
                  <c:v>2.8186507811821384E-2</c:v>
                </c:pt>
                <c:pt idx="19">
                  <c:v>2.156940421834453E-2</c:v>
                </c:pt>
                <c:pt idx="20">
                  <c:v>1.4198196022426838E-2</c:v>
                </c:pt>
                <c:pt idx="21">
                  <c:v>1.0525838042893197E-2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5-4C71-8B80-18128C053222}"/>
            </c:ext>
          </c:extLst>
        </c:ser>
        <c:ser>
          <c:idx val="3"/>
          <c:order val="3"/>
          <c:tx>
            <c:v>% ANDALUCÍA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2"/>
              <c:pt idx="0">
                <c:v>200%</c:v>
              </c:pt>
              <c:pt idx="1">
                <c:v>300%</c:v>
              </c:pt>
              <c:pt idx="2">
                <c:v>400%</c:v>
              </c:pt>
              <c:pt idx="3">
                <c:v>500%</c:v>
              </c:pt>
              <c:pt idx="4">
                <c:v>600%</c:v>
              </c:pt>
              <c:pt idx="5">
                <c:v>700%</c:v>
              </c:pt>
              <c:pt idx="6">
                <c:v>800%</c:v>
              </c:pt>
              <c:pt idx="7">
                <c:v>900%</c:v>
              </c:pt>
              <c:pt idx="8">
                <c:v>1000%</c:v>
              </c:pt>
              <c:pt idx="9">
                <c:v>1100%</c:v>
              </c:pt>
              <c:pt idx="10">
                <c:v>1200%</c:v>
              </c:pt>
              <c:pt idx="11">
                <c:v>1300%</c:v>
              </c:pt>
              <c:pt idx="12">
                <c:v>1400%</c:v>
              </c:pt>
              <c:pt idx="13">
                <c:v>1500%</c:v>
              </c:pt>
              <c:pt idx="14">
                <c:v>1600%</c:v>
              </c:pt>
              <c:pt idx="15">
                <c:v>1700%</c:v>
              </c:pt>
              <c:pt idx="16">
                <c:v>1800%</c:v>
              </c:pt>
              <c:pt idx="17">
                <c:v>1900%</c:v>
              </c:pt>
              <c:pt idx="18">
                <c:v>2000%</c:v>
              </c:pt>
              <c:pt idx="19">
                <c:v>2100%</c:v>
              </c:pt>
              <c:pt idx="20">
                <c:v>2200%</c:v>
              </c:pt>
              <c:pt idx="21">
                <c:v>2300%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'NAR-EDAD'!$B$42:$X$42</c15:sqref>
                  </c15:fullRef>
                </c:ext>
              </c:extLst>
              <c:f>'NAR-EDAD'!$C$42:$X$42</c:f>
              <c:numCache>
                <c:formatCode>0%</c:formatCode>
                <c:ptCount val="22"/>
                <c:pt idx="0">
                  <c:v>6.4858381356690642E-2</c:v>
                </c:pt>
                <c:pt idx="1">
                  <c:v>2.1829777464755847E-2</c:v>
                </c:pt>
                <c:pt idx="2">
                  <c:v>2.6645083718233563E-2</c:v>
                </c:pt>
                <c:pt idx="3">
                  <c:v>3.27750172183678E-2</c:v>
                </c:pt>
                <c:pt idx="4">
                  <c:v>4.923791698606577E-2</c:v>
                </c:pt>
                <c:pt idx="5">
                  <c:v>6.9046627729159912E-2</c:v>
                </c:pt>
                <c:pt idx="6">
                  <c:v>7.5897592541431053E-2</c:v>
                </c:pt>
                <c:pt idx="7">
                  <c:v>4.3513442000365797E-2</c:v>
                </c:pt>
                <c:pt idx="8">
                  <c:v>3.8231391516500443E-2</c:v>
                </c:pt>
                <c:pt idx="9">
                  <c:v>2.3701618332016824E-2</c:v>
                </c:pt>
                <c:pt idx="10">
                  <c:v>2.9116357254866859E-2</c:v>
                </c:pt>
                <c:pt idx="11">
                  <c:v>1.6040320164362451E-2</c:v>
                </c:pt>
                <c:pt idx="12">
                  <c:v>1.3729556836178419E-2</c:v>
                </c:pt>
                <c:pt idx="13">
                  <c:v>1.7497558299253282E-2</c:v>
                </c:pt>
                <c:pt idx="14">
                  <c:v>1.1373072418314898E-2</c:v>
                </c:pt>
                <c:pt idx="15">
                  <c:v>1.7664878031697362E-2</c:v>
                </c:pt>
                <c:pt idx="16">
                  <c:v>1.8789227722155855E-2</c:v>
                </c:pt>
                <c:pt idx="17">
                  <c:v>2.7302494620476039E-2</c:v>
                </c:pt>
                <c:pt idx="18">
                  <c:v>4.7875817629273933E-2</c:v>
                </c:pt>
                <c:pt idx="19">
                  <c:v>3.3917071671212842E-2</c:v>
                </c:pt>
                <c:pt idx="20">
                  <c:v>2.9121026642749022E-2</c:v>
                </c:pt>
                <c:pt idx="21">
                  <c:v>2.7835388512527572E-2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5-4C71-8B80-18128C053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57696"/>
        <c:axId val="962460416"/>
      </c:lineChart>
      <c:catAx>
        <c:axId val="962459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8576"/>
        <c:crosses val="autoZero"/>
        <c:auto val="1"/>
        <c:lblAlgn val="ctr"/>
        <c:lblOffset val="100"/>
        <c:noMultiLvlLbl val="0"/>
      </c:catAx>
      <c:valAx>
        <c:axId val="962468576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59872"/>
        <c:crosses val="autoZero"/>
        <c:crossBetween val="between"/>
      </c:valAx>
      <c:valAx>
        <c:axId val="962460416"/>
        <c:scaling>
          <c:orientation val="minMax"/>
          <c:max val="0.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57696"/>
        <c:crosses val="max"/>
        <c:crossBetween val="between"/>
      </c:valAx>
      <c:catAx>
        <c:axId val="9624576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2460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</a:rPr>
              <a:t>Naranjo: Sin info.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66-46EC-A894-F2CDEAEAB2FD}"/>
              </c:ext>
            </c:extLst>
          </c:dPt>
          <c:dLbls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66-46EC-A894-F2CDEAEAB2F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66-46EC-A894-F2CDEAEAB2F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'NAR-EDAD'!$A$42:$A$52</c15:sqref>
                  </c15:fullRef>
                </c:ext>
              </c:extLst>
              <c:f>('NAR-EDAD'!$A$42,'NAR-EDAD'!$A$44,'NAR-EDAD'!$A$47,'NAR-EDAD'!$A$49,'NAR-EDAD'!$A$51:$A$52)</c:f>
              <c:strCache>
                <c:ptCount val="6"/>
                <c:pt idx="0">
                  <c:v>ANDALUCÍA</c:v>
                </c:pt>
                <c:pt idx="1">
                  <c:v>C. VALENCIANA</c:v>
                </c:pt>
                <c:pt idx="2">
                  <c:v>EXTREMADURA</c:v>
                </c:pt>
                <c:pt idx="3">
                  <c:v>I. BALEARES</c:v>
                </c:pt>
                <c:pt idx="4">
                  <c:v>MURCIA</c:v>
                </c:pt>
                <c:pt idx="5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'NAR-EDAD'!$Y$42:$Y$52</c15:sqref>
                  </c15:fullRef>
                </c:ext>
              </c:extLst>
              <c:f>('NAR-EDAD'!$Y$42,'NAR-EDAD'!$Y$44,'NAR-EDAD'!$Y$47,'NAR-EDAD'!$Y$49,'NAR-EDAD'!$Y$51:$Y$52)</c:f>
              <c:numCache>
                <c:formatCode>0%</c:formatCode>
                <c:ptCount val="6"/>
                <c:pt idx="0" formatCode="0.0%">
                  <c:v>7.0877416894623592E-4</c:v>
                </c:pt>
                <c:pt idx="1" formatCode="0.0%">
                  <c:v>1.7540325189126882E-3</c:v>
                </c:pt>
                <c:pt idx="2">
                  <c:v>1.1488063184347514E-2</c:v>
                </c:pt>
                <c:pt idx="3">
                  <c:v>1.3692691750003733E-2</c:v>
                </c:pt>
                <c:pt idx="4" formatCode="0.0%">
                  <c:v>2.7247444024272598E-3</c:v>
                </c:pt>
                <c:pt idx="5" formatCode="0.0%">
                  <c:v>1.3541317208593845E-3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9-4684-A6C0-51994AC52B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62464224"/>
        <c:axId val="962458784"/>
      </c:barChart>
      <c:catAx>
        <c:axId val="96246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58784"/>
        <c:crosses val="autoZero"/>
        <c:auto val="1"/>
        <c:lblAlgn val="ctr"/>
        <c:lblOffset val="100"/>
        <c:noMultiLvlLbl val="0"/>
      </c:catAx>
      <c:valAx>
        <c:axId val="962458784"/>
        <c:scaling>
          <c:orientation val="minMax"/>
          <c:max val="1.600000000000000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solidFill>
                  <a:schemeClr val="tx1">
                    <a:lumMod val="65000"/>
                    <a:lumOff val="35000"/>
                  </a:schemeClr>
                </a:solidFill>
              </a:rPr>
              <a:t>TOTAL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'NAR-EDAD'!$A$60</c:f>
              <c:strCache>
                <c:ptCount val="1"/>
                <c:pt idx="0">
                  <c:v>TOTAL CITRICOS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'NAR-EDAD'!$B$55:$X$55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'NAR-EDAD'!$B$60:$X$60</c:f>
              <c:numCache>
                <c:formatCode>#,##0</c:formatCode>
                <c:ptCount val="23"/>
                <c:pt idx="0">
                  <c:v>74701.519999999902</c:v>
                </c:pt>
                <c:pt idx="1">
                  <c:v>19436.670000000002</c:v>
                </c:pt>
                <c:pt idx="2">
                  <c:v>5538.0699999999988</c:v>
                </c:pt>
                <c:pt idx="3">
                  <c:v>5905.3600000000006</c:v>
                </c:pt>
                <c:pt idx="4">
                  <c:v>5888.6599999999989</c:v>
                </c:pt>
                <c:pt idx="5">
                  <c:v>8776.6299999999992</c:v>
                </c:pt>
                <c:pt idx="6">
                  <c:v>10014.869999999997</c:v>
                </c:pt>
                <c:pt idx="7">
                  <c:v>6820.989999999998</c:v>
                </c:pt>
                <c:pt idx="8">
                  <c:v>5370.2300000000005</c:v>
                </c:pt>
                <c:pt idx="9">
                  <c:v>5165.6899999999996</c:v>
                </c:pt>
                <c:pt idx="10">
                  <c:v>4139.8</c:v>
                </c:pt>
                <c:pt idx="11">
                  <c:v>7887.2700000000013</c:v>
                </c:pt>
                <c:pt idx="12">
                  <c:v>3872.9900000000002</c:v>
                </c:pt>
                <c:pt idx="13">
                  <c:v>4418.7199999999993</c:v>
                </c:pt>
                <c:pt idx="14">
                  <c:v>4547.3999999999996</c:v>
                </c:pt>
                <c:pt idx="15">
                  <c:v>5521.4</c:v>
                </c:pt>
                <c:pt idx="16">
                  <c:v>7273.7400000000007</c:v>
                </c:pt>
                <c:pt idx="17">
                  <c:v>5487.75</c:v>
                </c:pt>
                <c:pt idx="18">
                  <c:v>5741.2499999999973</c:v>
                </c:pt>
                <c:pt idx="19">
                  <c:v>7916.79</c:v>
                </c:pt>
                <c:pt idx="20">
                  <c:v>5874.1</c:v>
                </c:pt>
                <c:pt idx="21">
                  <c:v>4702.7300000000005</c:v>
                </c:pt>
                <c:pt idx="22">
                  <c:v>3721.8299999999995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E-4D7B-AC78-D9A5AE5B8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465312"/>
        <c:axId val="962461504"/>
      </c:barChart>
      <c:catAx>
        <c:axId val="96246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1504"/>
        <c:crosses val="autoZero"/>
        <c:auto val="1"/>
        <c:lblAlgn val="ctr"/>
        <c:lblOffset val="100"/>
        <c:noMultiLvlLbl val="0"/>
      </c:catAx>
      <c:valAx>
        <c:axId val="96246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>
                    <a:lumMod val="65000"/>
                    <a:lumOff val="35000"/>
                  </a:schemeClr>
                </a:solidFill>
              </a:rPr>
              <a:t>Distribución por edades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'NAR-EDAD'!$A$56</c:f>
              <c:strCache>
                <c:ptCount val="1"/>
                <c:pt idx="0">
                  <c:v>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'NAR-EDAD'!$B$55:$X$55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'NAR-EDAD'!$B$56:$X$56</c:f>
              <c:numCache>
                <c:formatCode>#,##0</c:formatCode>
                <c:ptCount val="23"/>
                <c:pt idx="0">
                  <c:v>37735.469999999936</c:v>
                </c:pt>
                <c:pt idx="1">
                  <c:v>8668.7599999999984</c:v>
                </c:pt>
                <c:pt idx="2">
                  <c:v>2494.1899999999991</c:v>
                </c:pt>
                <c:pt idx="3">
                  <c:v>2654.53</c:v>
                </c:pt>
                <c:pt idx="4">
                  <c:v>2959.2099999999996</c:v>
                </c:pt>
                <c:pt idx="5">
                  <c:v>4529.3499999999976</c:v>
                </c:pt>
                <c:pt idx="6">
                  <c:v>6073.5899999999992</c:v>
                </c:pt>
                <c:pt idx="7">
                  <c:v>5125.0599999999986</c:v>
                </c:pt>
                <c:pt idx="8">
                  <c:v>3478.0500000000006</c:v>
                </c:pt>
                <c:pt idx="9">
                  <c:v>3358.4300000000003</c:v>
                </c:pt>
                <c:pt idx="10">
                  <c:v>2475.94</c:v>
                </c:pt>
                <c:pt idx="11">
                  <c:v>3826.4700000000012</c:v>
                </c:pt>
                <c:pt idx="12">
                  <c:v>1754.08</c:v>
                </c:pt>
                <c:pt idx="13">
                  <c:v>1805.5100000000002</c:v>
                </c:pt>
                <c:pt idx="14">
                  <c:v>1744.5500000000002</c:v>
                </c:pt>
                <c:pt idx="15">
                  <c:v>1623.8100000000004</c:v>
                </c:pt>
                <c:pt idx="16">
                  <c:v>1937.94</c:v>
                </c:pt>
                <c:pt idx="17">
                  <c:v>1806.0099999999998</c:v>
                </c:pt>
                <c:pt idx="18">
                  <c:v>2506.7399999999993</c:v>
                </c:pt>
                <c:pt idx="19">
                  <c:v>4083.55</c:v>
                </c:pt>
                <c:pt idx="20">
                  <c:v>3008.0700000000006</c:v>
                </c:pt>
                <c:pt idx="21">
                  <c:v>2260.0300000000002</c:v>
                </c:pt>
                <c:pt idx="22">
                  <c:v>2028.3199999999995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8-42AE-94C8-1A6940895719}"/>
            </c:ext>
          </c:extLst>
        </c:ser>
        <c:ser>
          <c:idx val="1"/>
          <c:order val="1"/>
          <c:tx>
            <c:strRef>
              <c:f>'NAR-EDAD'!$A$57</c:f>
              <c:strCache>
                <c:ptCount val="1"/>
                <c:pt idx="0">
                  <c:v>PEQUEÑOS CÍTRICOS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'NAR-EDAD'!$B$55:$X$55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'NAR-EDAD'!$B$57:$X$57</c:f>
              <c:numCache>
                <c:formatCode>#,##0</c:formatCode>
                <c:ptCount val="23"/>
                <c:pt idx="0">
                  <c:v>27018.139999999967</c:v>
                </c:pt>
                <c:pt idx="1">
                  <c:v>7973.6600000000026</c:v>
                </c:pt>
                <c:pt idx="2">
                  <c:v>2340.5100000000002</c:v>
                </c:pt>
                <c:pt idx="3">
                  <c:v>2779.16</c:v>
                </c:pt>
                <c:pt idx="4">
                  <c:v>2437</c:v>
                </c:pt>
                <c:pt idx="5">
                  <c:v>3801.8700000000013</c:v>
                </c:pt>
                <c:pt idx="6">
                  <c:v>3006.1799999999976</c:v>
                </c:pt>
                <c:pt idx="7">
                  <c:v>1410.9199999999996</c:v>
                </c:pt>
                <c:pt idx="8">
                  <c:v>1461.5799999999997</c:v>
                </c:pt>
                <c:pt idx="9">
                  <c:v>1414.7199999999996</c:v>
                </c:pt>
                <c:pt idx="10">
                  <c:v>1284.1999999999998</c:v>
                </c:pt>
                <c:pt idx="11">
                  <c:v>2732.8399999999997</c:v>
                </c:pt>
                <c:pt idx="12">
                  <c:v>1521.9100000000003</c:v>
                </c:pt>
                <c:pt idx="13">
                  <c:v>1998.0399999999993</c:v>
                </c:pt>
                <c:pt idx="14">
                  <c:v>1909.73</c:v>
                </c:pt>
                <c:pt idx="15">
                  <c:v>2520.6299999999992</c:v>
                </c:pt>
                <c:pt idx="16">
                  <c:v>3563.0900000000006</c:v>
                </c:pt>
                <c:pt idx="17">
                  <c:v>2221.6400000000008</c:v>
                </c:pt>
                <c:pt idx="18">
                  <c:v>1804.2799999999995</c:v>
                </c:pt>
                <c:pt idx="19">
                  <c:v>1837.3600000000004</c:v>
                </c:pt>
                <c:pt idx="20">
                  <c:v>1359.6700000000003</c:v>
                </c:pt>
                <c:pt idx="21">
                  <c:v>1205.0300000000002</c:v>
                </c:pt>
                <c:pt idx="22">
                  <c:v>850.68000000000006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8-42AE-94C8-1A6940895719}"/>
            </c:ext>
          </c:extLst>
        </c:ser>
        <c:ser>
          <c:idx val="2"/>
          <c:order val="2"/>
          <c:tx>
            <c:strRef>
              <c:f>'NAR-EDAD'!$A$58</c:f>
              <c:strCache>
                <c:ptCount val="1"/>
                <c:pt idx="0">
                  <c:v>LIMONERO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'NAR-EDAD'!$B$55:$X$55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'NAR-EDAD'!$B$58:$X$58</c:f>
              <c:numCache>
                <c:formatCode>#,##0</c:formatCode>
                <c:ptCount val="23"/>
                <c:pt idx="0">
                  <c:v>9683.3499999999985</c:v>
                </c:pt>
                <c:pt idx="1">
                  <c:v>2655.3399999999988</c:v>
                </c:pt>
                <c:pt idx="2">
                  <c:v>656.99</c:v>
                </c:pt>
                <c:pt idx="3">
                  <c:v>436.97</c:v>
                </c:pt>
                <c:pt idx="4">
                  <c:v>399.24000000000007</c:v>
                </c:pt>
                <c:pt idx="5">
                  <c:v>403.16</c:v>
                </c:pt>
                <c:pt idx="6">
                  <c:v>848.61</c:v>
                </c:pt>
                <c:pt idx="7">
                  <c:v>215.63</c:v>
                </c:pt>
                <c:pt idx="8">
                  <c:v>344.78999999999996</c:v>
                </c:pt>
                <c:pt idx="9">
                  <c:v>329.12999999999994</c:v>
                </c:pt>
                <c:pt idx="10">
                  <c:v>349.21000000000004</c:v>
                </c:pt>
                <c:pt idx="11">
                  <c:v>1189.1199999999997</c:v>
                </c:pt>
                <c:pt idx="12">
                  <c:v>534.32999999999981</c:v>
                </c:pt>
                <c:pt idx="13">
                  <c:v>562.89</c:v>
                </c:pt>
                <c:pt idx="14">
                  <c:v>853.89</c:v>
                </c:pt>
                <c:pt idx="15">
                  <c:v>1272.22</c:v>
                </c:pt>
                <c:pt idx="16">
                  <c:v>1679.5900000000004</c:v>
                </c:pt>
                <c:pt idx="17">
                  <c:v>1336.5599999999997</c:v>
                </c:pt>
                <c:pt idx="18">
                  <c:v>1301.4499999999994</c:v>
                </c:pt>
                <c:pt idx="19">
                  <c:v>1861.9999999999993</c:v>
                </c:pt>
                <c:pt idx="20">
                  <c:v>1309.5400000000002</c:v>
                </c:pt>
                <c:pt idx="21">
                  <c:v>1032.96</c:v>
                </c:pt>
                <c:pt idx="22">
                  <c:v>743.81000000000006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28-42AE-94C8-1A6940895719}"/>
            </c:ext>
          </c:extLst>
        </c:ser>
        <c:ser>
          <c:idx val="3"/>
          <c:order val="3"/>
          <c:tx>
            <c:strRef>
              <c:f>'NAR-EDAD'!$A$59</c:f>
              <c:strCache>
                <c:ptCount val="1"/>
                <c:pt idx="0">
                  <c:v>POMELO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'NAR-EDAD'!$B$55:$X$55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'NAR-EDAD'!$B$59:$X$59</c:f>
              <c:numCache>
                <c:formatCode>#,##0</c:formatCode>
                <c:ptCount val="23"/>
                <c:pt idx="0">
                  <c:v>264.55999999999995</c:v>
                </c:pt>
                <c:pt idx="1">
                  <c:v>138.91</c:v>
                </c:pt>
                <c:pt idx="2">
                  <c:v>46.379999999999995</c:v>
                </c:pt>
                <c:pt idx="3">
                  <c:v>34.700000000000003</c:v>
                </c:pt>
                <c:pt idx="4">
                  <c:v>93.210000000000008</c:v>
                </c:pt>
                <c:pt idx="5">
                  <c:v>42.25</c:v>
                </c:pt>
                <c:pt idx="6">
                  <c:v>86.490000000000009</c:v>
                </c:pt>
                <c:pt idx="7">
                  <c:v>69.38</c:v>
                </c:pt>
                <c:pt idx="8">
                  <c:v>85.81</c:v>
                </c:pt>
                <c:pt idx="9">
                  <c:v>63.41</c:v>
                </c:pt>
                <c:pt idx="10">
                  <c:v>30.45</c:v>
                </c:pt>
                <c:pt idx="11">
                  <c:v>138.84</c:v>
                </c:pt>
                <c:pt idx="12">
                  <c:v>62.67</c:v>
                </c:pt>
                <c:pt idx="13">
                  <c:v>52.28</c:v>
                </c:pt>
                <c:pt idx="14">
                  <c:v>39.230000000000004</c:v>
                </c:pt>
                <c:pt idx="15">
                  <c:v>104.74000000000001</c:v>
                </c:pt>
                <c:pt idx="16">
                  <c:v>93.12</c:v>
                </c:pt>
                <c:pt idx="17">
                  <c:v>123.53999999999999</c:v>
                </c:pt>
                <c:pt idx="18">
                  <c:v>128.78</c:v>
                </c:pt>
                <c:pt idx="19">
                  <c:v>133.88</c:v>
                </c:pt>
                <c:pt idx="20">
                  <c:v>196.82</c:v>
                </c:pt>
                <c:pt idx="21">
                  <c:v>204.71</c:v>
                </c:pt>
                <c:pt idx="22">
                  <c:v>99.02000000000001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8-42AE-94C8-1A694089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59328"/>
        <c:axId val="962471840"/>
      </c:barChart>
      <c:catAx>
        <c:axId val="96245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71840"/>
        <c:crosses val="autoZero"/>
        <c:auto val="1"/>
        <c:lblAlgn val="ctr"/>
        <c:lblOffset val="100"/>
        <c:noMultiLvlLbl val="0"/>
      </c:catAx>
      <c:valAx>
        <c:axId val="962471840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Distribución por </a:t>
            </a:r>
            <a:r>
              <a:rPr lang="es-ES">
                <a:solidFill>
                  <a:schemeClr val="tx1">
                    <a:lumMod val="65000"/>
                    <a:lumOff val="35000"/>
                  </a:schemeClr>
                </a:solidFill>
              </a:rPr>
              <a:t>edades</a:t>
            </a:r>
            <a:r>
              <a:rPr lang="es-ES">
                <a:solidFill>
                  <a:sysClr val="windowText" lastClr="000000"/>
                </a:solidFill>
              </a:rPr>
              <a:t>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'NAR-EDAD'!$A$56</c:f>
              <c:strCache>
                <c:ptCount val="1"/>
                <c:pt idx="0">
                  <c:v>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'NAR-EDAD'!$B$55:$X$55</c15:sqref>
                  </c15:fullRef>
                </c:ext>
              </c:extLst>
              <c:f>'NAR-EDAD'!$C$55:$X$55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'NAR-EDAD'!$B$56:$X$56</c15:sqref>
                  </c15:fullRef>
                </c:ext>
              </c:extLst>
              <c:f>'NAR-EDAD'!$C$56:$X$56</c:f>
              <c:numCache>
                <c:formatCode>#,##0</c:formatCode>
                <c:ptCount val="22"/>
                <c:pt idx="0">
                  <c:v>8668.7599999999984</c:v>
                </c:pt>
                <c:pt idx="1">
                  <c:v>2494.1899999999991</c:v>
                </c:pt>
                <c:pt idx="2">
                  <c:v>2654.53</c:v>
                </c:pt>
                <c:pt idx="3">
                  <c:v>2959.2099999999996</c:v>
                </c:pt>
                <c:pt idx="4">
                  <c:v>4529.3499999999976</c:v>
                </c:pt>
                <c:pt idx="5">
                  <c:v>6073.5899999999992</c:v>
                </c:pt>
                <c:pt idx="6">
                  <c:v>5125.0599999999986</c:v>
                </c:pt>
                <c:pt idx="7">
                  <c:v>3478.0500000000006</c:v>
                </c:pt>
                <c:pt idx="8">
                  <c:v>3358.4300000000003</c:v>
                </c:pt>
                <c:pt idx="9">
                  <c:v>2475.94</c:v>
                </c:pt>
                <c:pt idx="10">
                  <c:v>3826.4700000000012</c:v>
                </c:pt>
                <c:pt idx="11">
                  <c:v>1754.08</c:v>
                </c:pt>
                <c:pt idx="12">
                  <c:v>1805.5100000000002</c:v>
                </c:pt>
                <c:pt idx="13">
                  <c:v>1744.5500000000002</c:v>
                </c:pt>
                <c:pt idx="14">
                  <c:v>1623.8100000000004</c:v>
                </c:pt>
                <c:pt idx="15">
                  <c:v>1937.94</c:v>
                </c:pt>
                <c:pt idx="16">
                  <c:v>1806.0099999999998</c:v>
                </c:pt>
                <c:pt idx="17">
                  <c:v>2506.7399999999993</c:v>
                </c:pt>
                <c:pt idx="18">
                  <c:v>4083.55</c:v>
                </c:pt>
                <c:pt idx="19">
                  <c:v>3008.0700000000006</c:v>
                </c:pt>
                <c:pt idx="20">
                  <c:v>2260.0300000000002</c:v>
                </c:pt>
                <c:pt idx="21">
                  <c:v>2028.3199999999995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8-42AE-94C8-1A6940895719}"/>
            </c:ext>
          </c:extLst>
        </c:ser>
        <c:ser>
          <c:idx val="1"/>
          <c:order val="1"/>
          <c:tx>
            <c:strRef>
              <c:f>'NAR-EDAD'!$A$57</c:f>
              <c:strCache>
                <c:ptCount val="1"/>
                <c:pt idx="0">
                  <c:v>PEQUEÑOS CÍTRICOS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'NAR-EDAD'!$B$55:$X$55</c15:sqref>
                  </c15:fullRef>
                </c:ext>
              </c:extLst>
              <c:f>'NAR-EDAD'!$C$55:$X$55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'NAR-EDAD'!$B$57:$X$57</c15:sqref>
                  </c15:fullRef>
                </c:ext>
              </c:extLst>
              <c:f>'NAR-EDAD'!$C$57:$X$57</c:f>
              <c:numCache>
                <c:formatCode>#,##0</c:formatCode>
                <c:ptCount val="22"/>
                <c:pt idx="0">
                  <c:v>7973.6600000000026</c:v>
                </c:pt>
                <c:pt idx="1">
                  <c:v>2340.5100000000002</c:v>
                </c:pt>
                <c:pt idx="2">
                  <c:v>2779.16</c:v>
                </c:pt>
                <c:pt idx="3">
                  <c:v>2437</c:v>
                </c:pt>
                <c:pt idx="4">
                  <c:v>3801.8700000000013</c:v>
                </c:pt>
                <c:pt idx="5">
                  <c:v>3006.1799999999976</c:v>
                </c:pt>
                <c:pt idx="6">
                  <c:v>1410.9199999999996</c:v>
                </c:pt>
                <c:pt idx="7">
                  <c:v>1461.5799999999997</c:v>
                </c:pt>
                <c:pt idx="8">
                  <c:v>1414.7199999999996</c:v>
                </c:pt>
                <c:pt idx="9">
                  <c:v>1284.1999999999998</c:v>
                </c:pt>
                <c:pt idx="10">
                  <c:v>2732.8399999999997</c:v>
                </c:pt>
                <c:pt idx="11">
                  <c:v>1521.9100000000003</c:v>
                </c:pt>
                <c:pt idx="12">
                  <c:v>1998.0399999999993</c:v>
                </c:pt>
                <c:pt idx="13">
                  <c:v>1909.73</c:v>
                </c:pt>
                <c:pt idx="14">
                  <c:v>2520.6299999999992</c:v>
                </c:pt>
                <c:pt idx="15">
                  <c:v>3563.0900000000006</c:v>
                </c:pt>
                <c:pt idx="16">
                  <c:v>2221.6400000000008</c:v>
                </c:pt>
                <c:pt idx="17">
                  <c:v>1804.2799999999995</c:v>
                </c:pt>
                <c:pt idx="18">
                  <c:v>1837.3600000000004</c:v>
                </c:pt>
                <c:pt idx="19">
                  <c:v>1359.6700000000003</c:v>
                </c:pt>
                <c:pt idx="20">
                  <c:v>1205.0300000000002</c:v>
                </c:pt>
                <c:pt idx="21">
                  <c:v>850.68000000000006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8-42AE-94C8-1A6940895719}"/>
            </c:ext>
          </c:extLst>
        </c:ser>
        <c:ser>
          <c:idx val="2"/>
          <c:order val="2"/>
          <c:tx>
            <c:strRef>
              <c:f>'NAR-EDAD'!$A$58</c:f>
              <c:strCache>
                <c:ptCount val="1"/>
                <c:pt idx="0">
                  <c:v>LIMONERO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'NAR-EDAD'!$B$55:$X$55</c15:sqref>
                  </c15:fullRef>
                </c:ext>
              </c:extLst>
              <c:f>'NAR-EDAD'!$C$55:$X$55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'NAR-EDAD'!$B$58:$X$58</c15:sqref>
                  </c15:fullRef>
                </c:ext>
              </c:extLst>
              <c:f>'NAR-EDAD'!$C$58:$X$58</c:f>
              <c:numCache>
                <c:formatCode>#,##0</c:formatCode>
                <c:ptCount val="22"/>
                <c:pt idx="0">
                  <c:v>2655.3399999999988</c:v>
                </c:pt>
                <c:pt idx="1">
                  <c:v>656.99</c:v>
                </c:pt>
                <c:pt idx="2">
                  <c:v>436.97</c:v>
                </c:pt>
                <c:pt idx="3">
                  <c:v>399.24000000000007</c:v>
                </c:pt>
                <c:pt idx="4">
                  <c:v>403.16</c:v>
                </c:pt>
                <c:pt idx="5">
                  <c:v>848.61</c:v>
                </c:pt>
                <c:pt idx="6">
                  <c:v>215.63</c:v>
                </c:pt>
                <c:pt idx="7">
                  <c:v>344.78999999999996</c:v>
                </c:pt>
                <c:pt idx="8">
                  <c:v>329.12999999999994</c:v>
                </c:pt>
                <c:pt idx="9">
                  <c:v>349.21000000000004</c:v>
                </c:pt>
                <c:pt idx="10">
                  <c:v>1189.1199999999997</c:v>
                </c:pt>
                <c:pt idx="11">
                  <c:v>534.32999999999981</c:v>
                </c:pt>
                <c:pt idx="12">
                  <c:v>562.89</c:v>
                </c:pt>
                <c:pt idx="13">
                  <c:v>853.89</c:v>
                </c:pt>
                <c:pt idx="14">
                  <c:v>1272.22</c:v>
                </c:pt>
                <c:pt idx="15">
                  <c:v>1679.5900000000004</c:v>
                </c:pt>
                <c:pt idx="16">
                  <c:v>1336.5599999999997</c:v>
                </c:pt>
                <c:pt idx="17">
                  <c:v>1301.4499999999994</c:v>
                </c:pt>
                <c:pt idx="18">
                  <c:v>1861.9999999999993</c:v>
                </c:pt>
                <c:pt idx="19">
                  <c:v>1309.5400000000002</c:v>
                </c:pt>
                <c:pt idx="20">
                  <c:v>1032.96</c:v>
                </c:pt>
                <c:pt idx="21">
                  <c:v>743.81000000000006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28-42AE-94C8-1A6940895719}"/>
            </c:ext>
          </c:extLst>
        </c:ser>
        <c:ser>
          <c:idx val="3"/>
          <c:order val="3"/>
          <c:tx>
            <c:strRef>
              <c:f>'NAR-EDAD'!$A$59</c:f>
              <c:strCache>
                <c:ptCount val="1"/>
                <c:pt idx="0">
                  <c:v>POMELO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'NAR-EDAD'!$B$55:$X$55</c15:sqref>
                  </c15:fullRef>
                </c:ext>
              </c:extLst>
              <c:f>'NAR-EDAD'!$C$55:$X$55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'NAR-EDAD'!$B$59:$X$59</c15:sqref>
                  </c15:fullRef>
                </c:ext>
              </c:extLst>
              <c:f>'NAR-EDAD'!$C$59:$X$59</c:f>
              <c:numCache>
                <c:formatCode>#,##0</c:formatCode>
                <c:ptCount val="22"/>
                <c:pt idx="0">
                  <c:v>138.91</c:v>
                </c:pt>
                <c:pt idx="1">
                  <c:v>46.379999999999995</c:v>
                </c:pt>
                <c:pt idx="2">
                  <c:v>34.700000000000003</c:v>
                </c:pt>
                <c:pt idx="3">
                  <c:v>93.210000000000008</c:v>
                </c:pt>
                <c:pt idx="4">
                  <c:v>42.25</c:v>
                </c:pt>
                <c:pt idx="5">
                  <c:v>86.490000000000009</c:v>
                </c:pt>
                <c:pt idx="6">
                  <c:v>69.38</c:v>
                </c:pt>
                <c:pt idx="7">
                  <c:v>85.81</c:v>
                </c:pt>
                <c:pt idx="8">
                  <c:v>63.41</c:v>
                </c:pt>
                <c:pt idx="9">
                  <c:v>30.45</c:v>
                </c:pt>
                <c:pt idx="10">
                  <c:v>138.84</c:v>
                </c:pt>
                <c:pt idx="11">
                  <c:v>62.67</c:v>
                </c:pt>
                <c:pt idx="12">
                  <c:v>52.28</c:v>
                </c:pt>
                <c:pt idx="13">
                  <c:v>39.230000000000004</c:v>
                </c:pt>
                <c:pt idx="14">
                  <c:v>104.74000000000001</c:v>
                </c:pt>
                <c:pt idx="15">
                  <c:v>93.12</c:v>
                </c:pt>
                <c:pt idx="16">
                  <c:v>123.53999999999999</c:v>
                </c:pt>
                <c:pt idx="17">
                  <c:v>128.78</c:v>
                </c:pt>
                <c:pt idx="18">
                  <c:v>133.88</c:v>
                </c:pt>
                <c:pt idx="19">
                  <c:v>196.82</c:v>
                </c:pt>
                <c:pt idx="20">
                  <c:v>204.71</c:v>
                </c:pt>
                <c:pt idx="21">
                  <c:v>99.02000000000001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8-42AE-94C8-1A694089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66944"/>
        <c:axId val="962472384"/>
      </c:barChart>
      <c:catAx>
        <c:axId val="962466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72384"/>
        <c:crosses val="autoZero"/>
        <c:auto val="1"/>
        <c:lblAlgn val="ctr"/>
        <c:lblOffset val="100"/>
        <c:noMultiLvlLbl val="0"/>
      </c:catAx>
      <c:valAx>
        <c:axId val="962472384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>
                    <a:lumMod val="65000"/>
                    <a:lumOff val="35000"/>
                  </a:schemeClr>
                </a:solidFill>
              </a:rPr>
              <a:t>Distribución por edades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'NAR-EDAD'!$A$56</c:f>
              <c:strCache>
                <c:ptCount val="1"/>
                <c:pt idx="0">
                  <c:v>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'NAR-EDAD'!$C$55:$X$55</c:f>
              <c:numCache>
                <c:formatCode>#,##0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'NAR-EDAD'!$C$56:$X$56</c:f>
              <c:numCache>
                <c:formatCode>#,##0</c:formatCode>
                <c:ptCount val="22"/>
                <c:pt idx="0">
                  <c:v>8668.7599999999984</c:v>
                </c:pt>
                <c:pt idx="1">
                  <c:v>2494.1899999999991</c:v>
                </c:pt>
                <c:pt idx="2">
                  <c:v>2654.53</c:v>
                </c:pt>
                <c:pt idx="3">
                  <c:v>2959.2099999999996</c:v>
                </c:pt>
                <c:pt idx="4">
                  <c:v>4529.3499999999976</c:v>
                </c:pt>
                <c:pt idx="5">
                  <c:v>6073.5899999999992</c:v>
                </c:pt>
                <c:pt idx="6">
                  <c:v>5125.0599999999986</c:v>
                </c:pt>
                <c:pt idx="7">
                  <c:v>3478.0500000000006</c:v>
                </c:pt>
                <c:pt idx="8">
                  <c:v>3358.4300000000003</c:v>
                </c:pt>
                <c:pt idx="9">
                  <c:v>2475.94</c:v>
                </c:pt>
                <c:pt idx="10">
                  <c:v>3826.4700000000012</c:v>
                </c:pt>
                <c:pt idx="11">
                  <c:v>1754.08</c:v>
                </c:pt>
                <c:pt idx="12">
                  <c:v>1805.5100000000002</c:v>
                </c:pt>
                <c:pt idx="13">
                  <c:v>1744.5500000000002</c:v>
                </c:pt>
                <c:pt idx="14">
                  <c:v>1623.8100000000004</c:v>
                </c:pt>
                <c:pt idx="15">
                  <c:v>1937.94</c:v>
                </c:pt>
                <c:pt idx="16">
                  <c:v>1806.0099999999998</c:v>
                </c:pt>
                <c:pt idx="17">
                  <c:v>2506.7399999999993</c:v>
                </c:pt>
                <c:pt idx="18">
                  <c:v>4083.55</c:v>
                </c:pt>
                <c:pt idx="19">
                  <c:v>3008.0700000000006</c:v>
                </c:pt>
                <c:pt idx="20">
                  <c:v>2260.0300000000002</c:v>
                </c:pt>
                <c:pt idx="21">
                  <c:v>2028.3199999999995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8-42AE-94C8-1A6940895719}"/>
            </c:ext>
          </c:extLst>
        </c:ser>
        <c:ser>
          <c:idx val="1"/>
          <c:order val="1"/>
          <c:tx>
            <c:strRef>
              <c:f>'NAR-EDAD'!$A$57</c:f>
              <c:strCache>
                <c:ptCount val="1"/>
                <c:pt idx="0">
                  <c:v>PEQUEÑOS CÍTRICOS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'NAR-EDAD'!$C$55:$X$55</c:f>
              <c:numCache>
                <c:formatCode>#,##0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'NAR-EDAD'!$C$57:$X$57</c:f>
              <c:numCache>
                <c:formatCode>#,##0</c:formatCode>
                <c:ptCount val="22"/>
                <c:pt idx="0">
                  <c:v>7973.6600000000026</c:v>
                </c:pt>
                <c:pt idx="1">
                  <c:v>2340.5100000000002</c:v>
                </c:pt>
                <c:pt idx="2">
                  <c:v>2779.16</c:v>
                </c:pt>
                <c:pt idx="3">
                  <c:v>2437</c:v>
                </c:pt>
                <c:pt idx="4">
                  <c:v>3801.8700000000013</c:v>
                </c:pt>
                <c:pt idx="5">
                  <c:v>3006.1799999999976</c:v>
                </c:pt>
                <c:pt idx="6">
                  <c:v>1410.9199999999996</c:v>
                </c:pt>
                <c:pt idx="7">
                  <c:v>1461.5799999999997</c:v>
                </c:pt>
                <c:pt idx="8">
                  <c:v>1414.7199999999996</c:v>
                </c:pt>
                <c:pt idx="9">
                  <c:v>1284.1999999999998</c:v>
                </c:pt>
                <c:pt idx="10">
                  <c:v>2732.8399999999997</c:v>
                </c:pt>
                <c:pt idx="11">
                  <c:v>1521.9100000000003</c:v>
                </c:pt>
                <c:pt idx="12">
                  <c:v>1998.0399999999993</c:v>
                </c:pt>
                <c:pt idx="13">
                  <c:v>1909.73</c:v>
                </c:pt>
                <c:pt idx="14">
                  <c:v>2520.6299999999992</c:v>
                </c:pt>
                <c:pt idx="15">
                  <c:v>3563.0900000000006</c:v>
                </c:pt>
                <c:pt idx="16">
                  <c:v>2221.6400000000008</c:v>
                </c:pt>
                <c:pt idx="17">
                  <c:v>1804.2799999999995</c:v>
                </c:pt>
                <c:pt idx="18">
                  <c:v>1837.3600000000004</c:v>
                </c:pt>
                <c:pt idx="19">
                  <c:v>1359.6700000000003</c:v>
                </c:pt>
                <c:pt idx="20">
                  <c:v>1205.0300000000002</c:v>
                </c:pt>
                <c:pt idx="21">
                  <c:v>850.68000000000006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8-42AE-94C8-1A6940895719}"/>
            </c:ext>
          </c:extLst>
        </c:ser>
        <c:ser>
          <c:idx val="2"/>
          <c:order val="2"/>
          <c:tx>
            <c:strRef>
              <c:f>'NAR-EDAD'!$A$58</c:f>
              <c:strCache>
                <c:ptCount val="1"/>
                <c:pt idx="0">
                  <c:v>LIMONERO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'NAR-EDAD'!$C$55:$X$55</c:f>
              <c:numCache>
                <c:formatCode>#,##0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'NAR-EDAD'!$C$58:$X$58</c:f>
              <c:numCache>
                <c:formatCode>#,##0</c:formatCode>
                <c:ptCount val="22"/>
                <c:pt idx="0">
                  <c:v>2655.3399999999988</c:v>
                </c:pt>
                <c:pt idx="1">
                  <c:v>656.99</c:v>
                </c:pt>
                <c:pt idx="2">
                  <c:v>436.97</c:v>
                </c:pt>
                <c:pt idx="3">
                  <c:v>399.24000000000007</c:v>
                </c:pt>
                <c:pt idx="4">
                  <c:v>403.16</c:v>
                </c:pt>
                <c:pt idx="5">
                  <c:v>848.61</c:v>
                </c:pt>
                <c:pt idx="6">
                  <c:v>215.63</c:v>
                </c:pt>
                <c:pt idx="7">
                  <c:v>344.78999999999996</c:v>
                </c:pt>
                <c:pt idx="8">
                  <c:v>329.12999999999994</c:v>
                </c:pt>
                <c:pt idx="9">
                  <c:v>349.21000000000004</c:v>
                </c:pt>
                <c:pt idx="10">
                  <c:v>1189.1199999999997</c:v>
                </c:pt>
                <c:pt idx="11">
                  <c:v>534.32999999999981</c:v>
                </c:pt>
                <c:pt idx="12">
                  <c:v>562.89</c:v>
                </c:pt>
                <c:pt idx="13">
                  <c:v>853.89</c:v>
                </c:pt>
                <c:pt idx="14">
                  <c:v>1272.22</c:v>
                </c:pt>
                <c:pt idx="15">
                  <c:v>1679.5900000000004</c:v>
                </c:pt>
                <c:pt idx="16">
                  <c:v>1336.5599999999997</c:v>
                </c:pt>
                <c:pt idx="17">
                  <c:v>1301.4499999999994</c:v>
                </c:pt>
                <c:pt idx="18">
                  <c:v>1861.9999999999993</c:v>
                </c:pt>
                <c:pt idx="19">
                  <c:v>1309.5400000000002</c:v>
                </c:pt>
                <c:pt idx="20">
                  <c:v>1032.96</c:v>
                </c:pt>
                <c:pt idx="21">
                  <c:v>743.81000000000006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28-42AE-94C8-1A6940895719}"/>
            </c:ext>
          </c:extLst>
        </c:ser>
        <c:ser>
          <c:idx val="3"/>
          <c:order val="3"/>
          <c:tx>
            <c:strRef>
              <c:f>'NAR-EDAD'!$A$59</c:f>
              <c:strCache>
                <c:ptCount val="1"/>
                <c:pt idx="0">
                  <c:v>POMELO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'NAR-EDAD'!$C$55:$X$55</c:f>
              <c:numCache>
                <c:formatCode>#,##0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'NAR-EDAD'!$C$59:$X$59</c:f>
              <c:numCache>
                <c:formatCode>#,##0</c:formatCode>
                <c:ptCount val="22"/>
                <c:pt idx="0">
                  <c:v>138.91</c:v>
                </c:pt>
                <c:pt idx="1">
                  <c:v>46.379999999999995</c:v>
                </c:pt>
                <c:pt idx="2">
                  <c:v>34.700000000000003</c:v>
                </c:pt>
                <c:pt idx="3">
                  <c:v>93.210000000000008</c:v>
                </c:pt>
                <c:pt idx="4">
                  <c:v>42.25</c:v>
                </c:pt>
                <c:pt idx="5">
                  <c:v>86.490000000000009</c:v>
                </c:pt>
                <c:pt idx="6">
                  <c:v>69.38</c:v>
                </c:pt>
                <c:pt idx="7">
                  <c:v>85.81</c:v>
                </c:pt>
                <c:pt idx="8">
                  <c:v>63.41</c:v>
                </c:pt>
                <c:pt idx="9">
                  <c:v>30.45</c:v>
                </c:pt>
                <c:pt idx="10">
                  <c:v>138.84</c:v>
                </c:pt>
                <c:pt idx="11">
                  <c:v>62.67</c:v>
                </c:pt>
                <c:pt idx="12">
                  <c:v>52.28</c:v>
                </c:pt>
                <c:pt idx="13">
                  <c:v>39.230000000000004</c:v>
                </c:pt>
                <c:pt idx="14">
                  <c:v>104.74000000000001</c:v>
                </c:pt>
                <c:pt idx="15">
                  <c:v>93.12</c:v>
                </c:pt>
                <c:pt idx="16">
                  <c:v>123.53999999999999</c:v>
                </c:pt>
                <c:pt idx="17">
                  <c:v>128.78</c:v>
                </c:pt>
                <c:pt idx="18">
                  <c:v>133.88</c:v>
                </c:pt>
                <c:pt idx="19">
                  <c:v>196.82</c:v>
                </c:pt>
                <c:pt idx="20">
                  <c:v>204.71</c:v>
                </c:pt>
                <c:pt idx="21">
                  <c:v>99.02000000000001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8-42AE-94C8-1A694089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36688"/>
        <c:axId val="966433424"/>
      </c:barChart>
      <c:lineChart>
        <c:grouping val="standard"/>
        <c:varyColors val="0"/>
        <c:ser>
          <c:idx val="4"/>
          <c:order val="4"/>
          <c:tx>
            <c:strRef>
              <c:f>'NAR-EDAD'!$A$61</c:f>
              <c:strCache>
                <c:ptCount val="1"/>
                <c:pt idx="0">
                  <c:v>% NARANJO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'NAR-EDAD'!$C$61:$X$61</c:f>
              <c:numCache>
                <c:formatCode>0%</c:formatCode>
                <c:ptCount val="22"/>
                <c:pt idx="0">
                  <c:v>8.0203900632119379E-2</c:v>
                </c:pt>
                <c:pt idx="1">
                  <c:v>2.3076399267902885E-2</c:v>
                </c:pt>
                <c:pt idx="2">
                  <c:v>2.4559874808505473E-2</c:v>
                </c:pt>
                <c:pt idx="3">
                  <c:v>2.7378792905741307E-2</c:v>
                </c:pt>
                <c:pt idx="4">
                  <c:v>4.1905824746340858E-2</c:v>
                </c:pt>
                <c:pt idx="5">
                  <c:v>5.6193228194140105E-2</c:v>
                </c:pt>
                <c:pt idx="6">
                  <c:v>4.7417370301363712E-2</c:v>
                </c:pt>
                <c:pt idx="7">
                  <c:v>3.2179132493406544E-2</c:v>
                </c:pt>
                <c:pt idx="8">
                  <c:v>3.107240089700589E-2</c:v>
                </c:pt>
                <c:pt idx="9">
                  <c:v>2.2907549145562884E-2</c:v>
                </c:pt>
                <c:pt idx="10">
                  <c:v>3.5402735760568523E-2</c:v>
                </c:pt>
                <c:pt idx="11">
                  <c:v>1.6228856032556905E-2</c:v>
                </c:pt>
                <c:pt idx="12">
                  <c:v>1.6704689555403301E-2</c:v>
                </c:pt>
                <c:pt idx="13">
                  <c:v>1.6140683886480177E-2</c:v>
                </c:pt>
                <c:pt idx="14">
                  <c:v>1.5023589981201674E-2</c:v>
                </c:pt>
                <c:pt idx="15">
                  <c:v>1.792994005959439E-2</c:v>
                </c:pt>
                <c:pt idx="16">
                  <c:v>1.6709315586152337E-2</c:v>
                </c:pt>
                <c:pt idx="17">
                  <c:v>2.3192512639703823E-2</c:v>
                </c:pt>
                <c:pt idx="18">
                  <c:v>3.7781255730495615E-2</c:v>
                </c:pt>
                <c:pt idx="19">
                  <c:v>2.7830848630537638E-2</c:v>
                </c:pt>
                <c:pt idx="20">
                  <c:v>2.0909936547511849E-2</c:v>
                </c:pt>
                <c:pt idx="21">
                  <c:v>1.8766141377791101E-2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F-4ADD-87F3-5EF672F26763}"/>
            </c:ext>
          </c:extLst>
        </c:ser>
        <c:ser>
          <c:idx val="5"/>
          <c:order val="5"/>
          <c:tx>
            <c:strRef>
              <c:f>'NAR-EDAD'!$A$62</c:f>
              <c:strCache>
                <c:ptCount val="1"/>
                <c:pt idx="0">
                  <c:v>% PEQUEÑOS CÍTRICOS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'NAR-EDAD'!$C$62:$X$62</c:f>
              <c:numCache>
                <c:formatCode>0%</c:formatCode>
                <c:ptCount val="22"/>
                <c:pt idx="0">
                  <c:v>0.1015090277378181</c:v>
                </c:pt>
                <c:pt idx="1">
                  <c:v>2.9795965028687026E-2</c:v>
                </c:pt>
                <c:pt idx="2">
                  <c:v>3.5380218058938359E-2</c:v>
                </c:pt>
                <c:pt idx="3">
                  <c:v>3.1024335198273141E-2</c:v>
                </c:pt>
                <c:pt idx="4">
                  <c:v>4.8399872490873512E-2</c:v>
                </c:pt>
                <c:pt idx="5">
                  <c:v>3.8270306108471347E-2</c:v>
                </c:pt>
                <c:pt idx="6">
                  <c:v>1.7961778833790534E-2</c:v>
                </c:pt>
                <c:pt idx="7">
                  <c:v>1.860670818181865E-2</c:v>
                </c:pt>
                <c:pt idx="8">
                  <c:v>1.8010154900164534E-2</c:v>
                </c:pt>
                <c:pt idx="9">
                  <c:v>1.6348564325655464E-2</c:v>
                </c:pt>
                <c:pt idx="10">
                  <c:v>3.479053927092686E-2</c:v>
                </c:pt>
                <c:pt idx="11">
                  <c:v>1.9374741888224821E-2</c:v>
                </c:pt>
                <c:pt idx="12">
                  <c:v>2.5436135699449178E-2</c:v>
                </c:pt>
                <c:pt idx="13">
                  <c:v>2.4311901378004992E-2</c:v>
                </c:pt>
                <c:pt idx="14">
                  <c:v>3.208899057481461E-2</c:v>
                </c:pt>
                <c:pt idx="15">
                  <c:v>4.5360073246456738E-2</c:v>
                </c:pt>
                <c:pt idx="16">
                  <c:v>2.8282685289245615E-2</c:v>
                </c:pt>
                <c:pt idx="17">
                  <c:v>2.2969465536126488E-2</c:v>
                </c:pt>
                <c:pt idx="18">
                  <c:v>2.3390591924455952E-2</c:v>
                </c:pt>
                <c:pt idx="19">
                  <c:v>1.7309338464930674E-2</c:v>
                </c:pt>
                <c:pt idx="20">
                  <c:v>1.5340687174384526E-2</c:v>
                </c:pt>
                <c:pt idx="21">
                  <c:v>1.0829618985009027E-2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F-4ADD-87F3-5EF672F26763}"/>
            </c:ext>
          </c:extLst>
        </c:ser>
        <c:ser>
          <c:idx val="6"/>
          <c:order val="6"/>
          <c:tx>
            <c:strRef>
              <c:f>'NAR-EDAD'!$A$63</c:f>
              <c:strCache>
                <c:ptCount val="1"/>
                <c:pt idx="0">
                  <c:v>% LIMONERO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'NAR-EDAD'!$C$63:$X$63</c:f>
              <c:numCache>
                <c:formatCode>0%</c:formatCode>
                <c:ptCount val="22"/>
                <c:pt idx="0">
                  <c:v>8.8142632700746071E-2</c:v>
                </c:pt>
                <c:pt idx="1">
                  <c:v>2.1808441953973197E-2</c:v>
                </c:pt>
                <c:pt idx="2">
                  <c:v>1.4504992283942933E-2</c:v>
                </c:pt>
                <c:pt idx="3">
                  <c:v>1.3252564522601958E-2</c:v>
                </c:pt>
                <c:pt idx="4">
                  <c:v>1.3382686887416603E-2</c:v>
                </c:pt>
                <c:pt idx="5">
                  <c:v>2.8169168368713669E-2</c:v>
                </c:pt>
                <c:pt idx="6">
                  <c:v>7.1577258992301862E-3</c:v>
                </c:pt>
                <c:pt idx="7">
                  <c:v>1.1445125041949524E-2</c:v>
                </c:pt>
                <c:pt idx="8">
                  <c:v>1.0925299472307335E-2</c:v>
                </c:pt>
                <c:pt idx="9">
                  <c:v>1.1591844647174204E-2</c:v>
                </c:pt>
                <c:pt idx="10">
                  <c:v>3.9472221032753316E-2</c:v>
                </c:pt>
                <c:pt idx="11">
                  <c:v>1.7736806936584262E-2</c:v>
                </c:pt>
                <c:pt idx="12">
                  <c:v>1.8684841308805267E-2</c:v>
                </c:pt>
                <c:pt idx="13">
                  <c:v>2.83444352274436E-2</c:v>
                </c:pt>
                <c:pt idx="14">
                  <c:v>4.2230682388900563E-2</c:v>
                </c:pt>
                <c:pt idx="15">
                  <c:v>5.5753118040569642E-2</c:v>
                </c:pt>
                <c:pt idx="16">
                  <c:v>4.4366415284863403E-2</c:v>
                </c:pt>
                <c:pt idx="17">
                  <c:v>4.3200957063270984E-2</c:v>
                </c:pt>
                <c:pt idx="18">
                  <c:v>6.1808123286957298E-2</c:v>
                </c:pt>
                <c:pt idx="19">
                  <c:v>4.3469500413105315E-2</c:v>
                </c:pt>
                <c:pt idx="20">
                  <c:v>3.4288570907892287E-2</c:v>
                </c:pt>
                <c:pt idx="21">
                  <c:v>2.4690386778771067E-2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AF-4ADD-87F3-5EF672F26763}"/>
            </c:ext>
          </c:extLst>
        </c:ser>
        <c:ser>
          <c:idx val="7"/>
          <c:order val="7"/>
          <c:tx>
            <c:strRef>
              <c:f>'NAR-EDAD'!$A$64</c:f>
              <c:strCache>
                <c:ptCount val="1"/>
                <c:pt idx="0">
                  <c:v>% POMELO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'NAR-EDAD'!$C$64:$X$64</c:f>
              <c:numCache>
                <c:formatCode>0%</c:formatCode>
                <c:ptCount val="22"/>
                <c:pt idx="0">
                  <c:v>5.9489090169375383E-2</c:v>
                </c:pt>
                <c:pt idx="1">
                  <c:v>1.9862529710284575E-2</c:v>
                </c:pt>
                <c:pt idx="2">
                  <c:v>1.4860495492601872E-2</c:v>
                </c:pt>
                <c:pt idx="3">
                  <c:v>3.9917774779983296E-2</c:v>
                </c:pt>
                <c:pt idx="4">
                  <c:v>1.8093830967216975E-2</c:v>
                </c:pt>
                <c:pt idx="5">
                  <c:v>3.7039892079398729E-2</c:v>
                </c:pt>
                <c:pt idx="6">
                  <c:v>2.9712425858118667E-2</c:v>
                </c:pt>
                <c:pt idx="7">
                  <c:v>3.6748677758506237E-2</c:v>
                </c:pt>
                <c:pt idx="8">
                  <c:v>2.7155735423224338E-2</c:v>
                </c:pt>
                <c:pt idx="9">
                  <c:v>1.304040598702383E-2</c:v>
                </c:pt>
                <c:pt idx="10">
                  <c:v>5.9459112224577629E-2</c:v>
                </c:pt>
                <c:pt idx="11">
                  <c:v>2.6838825721076636E-2</c:v>
                </c:pt>
                <c:pt idx="12">
                  <c:v>2.2389242200381146E-2</c:v>
                </c:pt>
                <c:pt idx="13">
                  <c:v>1.6800496777370933E-2</c:v>
                </c:pt>
                <c:pt idx="14">
                  <c:v>4.4855570544527955E-2</c:v>
                </c:pt>
                <c:pt idx="15">
                  <c:v>3.9879231708100468E-2</c:v>
                </c:pt>
                <c:pt idx="16">
                  <c:v>5.2906790004496683E-2</c:v>
                </c:pt>
                <c:pt idx="17">
                  <c:v>5.5150853300785847E-2</c:v>
                </c:pt>
                <c:pt idx="18">
                  <c:v>5.7334960707479489E-2</c:v>
                </c:pt>
                <c:pt idx="19">
                  <c:v>8.4289415644204613E-2</c:v>
                </c:pt>
                <c:pt idx="20">
                  <c:v>8.7668358279265959E-2</c:v>
                </c:pt>
                <c:pt idx="21">
                  <c:v>4.2405944198197043E-2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AF-4ADD-87F3-5EF672F26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442128"/>
        <c:axId val="966437232"/>
      </c:lineChart>
      <c:catAx>
        <c:axId val="966436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3424"/>
        <c:crosses val="autoZero"/>
        <c:auto val="1"/>
        <c:lblAlgn val="ctr"/>
        <c:lblOffset val="100"/>
        <c:noMultiLvlLbl val="0"/>
      </c:catAx>
      <c:valAx>
        <c:axId val="966433424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6688"/>
        <c:crosses val="autoZero"/>
        <c:crossBetween val="between"/>
        <c:majorUnit val="2000"/>
      </c:valAx>
      <c:valAx>
        <c:axId val="966437232"/>
        <c:scaling>
          <c:orientation val="minMax"/>
          <c:max val="0.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42128"/>
        <c:crosses val="max"/>
        <c:crossBetween val="between"/>
      </c:valAx>
      <c:catAx>
        <c:axId val="96644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966437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>
                    <a:lumMod val="65000"/>
                    <a:lumOff val="35000"/>
                  </a:schemeClr>
                </a:solidFill>
              </a:rPr>
              <a:t>Distribución por edades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'NAR-EDAD'!$A$61</c:f>
              <c:strCache>
                <c:ptCount val="1"/>
                <c:pt idx="0">
                  <c:v>% NARANJO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'NAR-EDAD'!$B$55:$X$55</c15:sqref>
                  </c15:fullRef>
                </c:ext>
              </c:extLst>
              <c:f>'NAR-EDAD'!$C$55:$X$55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'NAR-EDAD'!$B$61:$X$61</c15:sqref>
                  </c15:fullRef>
                </c:ext>
              </c:extLst>
              <c:f>'NAR-EDAD'!$C$61:$X$61</c:f>
              <c:numCache>
                <c:formatCode>0%</c:formatCode>
                <c:ptCount val="22"/>
                <c:pt idx="0">
                  <c:v>8.0203900632119379E-2</c:v>
                </c:pt>
                <c:pt idx="1">
                  <c:v>2.3076399267902885E-2</c:v>
                </c:pt>
                <c:pt idx="2">
                  <c:v>2.4559874808505473E-2</c:v>
                </c:pt>
                <c:pt idx="3">
                  <c:v>2.7378792905741307E-2</c:v>
                </c:pt>
                <c:pt idx="4">
                  <c:v>4.1905824746340858E-2</c:v>
                </c:pt>
                <c:pt idx="5">
                  <c:v>5.6193228194140105E-2</c:v>
                </c:pt>
                <c:pt idx="6">
                  <c:v>4.7417370301363712E-2</c:v>
                </c:pt>
                <c:pt idx="7">
                  <c:v>3.2179132493406544E-2</c:v>
                </c:pt>
                <c:pt idx="8">
                  <c:v>3.107240089700589E-2</c:v>
                </c:pt>
                <c:pt idx="9">
                  <c:v>2.2907549145562884E-2</c:v>
                </c:pt>
                <c:pt idx="10">
                  <c:v>3.5402735760568523E-2</c:v>
                </c:pt>
                <c:pt idx="11">
                  <c:v>1.6228856032556905E-2</c:v>
                </c:pt>
                <c:pt idx="12">
                  <c:v>1.6704689555403301E-2</c:v>
                </c:pt>
                <c:pt idx="13">
                  <c:v>1.6140683886480177E-2</c:v>
                </c:pt>
                <c:pt idx="14">
                  <c:v>1.5023589981201674E-2</c:v>
                </c:pt>
                <c:pt idx="15">
                  <c:v>1.792994005959439E-2</c:v>
                </c:pt>
                <c:pt idx="16">
                  <c:v>1.6709315586152337E-2</c:v>
                </c:pt>
                <c:pt idx="17">
                  <c:v>2.3192512639703823E-2</c:v>
                </c:pt>
                <c:pt idx="18">
                  <c:v>3.7781255730495615E-2</c:v>
                </c:pt>
                <c:pt idx="19">
                  <c:v>2.7830848630537638E-2</c:v>
                </c:pt>
                <c:pt idx="20">
                  <c:v>2.0909936547511849E-2</c:v>
                </c:pt>
                <c:pt idx="21">
                  <c:v>1.8766141377791101E-2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B-4A84-9C1C-B848E65C3B4F}"/>
            </c:ext>
          </c:extLst>
        </c:ser>
        <c:ser>
          <c:idx val="5"/>
          <c:order val="1"/>
          <c:tx>
            <c:strRef>
              <c:f>'NAR-EDAD'!$A$62</c:f>
              <c:strCache>
                <c:ptCount val="1"/>
                <c:pt idx="0">
                  <c:v>% PEQUEÑOS CÍTRICOS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'NAR-EDAD'!$B$55:$X$55</c15:sqref>
                  </c15:fullRef>
                </c:ext>
              </c:extLst>
              <c:f>'NAR-EDAD'!$C$55:$X$55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'NAR-EDAD'!$B$62:$X$62</c15:sqref>
                  </c15:fullRef>
                </c:ext>
              </c:extLst>
              <c:f>'NAR-EDAD'!$C$62:$X$62</c:f>
              <c:numCache>
                <c:formatCode>0%</c:formatCode>
                <c:ptCount val="22"/>
                <c:pt idx="0">
                  <c:v>0.1015090277378181</c:v>
                </c:pt>
                <c:pt idx="1">
                  <c:v>2.9795965028687026E-2</c:v>
                </c:pt>
                <c:pt idx="2">
                  <c:v>3.5380218058938359E-2</c:v>
                </c:pt>
                <c:pt idx="3">
                  <c:v>3.1024335198273141E-2</c:v>
                </c:pt>
                <c:pt idx="4">
                  <c:v>4.8399872490873512E-2</c:v>
                </c:pt>
                <c:pt idx="5">
                  <c:v>3.8270306108471347E-2</c:v>
                </c:pt>
                <c:pt idx="6">
                  <c:v>1.7961778833790534E-2</c:v>
                </c:pt>
                <c:pt idx="7">
                  <c:v>1.860670818181865E-2</c:v>
                </c:pt>
                <c:pt idx="8">
                  <c:v>1.8010154900164534E-2</c:v>
                </c:pt>
                <c:pt idx="9">
                  <c:v>1.6348564325655464E-2</c:v>
                </c:pt>
                <c:pt idx="10">
                  <c:v>3.479053927092686E-2</c:v>
                </c:pt>
                <c:pt idx="11">
                  <c:v>1.9374741888224821E-2</c:v>
                </c:pt>
                <c:pt idx="12">
                  <c:v>2.5436135699449178E-2</c:v>
                </c:pt>
                <c:pt idx="13">
                  <c:v>2.4311901378004992E-2</c:v>
                </c:pt>
                <c:pt idx="14">
                  <c:v>3.208899057481461E-2</c:v>
                </c:pt>
                <c:pt idx="15">
                  <c:v>4.5360073246456738E-2</c:v>
                </c:pt>
                <c:pt idx="16">
                  <c:v>2.8282685289245615E-2</c:v>
                </c:pt>
                <c:pt idx="17">
                  <c:v>2.2969465536126488E-2</c:v>
                </c:pt>
                <c:pt idx="18">
                  <c:v>2.3390591924455952E-2</c:v>
                </c:pt>
                <c:pt idx="19">
                  <c:v>1.7309338464930674E-2</c:v>
                </c:pt>
                <c:pt idx="20">
                  <c:v>1.5340687174384526E-2</c:v>
                </c:pt>
                <c:pt idx="21">
                  <c:v>1.0829618985009027E-2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B-4A84-9C1C-B848E65C3B4F}"/>
            </c:ext>
          </c:extLst>
        </c:ser>
        <c:ser>
          <c:idx val="6"/>
          <c:order val="2"/>
          <c:tx>
            <c:strRef>
              <c:f>'NAR-EDAD'!$A$63</c:f>
              <c:strCache>
                <c:ptCount val="1"/>
                <c:pt idx="0">
                  <c:v>% LIMONERO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'NAR-EDAD'!$B$55:$X$55</c15:sqref>
                  </c15:fullRef>
                </c:ext>
              </c:extLst>
              <c:f>'NAR-EDAD'!$C$55:$X$55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'NAR-EDAD'!$B$63:$X$63</c15:sqref>
                  </c15:fullRef>
                </c:ext>
              </c:extLst>
              <c:f>'NAR-EDAD'!$C$63:$X$63</c:f>
              <c:numCache>
                <c:formatCode>0%</c:formatCode>
                <c:ptCount val="22"/>
                <c:pt idx="0">
                  <c:v>8.8142632700746071E-2</c:v>
                </c:pt>
                <c:pt idx="1">
                  <c:v>2.1808441953973197E-2</c:v>
                </c:pt>
                <c:pt idx="2">
                  <c:v>1.4504992283942933E-2</c:v>
                </c:pt>
                <c:pt idx="3">
                  <c:v>1.3252564522601958E-2</c:v>
                </c:pt>
                <c:pt idx="4">
                  <c:v>1.3382686887416603E-2</c:v>
                </c:pt>
                <c:pt idx="5">
                  <c:v>2.8169168368713669E-2</c:v>
                </c:pt>
                <c:pt idx="6">
                  <c:v>7.1577258992301862E-3</c:v>
                </c:pt>
                <c:pt idx="7">
                  <c:v>1.1445125041949524E-2</c:v>
                </c:pt>
                <c:pt idx="8">
                  <c:v>1.0925299472307335E-2</c:v>
                </c:pt>
                <c:pt idx="9">
                  <c:v>1.1591844647174204E-2</c:v>
                </c:pt>
                <c:pt idx="10">
                  <c:v>3.9472221032753316E-2</c:v>
                </c:pt>
                <c:pt idx="11">
                  <c:v>1.7736806936584262E-2</c:v>
                </c:pt>
                <c:pt idx="12">
                  <c:v>1.8684841308805267E-2</c:v>
                </c:pt>
                <c:pt idx="13">
                  <c:v>2.83444352274436E-2</c:v>
                </c:pt>
                <c:pt idx="14">
                  <c:v>4.2230682388900563E-2</c:v>
                </c:pt>
                <c:pt idx="15">
                  <c:v>5.5753118040569642E-2</c:v>
                </c:pt>
                <c:pt idx="16">
                  <c:v>4.4366415284863403E-2</c:v>
                </c:pt>
                <c:pt idx="17">
                  <c:v>4.3200957063270984E-2</c:v>
                </c:pt>
                <c:pt idx="18">
                  <c:v>6.1808123286957298E-2</c:v>
                </c:pt>
                <c:pt idx="19">
                  <c:v>4.3469500413105315E-2</c:v>
                </c:pt>
                <c:pt idx="20">
                  <c:v>3.4288570907892287E-2</c:v>
                </c:pt>
                <c:pt idx="21">
                  <c:v>2.4690386778771067E-2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BB-4A84-9C1C-B848E65C3B4F}"/>
            </c:ext>
          </c:extLst>
        </c:ser>
        <c:ser>
          <c:idx val="7"/>
          <c:order val="3"/>
          <c:tx>
            <c:strRef>
              <c:f>'NAR-EDAD'!$A$64</c:f>
              <c:strCache>
                <c:ptCount val="1"/>
                <c:pt idx="0">
                  <c:v>% POMELO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'NAR-EDAD'!$B$55:$X$55</c15:sqref>
                  </c15:fullRef>
                </c:ext>
              </c:extLst>
              <c:f>'NAR-EDAD'!$C$55:$X$55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'NAR-EDAD'!$B$64:$X$64</c15:sqref>
                  </c15:fullRef>
                </c:ext>
              </c:extLst>
              <c:f>'NAR-EDAD'!$C$64:$X$64</c:f>
              <c:numCache>
                <c:formatCode>0%</c:formatCode>
                <c:ptCount val="22"/>
                <c:pt idx="0">
                  <c:v>5.9489090169375383E-2</c:v>
                </c:pt>
                <c:pt idx="1">
                  <c:v>1.9862529710284575E-2</c:v>
                </c:pt>
                <c:pt idx="2">
                  <c:v>1.4860495492601872E-2</c:v>
                </c:pt>
                <c:pt idx="3">
                  <c:v>3.9917774779983296E-2</c:v>
                </c:pt>
                <c:pt idx="4">
                  <c:v>1.8093830967216975E-2</c:v>
                </c:pt>
                <c:pt idx="5">
                  <c:v>3.7039892079398729E-2</c:v>
                </c:pt>
                <c:pt idx="6">
                  <c:v>2.9712425858118667E-2</c:v>
                </c:pt>
                <c:pt idx="7">
                  <c:v>3.6748677758506237E-2</c:v>
                </c:pt>
                <c:pt idx="8">
                  <c:v>2.7155735423224338E-2</c:v>
                </c:pt>
                <c:pt idx="9">
                  <c:v>1.304040598702383E-2</c:v>
                </c:pt>
                <c:pt idx="10">
                  <c:v>5.9459112224577629E-2</c:v>
                </c:pt>
                <c:pt idx="11">
                  <c:v>2.6838825721076636E-2</c:v>
                </c:pt>
                <c:pt idx="12">
                  <c:v>2.2389242200381146E-2</c:v>
                </c:pt>
                <c:pt idx="13">
                  <c:v>1.6800496777370933E-2</c:v>
                </c:pt>
                <c:pt idx="14">
                  <c:v>4.4855570544527955E-2</c:v>
                </c:pt>
                <c:pt idx="15">
                  <c:v>3.9879231708100468E-2</c:v>
                </c:pt>
                <c:pt idx="16">
                  <c:v>5.2906790004496683E-2</c:v>
                </c:pt>
                <c:pt idx="17">
                  <c:v>5.5150853300785847E-2</c:v>
                </c:pt>
                <c:pt idx="18">
                  <c:v>5.7334960707479489E-2</c:v>
                </c:pt>
                <c:pt idx="19">
                  <c:v>8.4289415644204613E-2</c:v>
                </c:pt>
                <c:pt idx="20">
                  <c:v>8.7668358279265959E-2</c:v>
                </c:pt>
                <c:pt idx="21">
                  <c:v>4.2405944198197043E-2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BB-4A84-9C1C-B848E65C3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6428528"/>
        <c:axId val="966432880"/>
      </c:lineChart>
      <c:catAx>
        <c:axId val="96642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2880"/>
        <c:crosses val="autoZero"/>
        <c:auto val="1"/>
        <c:lblAlgn val="ctr"/>
        <c:lblOffset val="100"/>
        <c:noMultiLvlLbl val="0"/>
      </c:catAx>
      <c:valAx>
        <c:axId val="966432880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2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>
                    <a:lumMod val="65000"/>
                    <a:lumOff val="35000"/>
                  </a:schemeClr>
                </a:solidFill>
              </a:rPr>
              <a:t>Distribución por edades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'NAR-EDAD'!$A$56</c:f>
              <c:strCache>
                <c:ptCount val="1"/>
                <c:pt idx="0">
                  <c:v>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'NAR-EDAD'!$B$55:$X$55</c15:sqref>
                  </c15:fullRef>
                </c:ext>
              </c:extLst>
              <c:f>'NAR-EDAD'!$C$55:$X$55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'NAR-EDAD'!$B$56:$X$56</c15:sqref>
                  </c15:fullRef>
                </c:ext>
              </c:extLst>
              <c:f>'NAR-EDAD'!$C$56:$X$56</c:f>
              <c:numCache>
                <c:formatCode>#,##0</c:formatCode>
                <c:ptCount val="22"/>
                <c:pt idx="0">
                  <c:v>8668.7599999999984</c:v>
                </c:pt>
                <c:pt idx="1">
                  <c:v>2494.1899999999991</c:v>
                </c:pt>
                <c:pt idx="2">
                  <c:v>2654.53</c:v>
                </c:pt>
                <c:pt idx="3">
                  <c:v>2959.2099999999996</c:v>
                </c:pt>
                <c:pt idx="4">
                  <c:v>4529.3499999999976</c:v>
                </c:pt>
                <c:pt idx="5">
                  <c:v>6073.5899999999992</c:v>
                </c:pt>
                <c:pt idx="6">
                  <c:v>5125.0599999999986</c:v>
                </c:pt>
                <c:pt idx="7">
                  <c:v>3478.0500000000006</c:v>
                </c:pt>
                <c:pt idx="8">
                  <c:v>3358.4300000000003</c:v>
                </c:pt>
                <c:pt idx="9">
                  <c:v>2475.94</c:v>
                </c:pt>
                <c:pt idx="10">
                  <c:v>3826.4700000000012</c:v>
                </c:pt>
                <c:pt idx="11">
                  <c:v>1754.08</c:v>
                </c:pt>
                <c:pt idx="12">
                  <c:v>1805.5100000000002</c:v>
                </c:pt>
                <c:pt idx="13">
                  <c:v>1744.5500000000002</c:v>
                </c:pt>
                <c:pt idx="14">
                  <c:v>1623.8100000000004</c:v>
                </c:pt>
                <c:pt idx="15">
                  <c:v>1937.94</c:v>
                </c:pt>
                <c:pt idx="16">
                  <c:v>1806.0099999999998</c:v>
                </c:pt>
                <c:pt idx="17">
                  <c:v>2506.7399999999993</c:v>
                </c:pt>
                <c:pt idx="18">
                  <c:v>4083.55</c:v>
                </c:pt>
                <c:pt idx="19">
                  <c:v>3008.0700000000006</c:v>
                </c:pt>
                <c:pt idx="20">
                  <c:v>2260.0300000000002</c:v>
                </c:pt>
                <c:pt idx="21">
                  <c:v>2028.3199999999995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8-42AE-94C8-1A694089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37776"/>
        <c:axId val="9664345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'NAR-EDAD'!$A$57</c15:sqref>
                        </c15:formulaRef>
                      </c:ext>
                    </c:extLst>
                    <c:strCache>
                      <c:ptCount val="1"/>
                      <c:pt idx="0">
                        <c:v>PEQUEÑOS CÍTRICOS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'NAR-EDAD'!$B$55:$X$55</c15:sqref>
                        </c15:fullRef>
                        <c15:formulaRef>
                          <c15:sqref>'NAR-EDAD'!$C$55:$X$55</c15:sqref>
                        </c15:formulaRef>
                      </c:ext>
                    </c:extLst>
                    <c:strCache>
                      <c:ptCount val="22"/>
                      <c:pt idx="0">
                        <c:v>2.000</c:v>
                      </c:pt>
                      <c:pt idx="1">
                        <c:v>2.001</c:v>
                      </c:pt>
                      <c:pt idx="2">
                        <c:v>2.002</c:v>
                      </c:pt>
                      <c:pt idx="3">
                        <c:v>2.003</c:v>
                      </c:pt>
                      <c:pt idx="4">
                        <c:v>2.004</c:v>
                      </c:pt>
                      <c:pt idx="5">
                        <c:v>2.005</c:v>
                      </c:pt>
                      <c:pt idx="6">
                        <c:v>2.006</c:v>
                      </c:pt>
                      <c:pt idx="7">
                        <c:v>2.007</c:v>
                      </c:pt>
                      <c:pt idx="8">
                        <c:v>2.008</c:v>
                      </c:pt>
                      <c:pt idx="9">
                        <c:v>2.009</c:v>
                      </c:pt>
                      <c:pt idx="10">
                        <c:v>2.010</c:v>
                      </c:pt>
                      <c:pt idx="11">
                        <c:v>2.011</c:v>
                      </c:pt>
                      <c:pt idx="12">
                        <c:v>2.012</c:v>
                      </c:pt>
                      <c:pt idx="13">
                        <c:v>2.013</c:v>
                      </c:pt>
                      <c:pt idx="14">
                        <c:v>2.014</c:v>
                      </c:pt>
                      <c:pt idx="15">
                        <c:v>2.015</c:v>
                      </c:pt>
                      <c:pt idx="16">
                        <c:v>2.016</c:v>
                      </c:pt>
                      <c:pt idx="17">
                        <c:v>2.017</c:v>
                      </c:pt>
                      <c:pt idx="18">
                        <c:v>2.018</c:v>
                      </c:pt>
                      <c:pt idx="19">
                        <c:v>2.019</c:v>
                      </c:pt>
                      <c:pt idx="20">
                        <c:v>2.020</c:v>
                      </c:pt>
                      <c:pt idx="21">
                        <c:v>2.021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'NAR-EDAD'!$B$57:$X$57</c15:sqref>
                        </c15:fullRef>
                        <c15:formulaRef>
                          <c15:sqref>'NAR-EDAD'!$C$57:$X$57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7973.6600000000026</c:v>
                      </c:pt>
                      <c:pt idx="1">
                        <c:v>2340.5100000000002</c:v>
                      </c:pt>
                      <c:pt idx="2">
                        <c:v>2779.16</c:v>
                      </c:pt>
                      <c:pt idx="3">
                        <c:v>2437</c:v>
                      </c:pt>
                      <c:pt idx="4">
                        <c:v>3801.8700000000013</c:v>
                      </c:pt>
                      <c:pt idx="5">
                        <c:v>3006.1799999999976</c:v>
                      </c:pt>
                      <c:pt idx="6">
                        <c:v>1410.9199999999996</c:v>
                      </c:pt>
                      <c:pt idx="7">
                        <c:v>1461.5799999999997</c:v>
                      </c:pt>
                      <c:pt idx="8">
                        <c:v>1414.7199999999996</c:v>
                      </c:pt>
                      <c:pt idx="9">
                        <c:v>1284.1999999999998</c:v>
                      </c:pt>
                      <c:pt idx="10">
                        <c:v>2732.8399999999997</c:v>
                      </c:pt>
                      <c:pt idx="11">
                        <c:v>1521.9100000000003</c:v>
                      </c:pt>
                      <c:pt idx="12">
                        <c:v>1998.0399999999993</c:v>
                      </c:pt>
                      <c:pt idx="13">
                        <c:v>1909.73</c:v>
                      </c:pt>
                      <c:pt idx="14">
                        <c:v>2520.6299999999992</c:v>
                      </c:pt>
                      <c:pt idx="15">
                        <c:v>3563.0900000000006</c:v>
                      </c:pt>
                      <c:pt idx="16">
                        <c:v>2221.6400000000008</c:v>
                      </c:pt>
                      <c:pt idx="17">
                        <c:v>1804.2799999999995</c:v>
                      </c:pt>
                      <c:pt idx="18">
                        <c:v>1837.3600000000004</c:v>
                      </c:pt>
                      <c:pt idx="19">
                        <c:v>1359.6700000000003</c:v>
                      </c:pt>
                      <c:pt idx="20">
                        <c:v>1205.0300000000002</c:v>
                      </c:pt>
                      <c:pt idx="21">
                        <c:v>850.68000000000006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C28-42AE-94C8-1A694089571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'NAR-EDAD'!$A$58</c15:sqref>
                        </c15:formulaRef>
                      </c:ext>
                    </c:extLst>
                    <c:strCache>
                      <c:ptCount val="1"/>
                      <c:pt idx="0">
                        <c:v>LIMONERO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'NAR-EDAD'!$B$55:$X$55</c15:sqref>
                        </c15:fullRef>
                        <c15:formulaRef>
                          <c15:sqref>'NAR-EDAD'!$C$55:$X$55</c15:sqref>
                        </c15:formulaRef>
                      </c:ext>
                    </c:extLst>
                    <c:strCache>
                      <c:ptCount val="22"/>
                      <c:pt idx="0">
                        <c:v>2.000</c:v>
                      </c:pt>
                      <c:pt idx="1">
                        <c:v>2.001</c:v>
                      </c:pt>
                      <c:pt idx="2">
                        <c:v>2.002</c:v>
                      </c:pt>
                      <c:pt idx="3">
                        <c:v>2.003</c:v>
                      </c:pt>
                      <c:pt idx="4">
                        <c:v>2.004</c:v>
                      </c:pt>
                      <c:pt idx="5">
                        <c:v>2.005</c:v>
                      </c:pt>
                      <c:pt idx="6">
                        <c:v>2.006</c:v>
                      </c:pt>
                      <c:pt idx="7">
                        <c:v>2.007</c:v>
                      </c:pt>
                      <c:pt idx="8">
                        <c:v>2.008</c:v>
                      </c:pt>
                      <c:pt idx="9">
                        <c:v>2.009</c:v>
                      </c:pt>
                      <c:pt idx="10">
                        <c:v>2.010</c:v>
                      </c:pt>
                      <c:pt idx="11">
                        <c:v>2.011</c:v>
                      </c:pt>
                      <c:pt idx="12">
                        <c:v>2.012</c:v>
                      </c:pt>
                      <c:pt idx="13">
                        <c:v>2.013</c:v>
                      </c:pt>
                      <c:pt idx="14">
                        <c:v>2.014</c:v>
                      </c:pt>
                      <c:pt idx="15">
                        <c:v>2.015</c:v>
                      </c:pt>
                      <c:pt idx="16">
                        <c:v>2.016</c:v>
                      </c:pt>
                      <c:pt idx="17">
                        <c:v>2.017</c:v>
                      </c:pt>
                      <c:pt idx="18">
                        <c:v>2.018</c:v>
                      </c:pt>
                      <c:pt idx="19">
                        <c:v>2.019</c:v>
                      </c:pt>
                      <c:pt idx="20">
                        <c:v>2.020</c:v>
                      </c:pt>
                      <c:pt idx="21">
                        <c:v>2.021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'NAR-EDAD'!$B$58:$X$58</c15:sqref>
                        </c15:fullRef>
                        <c15:formulaRef>
                          <c15:sqref>'NAR-EDAD'!$C$58:$X$58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2655.3399999999988</c:v>
                      </c:pt>
                      <c:pt idx="1">
                        <c:v>656.99</c:v>
                      </c:pt>
                      <c:pt idx="2">
                        <c:v>436.97</c:v>
                      </c:pt>
                      <c:pt idx="3">
                        <c:v>399.24000000000007</c:v>
                      </c:pt>
                      <c:pt idx="4">
                        <c:v>403.16</c:v>
                      </c:pt>
                      <c:pt idx="5">
                        <c:v>848.61</c:v>
                      </c:pt>
                      <c:pt idx="6">
                        <c:v>215.63</c:v>
                      </c:pt>
                      <c:pt idx="7">
                        <c:v>344.78999999999996</c:v>
                      </c:pt>
                      <c:pt idx="8">
                        <c:v>329.12999999999994</c:v>
                      </c:pt>
                      <c:pt idx="9">
                        <c:v>349.21000000000004</c:v>
                      </c:pt>
                      <c:pt idx="10">
                        <c:v>1189.1199999999997</c:v>
                      </c:pt>
                      <c:pt idx="11">
                        <c:v>534.32999999999981</c:v>
                      </c:pt>
                      <c:pt idx="12">
                        <c:v>562.89</c:v>
                      </c:pt>
                      <c:pt idx="13">
                        <c:v>853.89</c:v>
                      </c:pt>
                      <c:pt idx="14">
                        <c:v>1272.22</c:v>
                      </c:pt>
                      <c:pt idx="15">
                        <c:v>1679.5900000000004</c:v>
                      </c:pt>
                      <c:pt idx="16">
                        <c:v>1336.5599999999997</c:v>
                      </c:pt>
                      <c:pt idx="17">
                        <c:v>1301.4499999999994</c:v>
                      </c:pt>
                      <c:pt idx="18">
                        <c:v>1861.9999999999993</c:v>
                      </c:pt>
                      <c:pt idx="19">
                        <c:v>1309.5400000000002</c:v>
                      </c:pt>
                      <c:pt idx="20">
                        <c:v>1032.96</c:v>
                      </c:pt>
                      <c:pt idx="21">
                        <c:v>743.81000000000006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C28-42AE-94C8-1A694089571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'NAR-EDAD'!$A$59</c15:sqref>
                        </c15:formulaRef>
                      </c:ext>
                    </c:extLst>
                    <c:strCache>
                      <c:ptCount val="1"/>
                      <c:pt idx="0">
                        <c:v>POMELO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'NAR-EDAD'!$B$55:$X$55</c15:sqref>
                        </c15:fullRef>
                        <c15:formulaRef>
                          <c15:sqref>'NAR-EDAD'!$C$55:$X$55</c15:sqref>
                        </c15:formulaRef>
                      </c:ext>
                    </c:extLst>
                    <c:strCache>
                      <c:ptCount val="22"/>
                      <c:pt idx="0">
                        <c:v>2.000</c:v>
                      </c:pt>
                      <c:pt idx="1">
                        <c:v>2.001</c:v>
                      </c:pt>
                      <c:pt idx="2">
                        <c:v>2.002</c:v>
                      </c:pt>
                      <c:pt idx="3">
                        <c:v>2.003</c:v>
                      </c:pt>
                      <c:pt idx="4">
                        <c:v>2.004</c:v>
                      </c:pt>
                      <c:pt idx="5">
                        <c:v>2.005</c:v>
                      </c:pt>
                      <c:pt idx="6">
                        <c:v>2.006</c:v>
                      </c:pt>
                      <c:pt idx="7">
                        <c:v>2.007</c:v>
                      </c:pt>
                      <c:pt idx="8">
                        <c:v>2.008</c:v>
                      </c:pt>
                      <c:pt idx="9">
                        <c:v>2.009</c:v>
                      </c:pt>
                      <c:pt idx="10">
                        <c:v>2.010</c:v>
                      </c:pt>
                      <c:pt idx="11">
                        <c:v>2.011</c:v>
                      </c:pt>
                      <c:pt idx="12">
                        <c:v>2.012</c:v>
                      </c:pt>
                      <c:pt idx="13">
                        <c:v>2.013</c:v>
                      </c:pt>
                      <c:pt idx="14">
                        <c:v>2.014</c:v>
                      </c:pt>
                      <c:pt idx="15">
                        <c:v>2.015</c:v>
                      </c:pt>
                      <c:pt idx="16">
                        <c:v>2.016</c:v>
                      </c:pt>
                      <c:pt idx="17">
                        <c:v>2.017</c:v>
                      </c:pt>
                      <c:pt idx="18">
                        <c:v>2.018</c:v>
                      </c:pt>
                      <c:pt idx="19">
                        <c:v>2.019</c:v>
                      </c:pt>
                      <c:pt idx="20">
                        <c:v>2.020</c:v>
                      </c:pt>
                      <c:pt idx="21">
                        <c:v>2.021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'NAR-EDAD'!$B$59:$X$59</c15:sqref>
                        </c15:fullRef>
                        <c15:formulaRef>
                          <c15:sqref>'NAR-EDAD'!$C$59:$X$59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138.91</c:v>
                      </c:pt>
                      <c:pt idx="1">
                        <c:v>46.379999999999995</c:v>
                      </c:pt>
                      <c:pt idx="2">
                        <c:v>34.700000000000003</c:v>
                      </c:pt>
                      <c:pt idx="3">
                        <c:v>93.210000000000008</c:v>
                      </c:pt>
                      <c:pt idx="4">
                        <c:v>42.25</c:v>
                      </c:pt>
                      <c:pt idx="5">
                        <c:v>86.490000000000009</c:v>
                      </c:pt>
                      <c:pt idx="6">
                        <c:v>69.38</c:v>
                      </c:pt>
                      <c:pt idx="7">
                        <c:v>85.81</c:v>
                      </c:pt>
                      <c:pt idx="8">
                        <c:v>63.41</c:v>
                      </c:pt>
                      <c:pt idx="9">
                        <c:v>30.45</c:v>
                      </c:pt>
                      <c:pt idx="10">
                        <c:v>138.84</c:v>
                      </c:pt>
                      <c:pt idx="11">
                        <c:v>62.67</c:v>
                      </c:pt>
                      <c:pt idx="12">
                        <c:v>52.28</c:v>
                      </c:pt>
                      <c:pt idx="13">
                        <c:v>39.230000000000004</c:v>
                      </c:pt>
                      <c:pt idx="14">
                        <c:v>104.74000000000001</c:v>
                      </c:pt>
                      <c:pt idx="15">
                        <c:v>93.12</c:v>
                      </c:pt>
                      <c:pt idx="16">
                        <c:v>123.53999999999999</c:v>
                      </c:pt>
                      <c:pt idx="17">
                        <c:v>128.78</c:v>
                      </c:pt>
                      <c:pt idx="18">
                        <c:v>133.88</c:v>
                      </c:pt>
                      <c:pt idx="19">
                        <c:v>196.82</c:v>
                      </c:pt>
                      <c:pt idx="20">
                        <c:v>204.71</c:v>
                      </c:pt>
                      <c:pt idx="21">
                        <c:v>99.02000000000001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C28-42AE-94C8-1A6940895719}"/>
                  </c:ext>
                </c:extLst>
              </c15:ser>
            </c15:filteredBarSeries>
          </c:ext>
        </c:extLst>
      </c:barChart>
      <c:catAx>
        <c:axId val="96643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4512"/>
        <c:crosses val="autoZero"/>
        <c:auto val="1"/>
        <c:lblAlgn val="ctr"/>
        <c:lblOffset val="100"/>
        <c:noMultiLvlLbl val="0"/>
      </c:catAx>
      <c:valAx>
        <c:axId val="966434512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Pequeños cítricos:</a:t>
            </a:r>
            <a:r>
              <a:rPr lang="es-ES" baseline="0"/>
              <a:t> </a:t>
            </a:r>
            <a:r>
              <a:rPr lang="es-E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'PC-EDAD'!$B$4:$X$4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'PC-EDAD'!$B$30:$X$30</c:f>
              <c:numCache>
                <c:formatCode>#,##0</c:formatCode>
                <c:ptCount val="23"/>
                <c:pt idx="0">
                  <c:v>27018.139999999967</c:v>
                </c:pt>
                <c:pt idx="1">
                  <c:v>7973.6600000000026</c:v>
                </c:pt>
                <c:pt idx="2">
                  <c:v>2340.5100000000002</c:v>
                </c:pt>
                <c:pt idx="3">
                  <c:v>2779.16</c:v>
                </c:pt>
                <c:pt idx="4">
                  <c:v>2437</c:v>
                </c:pt>
                <c:pt idx="5">
                  <c:v>3801.8700000000013</c:v>
                </c:pt>
                <c:pt idx="6">
                  <c:v>3006.1799999999976</c:v>
                </c:pt>
                <c:pt idx="7">
                  <c:v>1410.9199999999996</c:v>
                </c:pt>
                <c:pt idx="8">
                  <c:v>1461.5799999999997</c:v>
                </c:pt>
                <c:pt idx="9">
                  <c:v>1414.7199999999996</c:v>
                </c:pt>
                <c:pt idx="10">
                  <c:v>1284.1999999999998</c:v>
                </c:pt>
                <c:pt idx="11">
                  <c:v>2732.8399999999997</c:v>
                </c:pt>
                <c:pt idx="12">
                  <c:v>1521.9100000000003</c:v>
                </c:pt>
                <c:pt idx="13">
                  <c:v>1998.0399999999993</c:v>
                </c:pt>
                <c:pt idx="14">
                  <c:v>1909.73</c:v>
                </c:pt>
                <c:pt idx="15">
                  <c:v>2520.6299999999992</c:v>
                </c:pt>
                <c:pt idx="16">
                  <c:v>3563.0900000000006</c:v>
                </c:pt>
                <c:pt idx="17">
                  <c:v>2221.6400000000008</c:v>
                </c:pt>
                <c:pt idx="18">
                  <c:v>1804.2799999999995</c:v>
                </c:pt>
                <c:pt idx="19">
                  <c:v>1837.3600000000004</c:v>
                </c:pt>
                <c:pt idx="20">
                  <c:v>1359.6700000000003</c:v>
                </c:pt>
                <c:pt idx="21">
                  <c:v>1205.0300000000002</c:v>
                </c:pt>
                <c:pt idx="22">
                  <c:v>850.68000000000006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A-4008-A640-BAF06DD01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35056"/>
        <c:axId val="966427984"/>
      </c:barChart>
      <c:catAx>
        <c:axId val="966435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27984"/>
        <c:crosses val="autoZero"/>
        <c:auto val="1"/>
        <c:lblAlgn val="ctr"/>
        <c:lblOffset val="100"/>
        <c:noMultiLvlLbl val="0"/>
      </c:catAx>
      <c:valAx>
        <c:axId val="9664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Pequeños cítricos:</a:t>
            </a:r>
            <a:r>
              <a:rPr lang="es-ES" baseline="0"/>
              <a:t> </a:t>
            </a:r>
            <a:r>
              <a:rPr lang="es-E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'PC-EDAD'!$B$4:$X$4</c15:sqref>
                  </c15:fullRef>
                </c:ext>
              </c:extLst>
              <c:f>'PC-EDAD'!$C$4:$X$4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'PC-EDAD'!$B$30:$X$30</c15:sqref>
                  </c15:fullRef>
                </c:ext>
              </c:extLst>
              <c:f>'PC-EDAD'!$C$30:$X$30</c:f>
              <c:numCache>
                <c:formatCode>#,##0</c:formatCode>
                <c:ptCount val="22"/>
                <c:pt idx="0">
                  <c:v>7973.6600000000026</c:v>
                </c:pt>
                <c:pt idx="1">
                  <c:v>2340.5100000000002</c:v>
                </c:pt>
                <c:pt idx="2">
                  <c:v>2779.16</c:v>
                </c:pt>
                <c:pt idx="3">
                  <c:v>2437</c:v>
                </c:pt>
                <c:pt idx="4">
                  <c:v>3801.8700000000013</c:v>
                </c:pt>
                <c:pt idx="5">
                  <c:v>3006.1799999999976</c:v>
                </c:pt>
                <c:pt idx="6">
                  <c:v>1410.9199999999996</c:v>
                </c:pt>
                <c:pt idx="7">
                  <c:v>1461.5799999999997</c:v>
                </c:pt>
                <c:pt idx="8">
                  <c:v>1414.7199999999996</c:v>
                </c:pt>
                <c:pt idx="9">
                  <c:v>1284.1999999999998</c:v>
                </c:pt>
                <c:pt idx="10">
                  <c:v>2732.8399999999997</c:v>
                </c:pt>
                <c:pt idx="11">
                  <c:v>1521.9100000000003</c:v>
                </c:pt>
                <c:pt idx="12">
                  <c:v>1998.0399999999993</c:v>
                </c:pt>
                <c:pt idx="13">
                  <c:v>1909.73</c:v>
                </c:pt>
                <c:pt idx="14">
                  <c:v>2520.6299999999992</c:v>
                </c:pt>
                <c:pt idx="15">
                  <c:v>3563.0900000000006</c:v>
                </c:pt>
                <c:pt idx="16">
                  <c:v>2221.6400000000008</c:v>
                </c:pt>
                <c:pt idx="17">
                  <c:v>1804.2799999999995</c:v>
                </c:pt>
                <c:pt idx="18">
                  <c:v>1837.3600000000004</c:v>
                </c:pt>
                <c:pt idx="19">
                  <c:v>1359.6700000000003</c:v>
                </c:pt>
                <c:pt idx="20">
                  <c:v>1205.0300000000002</c:v>
                </c:pt>
                <c:pt idx="21">
                  <c:v>850.68000000000006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A-4008-A640-BAF06DD01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26896"/>
        <c:axId val="966429616"/>
      </c:barChart>
      <c:catAx>
        <c:axId val="96642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29616"/>
        <c:crosses val="autoZero"/>
        <c:auto val="1"/>
        <c:lblAlgn val="ctr"/>
        <c:lblOffset val="100"/>
        <c:noMultiLvlLbl val="0"/>
      </c:catAx>
      <c:valAx>
        <c:axId val="96642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2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SUPERFICIES DE CULTIVO MAPA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179155730533683"/>
          <c:y val="0.14333041703120444"/>
          <c:w val="0.51122397200349956"/>
          <c:h val="0.8520399533391659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16-41D8-BD3C-0A836457F6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16-41D8-BD3C-0A836457F6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16-41D8-BD3C-0A836457F6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16-41D8-BD3C-0A836457F641}"/>
              </c:ext>
            </c:extLst>
          </c:dPt>
          <c:dLbls>
            <c:dLbl>
              <c:idx val="0"/>
              <c:layout>
                <c:manualLayout>
                  <c:x val="-0.18204342429256021"/>
                  <c:y val="1.481740102804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16-41D8-BD3C-0A836457F641}"/>
                </c:ext>
              </c:extLst>
            </c:dLbl>
            <c:dLbl>
              <c:idx val="1"/>
              <c:layout>
                <c:manualLayout>
                  <c:x val="0.16957244512766845"/>
                  <c:y val="-0.173271847305883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16-41D8-BD3C-0A836457F641}"/>
                </c:ext>
              </c:extLst>
            </c:dLbl>
            <c:dLbl>
              <c:idx val="3"/>
              <c:layout>
                <c:manualLayout>
                  <c:x val="4.7782184761754648E-4"/>
                  <c:y val="3.52730324953035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16-41D8-BD3C-0A836457F6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CÍTRICOS!$A$55:$A$58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CÍTRICOS!$C$55:$C$58</c:f>
              <c:numCache>
                <c:formatCode>0.0%</c:formatCode>
                <c:ptCount val="4"/>
                <c:pt idx="0">
                  <c:v>0.47644290924580041</c:v>
                </c:pt>
                <c:pt idx="1">
                  <c:v>0.3407076112131619</c:v>
                </c:pt>
                <c:pt idx="2">
                  <c:v>0.16775816628064852</c:v>
                </c:pt>
                <c:pt idx="3">
                  <c:v>9.4208396560445124E-3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superficie (ha)</c:v>
                </c15:tx>
              </c15:filteredSeriesTitle>
            </c:ext>
            <c:ext xmlns:c16="http://schemas.microsoft.com/office/drawing/2014/chart" uri="{C3380CC4-5D6E-409C-BE32-E72D297353CC}">
              <c16:uniqueId val="{00000008-5116-41D8-BD3C-0A836457F64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</a:t>
            </a:r>
            <a:r>
              <a:rPr lang="en-US" baseline="0"/>
              <a:t> </a:t>
            </a:r>
            <a:r>
              <a:rPr lang="en-US"/>
              <a:t>Andalucía, C. Valenciana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'PC-EDAD'!$B$4:$X$4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'PC-EDAD'!$B$5:$X$5</c:f>
              <c:numCache>
                <c:formatCode>#,##0</c:formatCode>
                <c:ptCount val="23"/>
                <c:pt idx="0">
                  <c:v>2978.77</c:v>
                </c:pt>
                <c:pt idx="1">
                  <c:v>704.39999999999975</c:v>
                </c:pt>
                <c:pt idx="2">
                  <c:v>304.15999999999997</c:v>
                </c:pt>
                <c:pt idx="3">
                  <c:v>596.39</c:v>
                </c:pt>
                <c:pt idx="4">
                  <c:v>374.26</c:v>
                </c:pt>
                <c:pt idx="5">
                  <c:v>919.25000000000011</c:v>
                </c:pt>
                <c:pt idx="6">
                  <c:v>504.34999999999991</c:v>
                </c:pt>
                <c:pt idx="7">
                  <c:v>438.17</c:v>
                </c:pt>
                <c:pt idx="8">
                  <c:v>416.77</c:v>
                </c:pt>
                <c:pt idx="9">
                  <c:v>461.31</c:v>
                </c:pt>
                <c:pt idx="10">
                  <c:v>206.18</c:v>
                </c:pt>
                <c:pt idx="11">
                  <c:v>801.94</c:v>
                </c:pt>
                <c:pt idx="12">
                  <c:v>323.31</c:v>
                </c:pt>
                <c:pt idx="13">
                  <c:v>473.44000000000011</c:v>
                </c:pt>
                <c:pt idx="14">
                  <c:v>388.34</c:v>
                </c:pt>
                <c:pt idx="15">
                  <c:v>578.1099999999999</c:v>
                </c:pt>
                <c:pt idx="16">
                  <c:v>1154.01</c:v>
                </c:pt>
                <c:pt idx="17">
                  <c:v>619.74</c:v>
                </c:pt>
                <c:pt idx="18">
                  <c:v>530.58999999999992</c:v>
                </c:pt>
                <c:pt idx="19">
                  <c:v>494.84</c:v>
                </c:pt>
                <c:pt idx="20">
                  <c:v>505.06000000000017</c:v>
                </c:pt>
                <c:pt idx="21">
                  <c:v>348.67</c:v>
                </c:pt>
                <c:pt idx="22">
                  <c:v>304.23999999999995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2-48E9-9E7A-87F127D27274}"/>
            </c:ext>
          </c:extLst>
        </c:ser>
        <c:ser>
          <c:idx val="1"/>
          <c:order val="1"/>
          <c:tx>
            <c:strRef>
              <c:f>'PC-EDAD'!$A$13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'PC-EDAD'!$B$4:$X$4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'PC-EDAD'!$B$13:$X$13</c:f>
              <c:numCache>
                <c:formatCode>#,##0</c:formatCode>
                <c:ptCount val="23"/>
                <c:pt idx="0">
                  <c:v>21191.159999999967</c:v>
                </c:pt>
                <c:pt idx="1">
                  <c:v>6063.5700000000033</c:v>
                </c:pt>
                <c:pt idx="2">
                  <c:v>1462.0500000000006</c:v>
                </c:pt>
                <c:pt idx="3">
                  <c:v>1543.82</c:v>
                </c:pt>
                <c:pt idx="4">
                  <c:v>1435.52</c:v>
                </c:pt>
                <c:pt idx="5">
                  <c:v>2279.9100000000012</c:v>
                </c:pt>
                <c:pt idx="6">
                  <c:v>2006.8399999999976</c:v>
                </c:pt>
                <c:pt idx="7">
                  <c:v>706.08999999999969</c:v>
                </c:pt>
                <c:pt idx="8">
                  <c:v>937.41999999999985</c:v>
                </c:pt>
                <c:pt idx="9">
                  <c:v>786.72999999999979</c:v>
                </c:pt>
                <c:pt idx="10">
                  <c:v>920.65999999999963</c:v>
                </c:pt>
                <c:pt idx="11">
                  <c:v>1546.35</c:v>
                </c:pt>
                <c:pt idx="12">
                  <c:v>851.02000000000032</c:v>
                </c:pt>
                <c:pt idx="13">
                  <c:v>1220.2799999999993</c:v>
                </c:pt>
                <c:pt idx="14">
                  <c:v>1140.9000000000001</c:v>
                </c:pt>
                <c:pt idx="15">
                  <c:v>1429.4899999999993</c:v>
                </c:pt>
                <c:pt idx="16">
                  <c:v>1697.6000000000006</c:v>
                </c:pt>
                <c:pt idx="17">
                  <c:v>1063.0900000000006</c:v>
                </c:pt>
                <c:pt idx="18">
                  <c:v>990.48999999999978</c:v>
                </c:pt>
                <c:pt idx="19">
                  <c:v>985.36000000000024</c:v>
                </c:pt>
                <c:pt idx="20">
                  <c:v>681.47</c:v>
                </c:pt>
                <c:pt idx="21">
                  <c:v>664.58000000000015</c:v>
                </c:pt>
                <c:pt idx="22">
                  <c:v>430.96000000000004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2-48E9-9E7A-87F127D27274}"/>
            </c:ext>
          </c:extLst>
        </c:ser>
        <c:ser>
          <c:idx val="2"/>
          <c:order val="2"/>
          <c:tx>
            <c:strRef>
              <c:f>'PC-EDAD'!$A$17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'PC-EDAD'!$B$4:$X$4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'PC-EDAD'!$B$17:$X$17</c:f>
              <c:numCache>
                <c:formatCode>#,##0</c:formatCode>
                <c:ptCount val="23"/>
                <c:pt idx="0">
                  <c:v>2242.8999999999978</c:v>
                </c:pt>
                <c:pt idx="1">
                  <c:v>885.44999999999936</c:v>
                </c:pt>
                <c:pt idx="2">
                  <c:v>311.15999999999997</c:v>
                </c:pt>
                <c:pt idx="3">
                  <c:v>421.61999999999995</c:v>
                </c:pt>
                <c:pt idx="4">
                  <c:v>329.38</c:v>
                </c:pt>
                <c:pt idx="5">
                  <c:v>270.32</c:v>
                </c:pt>
                <c:pt idx="6">
                  <c:v>265.82999999999993</c:v>
                </c:pt>
                <c:pt idx="7">
                  <c:v>105.99000000000002</c:v>
                </c:pt>
                <c:pt idx="8">
                  <c:v>38.799999999999997</c:v>
                </c:pt>
                <c:pt idx="9">
                  <c:v>42.11</c:v>
                </c:pt>
                <c:pt idx="10">
                  <c:v>46.629999999999995</c:v>
                </c:pt>
                <c:pt idx="11">
                  <c:v>143.95999999999995</c:v>
                </c:pt>
                <c:pt idx="12">
                  <c:v>38.109999999999992</c:v>
                </c:pt>
                <c:pt idx="13">
                  <c:v>32.28</c:v>
                </c:pt>
                <c:pt idx="14">
                  <c:v>52.13000000000001</c:v>
                </c:pt>
                <c:pt idx="15">
                  <c:v>75.380000000000038</c:v>
                </c:pt>
                <c:pt idx="16">
                  <c:v>65.36</c:v>
                </c:pt>
                <c:pt idx="17">
                  <c:v>177.9</c:v>
                </c:pt>
                <c:pt idx="18">
                  <c:v>64.320000000000007</c:v>
                </c:pt>
                <c:pt idx="19">
                  <c:v>49.13000000000001</c:v>
                </c:pt>
                <c:pt idx="20">
                  <c:v>54.529999999999994</c:v>
                </c:pt>
                <c:pt idx="21">
                  <c:v>39.059999999999995</c:v>
                </c:pt>
                <c:pt idx="22">
                  <c:v>25.43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C-4857-B41E-A43AF278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35600"/>
        <c:axId val="966436144"/>
      </c:barChart>
      <c:catAx>
        <c:axId val="96643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6144"/>
        <c:crosses val="autoZero"/>
        <c:auto val="1"/>
        <c:lblAlgn val="ctr"/>
        <c:lblOffset val="100"/>
        <c:noMultiLvlLbl val="0"/>
      </c:catAx>
      <c:valAx>
        <c:axId val="966436144"/>
        <c:scaling>
          <c:orientation val="minMax"/>
          <c:max val="2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Andalucía y C. Valenciana 
% según año plantación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'PC-EDAD'!$A$34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'PC-EDAD'!$B$33:$X$33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'PC-EDAD'!$B$34:$X$34</c:f>
              <c:numCache>
                <c:formatCode>0%</c:formatCode>
                <c:ptCount val="23"/>
                <c:pt idx="0">
                  <c:v>0.2062780113790601</c:v>
                </c:pt>
                <c:pt idx="1">
                  <c:v>4.8779271717994302E-2</c:v>
                </c:pt>
                <c:pt idx="2">
                  <c:v>2.1062895067781303E-2</c:v>
                </c:pt>
                <c:pt idx="3">
                  <c:v>4.1299644889117873E-2</c:v>
                </c:pt>
                <c:pt idx="4">
                  <c:v>2.591727744630402E-2</c:v>
                </c:pt>
                <c:pt idx="5">
                  <c:v>6.3657503587118511E-2</c:v>
                </c:pt>
                <c:pt idx="6">
                  <c:v>3.4925930850327129E-2</c:v>
                </c:pt>
                <c:pt idx="7">
                  <c:v>3.0343006088406545E-2</c:v>
                </c:pt>
                <c:pt idx="8">
                  <c:v>2.8861069099813303E-2</c:v>
                </c:pt>
                <c:pt idx="9">
                  <c:v>3.1945437019062974E-2</c:v>
                </c:pt>
                <c:pt idx="10">
                  <c:v>1.4277839640567957E-2</c:v>
                </c:pt>
                <c:pt idx="11">
                  <c:v>5.5533857412731924E-2</c:v>
                </c:pt>
                <c:pt idx="12">
                  <c:v>2.2389020924396284E-2</c:v>
                </c:pt>
                <c:pt idx="13">
                  <c:v>3.2785432143905786E-2</c:v>
                </c:pt>
                <c:pt idx="14">
                  <c:v>2.6892308885527984E-2</c:v>
                </c:pt>
                <c:pt idx="15">
                  <c:v>4.0033766003534484E-2</c:v>
                </c:pt>
                <c:pt idx="16">
                  <c:v>7.9914490850770334E-2</c:v>
                </c:pt>
                <c:pt idx="17">
                  <c:v>4.2916618192092276E-2</c:v>
                </c:pt>
                <c:pt idx="18">
                  <c:v>3.674303489615361E-2</c:v>
                </c:pt>
                <c:pt idx="19">
                  <c:v>3.4267369132499018E-2</c:v>
                </c:pt>
                <c:pt idx="20">
                  <c:v>3.4975097918640285E-2</c:v>
                </c:pt>
                <c:pt idx="21">
                  <c:v>2.4145185505271265E-2</c:v>
                </c:pt>
                <c:pt idx="22">
                  <c:v>2.1068435019140529E-2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4B3F-B078-22AAE4DB6DC4}"/>
            </c:ext>
          </c:extLst>
        </c:ser>
        <c:ser>
          <c:idx val="1"/>
          <c:order val="1"/>
          <c:tx>
            <c:strRef>
              <c:f>'PC-EDAD'!$A$35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'PC-EDAD'!$B$33:$X$33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'PC-EDAD'!$B$35:$X$35</c:f>
              <c:numCache>
                <c:formatCode>0%</c:formatCode>
                <c:ptCount val="23"/>
                <c:pt idx="0">
                  <c:v>0.40677321916409276</c:v>
                </c:pt>
                <c:pt idx="1">
                  <c:v>0.11639277361535769</c:v>
                </c:pt>
                <c:pt idx="2">
                  <c:v>2.8064663995687966E-2</c:v>
                </c:pt>
                <c:pt idx="3">
                  <c:v>2.9634273499417243E-2</c:v>
                </c:pt>
                <c:pt idx="4">
                  <c:v>2.7555409499736654E-2</c:v>
                </c:pt>
                <c:pt idx="5">
                  <c:v>4.3763830300201062E-2</c:v>
                </c:pt>
                <c:pt idx="6">
                  <c:v>3.8522136926306454E-2</c:v>
                </c:pt>
                <c:pt idx="7">
                  <c:v>1.3553694196994152E-2</c:v>
                </c:pt>
                <c:pt idx="8">
                  <c:v>1.7994170734816045E-2</c:v>
                </c:pt>
                <c:pt idx="9">
                  <c:v>1.5101612875980698E-2</c:v>
                </c:pt>
                <c:pt idx="10">
                  <c:v>1.7672455493498898E-2</c:v>
                </c:pt>
                <c:pt idx="11">
                  <c:v>2.9682837912336835E-2</c:v>
                </c:pt>
                <c:pt idx="12">
                  <c:v>1.63356864359019E-2</c:v>
                </c:pt>
                <c:pt idx="13">
                  <c:v>2.3423787271747258E-2</c:v>
                </c:pt>
                <c:pt idx="14">
                  <c:v>2.1900054822119895E-2</c:v>
                </c:pt>
                <c:pt idx="15">
                  <c:v>2.7439661116374924E-2</c:v>
                </c:pt>
                <c:pt idx="16">
                  <c:v>3.2586145206442936E-2</c:v>
                </c:pt>
                <c:pt idx="17">
                  <c:v>2.0406459182090848E-2</c:v>
                </c:pt>
                <c:pt idx="18">
                  <c:v>1.9012871680919911E-2</c:v>
                </c:pt>
                <c:pt idx="19">
                  <c:v>1.8914399175671892E-2</c:v>
                </c:pt>
                <c:pt idx="20">
                  <c:v>1.3081102953484129E-2</c:v>
                </c:pt>
                <c:pt idx="21">
                  <c:v>1.2756892307550567E-2</c:v>
                </c:pt>
                <c:pt idx="22">
                  <c:v>8.2724582576393976E-3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A-4B3F-B078-22AAE4DB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41040"/>
        <c:axId val="966440496"/>
      </c:barChart>
      <c:catAx>
        <c:axId val="96644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40496"/>
        <c:crosses val="autoZero"/>
        <c:auto val="1"/>
        <c:lblAlgn val="ctr"/>
        <c:lblOffset val="100"/>
        <c:noMultiLvlLbl val="0"/>
      </c:catAx>
      <c:valAx>
        <c:axId val="96644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4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</a:t>
            </a:r>
            <a:r>
              <a:rPr lang="en-US" baseline="0"/>
              <a:t> </a:t>
            </a:r>
            <a:r>
              <a:rPr lang="en-US"/>
              <a:t>Andalucía, C. Valenciana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'PC-EDAD'!$B$4:$X$4</c15:sqref>
                  </c15:fullRef>
                </c:ext>
              </c:extLst>
              <c:f>'PC-EDAD'!$C$4:$X$4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'PC-EDAD'!$B$5:$X$5</c15:sqref>
                  </c15:fullRef>
                </c:ext>
              </c:extLst>
              <c:f>'PC-EDAD'!$C$5:$X$5</c:f>
              <c:numCache>
                <c:formatCode>#,##0</c:formatCode>
                <c:ptCount val="22"/>
                <c:pt idx="0">
                  <c:v>704.39999999999975</c:v>
                </c:pt>
                <c:pt idx="1">
                  <c:v>304.15999999999997</c:v>
                </c:pt>
                <c:pt idx="2">
                  <c:v>596.39</c:v>
                </c:pt>
                <c:pt idx="3">
                  <c:v>374.26</c:v>
                </c:pt>
                <c:pt idx="4">
                  <c:v>919.25000000000011</c:v>
                </c:pt>
                <c:pt idx="5">
                  <c:v>504.34999999999991</c:v>
                </c:pt>
                <c:pt idx="6">
                  <c:v>438.17</c:v>
                </c:pt>
                <c:pt idx="7">
                  <c:v>416.77</c:v>
                </c:pt>
                <c:pt idx="8">
                  <c:v>461.31</c:v>
                </c:pt>
                <c:pt idx="9">
                  <c:v>206.18</c:v>
                </c:pt>
                <c:pt idx="10">
                  <c:v>801.94</c:v>
                </c:pt>
                <c:pt idx="11">
                  <c:v>323.31</c:v>
                </c:pt>
                <c:pt idx="12">
                  <c:v>473.44000000000011</c:v>
                </c:pt>
                <c:pt idx="13">
                  <c:v>388.34</c:v>
                </c:pt>
                <c:pt idx="14">
                  <c:v>578.1099999999999</c:v>
                </c:pt>
                <c:pt idx="15">
                  <c:v>1154.01</c:v>
                </c:pt>
                <c:pt idx="16">
                  <c:v>619.74</c:v>
                </c:pt>
                <c:pt idx="17">
                  <c:v>530.58999999999992</c:v>
                </c:pt>
                <c:pt idx="18">
                  <c:v>494.84</c:v>
                </c:pt>
                <c:pt idx="19">
                  <c:v>505.06000000000017</c:v>
                </c:pt>
                <c:pt idx="20">
                  <c:v>348.67</c:v>
                </c:pt>
                <c:pt idx="21">
                  <c:v>304.23999999999995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2-48E9-9E7A-87F127D27274}"/>
            </c:ext>
          </c:extLst>
        </c:ser>
        <c:ser>
          <c:idx val="1"/>
          <c:order val="1"/>
          <c:tx>
            <c:strRef>
              <c:f>'PC-EDAD'!$A$13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'PC-EDAD'!$B$4:$X$4</c15:sqref>
                  </c15:fullRef>
                </c:ext>
              </c:extLst>
              <c:f>'PC-EDAD'!$C$4:$X$4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'PC-EDAD'!$B$13:$X$13</c15:sqref>
                  </c15:fullRef>
                </c:ext>
              </c:extLst>
              <c:f>'PC-EDAD'!$C$13:$X$13</c:f>
              <c:numCache>
                <c:formatCode>#,##0</c:formatCode>
                <c:ptCount val="22"/>
                <c:pt idx="0">
                  <c:v>6063.5700000000033</c:v>
                </c:pt>
                <c:pt idx="1">
                  <c:v>1462.0500000000006</c:v>
                </c:pt>
                <c:pt idx="2">
                  <c:v>1543.82</c:v>
                </c:pt>
                <c:pt idx="3">
                  <c:v>1435.52</c:v>
                </c:pt>
                <c:pt idx="4">
                  <c:v>2279.9100000000012</c:v>
                </c:pt>
                <c:pt idx="5">
                  <c:v>2006.8399999999976</c:v>
                </c:pt>
                <c:pt idx="6">
                  <c:v>706.08999999999969</c:v>
                </c:pt>
                <c:pt idx="7">
                  <c:v>937.41999999999985</c:v>
                </c:pt>
                <c:pt idx="8">
                  <c:v>786.72999999999979</c:v>
                </c:pt>
                <c:pt idx="9">
                  <c:v>920.65999999999963</c:v>
                </c:pt>
                <c:pt idx="10">
                  <c:v>1546.35</c:v>
                </c:pt>
                <c:pt idx="11">
                  <c:v>851.02000000000032</c:v>
                </c:pt>
                <c:pt idx="12">
                  <c:v>1220.2799999999993</c:v>
                </c:pt>
                <c:pt idx="13">
                  <c:v>1140.9000000000001</c:v>
                </c:pt>
                <c:pt idx="14">
                  <c:v>1429.4899999999993</c:v>
                </c:pt>
                <c:pt idx="15">
                  <c:v>1697.6000000000006</c:v>
                </c:pt>
                <c:pt idx="16">
                  <c:v>1063.0900000000006</c:v>
                </c:pt>
                <c:pt idx="17">
                  <c:v>990.48999999999978</c:v>
                </c:pt>
                <c:pt idx="18">
                  <c:v>985.36000000000024</c:v>
                </c:pt>
                <c:pt idx="19">
                  <c:v>681.47</c:v>
                </c:pt>
                <c:pt idx="20">
                  <c:v>664.58000000000015</c:v>
                </c:pt>
                <c:pt idx="21">
                  <c:v>430.96000000000004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2-48E9-9E7A-87F127D27274}"/>
            </c:ext>
          </c:extLst>
        </c:ser>
        <c:ser>
          <c:idx val="2"/>
          <c:order val="2"/>
          <c:tx>
            <c:strRef>
              <c:f>'PC-EDAD'!$A$17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'PC-EDAD'!$B$4:$X$4</c15:sqref>
                  </c15:fullRef>
                </c:ext>
              </c:extLst>
              <c:f>'PC-EDAD'!$C$4:$X$4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'PC-EDAD'!$B$17:$X$17</c15:sqref>
                  </c15:fullRef>
                </c:ext>
              </c:extLst>
              <c:f>'PC-EDAD'!$C$17:$X$17</c:f>
              <c:numCache>
                <c:formatCode>#,##0</c:formatCode>
                <c:ptCount val="22"/>
                <c:pt idx="0">
                  <c:v>885.44999999999936</c:v>
                </c:pt>
                <c:pt idx="1">
                  <c:v>311.15999999999997</c:v>
                </c:pt>
                <c:pt idx="2">
                  <c:v>421.61999999999995</c:v>
                </c:pt>
                <c:pt idx="3">
                  <c:v>329.38</c:v>
                </c:pt>
                <c:pt idx="4">
                  <c:v>270.32</c:v>
                </c:pt>
                <c:pt idx="5">
                  <c:v>265.82999999999993</c:v>
                </c:pt>
                <c:pt idx="6">
                  <c:v>105.99000000000002</c:v>
                </c:pt>
                <c:pt idx="7">
                  <c:v>38.799999999999997</c:v>
                </c:pt>
                <c:pt idx="8">
                  <c:v>42.11</c:v>
                </c:pt>
                <c:pt idx="9">
                  <c:v>46.629999999999995</c:v>
                </c:pt>
                <c:pt idx="10">
                  <c:v>143.95999999999995</c:v>
                </c:pt>
                <c:pt idx="11">
                  <c:v>38.109999999999992</c:v>
                </c:pt>
                <c:pt idx="12">
                  <c:v>32.28</c:v>
                </c:pt>
                <c:pt idx="13">
                  <c:v>52.13000000000001</c:v>
                </c:pt>
                <c:pt idx="14">
                  <c:v>75.380000000000038</c:v>
                </c:pt>
                <c:pt idx="15">
                  <c:v>65.36</c:v>
                </c:pt>
                <c:pt idx="16">
                  <c:v>177.9</c:v>
                </c:pt>
                <c:pt idx="17">
                  <c:v>64.320000000000007</c:v>
                </c:pt>
                <c:pt idx="18">
                  <c:v>49.13000000000001</c:v>
                </c:pt>
                <c:pt idx="19">
                  <c:v>54.529999999999994</c:v>
                </c:pt>
                <c:pt idx="20">
                  <c:v>39.059999999999995</c:v>
                </c:pt>
                <c:pt idx="21">
                  <c:v>25.43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C-4857-B41E-A43AF278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38864"/>
        <c:axId val="966431248"/>
      </c:barChart>
      <c:catAx>
        <c:axId val="966438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1248"/>
        <c:crosses val="autoZero"/>
        <c:auto val="1"/>
        <c:lblAlgn val="ctr"/>
        <c:lblOffset val="100"/>
        <c:noMultiLvlLbl val="0"/>
      </c:catAx>
      <c:valAx>
        <c:axId val="966431248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</a:t>
            </a:r>
            <a:r>
              <a:rPr lang="en-US" baseline="0"/>
              <a:t> </a:t>
            </a:r>
            <a:r>
              <a:rPr lang="en-US"/>
              <a:t>Andalucía, C. Valenciana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'PC-EDAD'!$B$33:$X$33</c15:sqref>
                  </c15:fullRef>
                </c:ext>
              </c:extLst>
              <c:f>'PC-EDAD'!$C$33:$X$33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'PC-EDAD'!$B$5:$X$5</c15:sqref>
                  </c15:fullRef>
                </c:ext>
              </c:extLst>
              <c:f>'PC-EDAD'!$C$5:$X$5</c:f>
              <c:numCache>
                <c:formatCode>#,##0</c:formatCode>
                <c:ptCount val="22"/>
                <c:pt idx="0">
                  <c:v>704.39999999999975</c:v>
                </c:pt>
                <c:pt idx="1">
                  <c:v>304.15999999999997</c:v>
                </c:pt>
                <c:pt idx="2">
                  <c:v>596.39</c:v>
                </c:pt>
                <c:pt idx="3">
                  <c:v>374.26</c:v>
                </c:pt>
                <c:pt idx="4">
                  <c:v>919.25000000000011</c:v>
                </c:pt>
                <c:pt idx="5">
                  <c:v>504.34999999999991</c:v>
                </c:pt>
                <c:pt idx="6">
                  <c:v>438.17</c:v>
                </c:pt>
                <c:pt idx="7">
                  <c:v>416.77</c:v>
                </c:pt>
                <c:pt idx="8">
                  <c:v>461.31</c:v>
                </c:pt>
                <c:pt idx="9">
                  <c:v>206.18</c:v>
                </c:pt>
                <c:pt idx="10">
                  <c:v>801.94</c:v>
                </c:pt>
                <c:pt idx="11">
                  <c:v>323.31</c:v>
                </c:pt>
                <c:pt idx="12">
                  <c:v>473.44000000000011</c:v>
                </c:pt>
                <c:pt idx="13">
                  <c:v>388.34</c:v>
                </c:pt>
                <c:pt idx="14">
                  <c:v>578.1099999999999</c:v>
                </c:pt>
                <c:pt idx="15">
                  <c:v>1154.01</c:v>
                </c:pt>
                <c:pt idx="16">
                  <c:v>619.74</c:v>
                </c:pt>
                <c:pt idx="17">
                  <c:v>530.58999999999992</c:v>
                </c:pt>
                <c:pt idx="18">
                  <c:v>494.84</c:v>
                </c:pt>
                <c:pt idx="19">
                  <c:v>505.06000000000017</c:v>
                </c:pt>
                <c:pt idx="20">
                  <c:v>348.67</c:v>
                </c:pt>
                <c:pt idx="21">
                  <c:v>304.23999999999995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2-48E9-9E7A-87F127D27274}"/>
            </c:ext>
          </c:extLst>
        </c:ser>
        <c:ser>
          <c:idx val="1"/>
          <c:order val="1"/>
          <c:tx>
            <c:strRef>
              <c:f>'PC-EDAD'!$A$13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'PC-EDAD'!$B$33:$X$33</c15:sqref>
                  </c15:fullRef>
                </c:ext>
              </c:extLst>
              <c:f>'PC-EDAD'!$C$33:$X$33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'PC-EDAD'!$B$13:$X$13</c15:sqref>
                  </c15:fullRef>
                </c:ext>
              </c:extLst>
              <c:f>'PC-EDAD'!$C$13:$X$13</c:f>
              <c:numCache>
                <c:formatCode>#,##0</c:formatCode>
                <c:ptCount val="22"/>
                <c:pt idx="0">
                  <c:v>6063.5700000000033</c:v>
                </c:pt>
                <c:pt idx="1">
                  <c:v>1462.0500000000006</c:v>
                </c:pt>
                <c:pt idx="2">
                  <c:v>1543.82</c:v>
                </c:pt>
                <c:pt idx="3">
                  <c:v>1435.52</c:v>
                </c:pt>
                <c:pt idx="4">
                  <c:v>2279.9100000000012</c:v>
                </c:pt>
                <c:pt idx="5">
                  <c:v>2006.8399999999976</c:v>
                </c:pt>
                <c:pt idx="6">
                  <c:v>706.08999999999969</c:v>
                </c:pt>
                <c:pt idx="7">
                  <c:v>937.41999999999985</c:v>
                </c:pt>
                <c:pt idx="8">
                  <c:v>786.72999999999979</c:v>
                </c:pt>
                <c:pt idx="9">
                  <c:v>920.65999999999963</c:v>
                </c:pt>
                <c:pt idx="10">
                  <c:v>1546.35</c:v>
                </c:pt>
                <c:pt idx="11">
                  <c:v>851.02000000000032</c:v>
                </c:pt>
                <c:pt idx="12">
                  <c:v>1220.2799999999993</c:v>
                </c:pt>
                <c:pt idx="13">
                  <c:v>1140.9000000000001</c:v>
                </c:pt>
                <c:pt idx="14">
                  <c:v>1429.4899999999993</c:v>
                </c:pt>
                <c:pt idx="15">
                  <c:v>1697.6000000000006</c:v>
                </c:pt>
                <c:pt idx="16">
                  <c:v>1063.0900000000006</c:v>
                </c:pt>
                <c:pt idx="17">
                  <c:v>990.48999999999978</c:v>
                </c:pt>
                <c:pt idx="18">
                  <c:v>985.36000000000024</c:v>
                </c:pt>
                <c:pt idx="19">
                  <c:v>681.47</c:v>
                </c:pt>
                <c:pt idx="20">
                  <c:v>664.58000000000015</c:v>
                </c:pt>
                <c:pt idx="21">
                  <c:v>430.96000000000004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2-48E9-9E7A-87F127D27274}"/>
            </c:ext>
          </c:extLst>
        </c:ser>
        <c:ser>
          <c:idx val="2"/>
          <c:order val="2"/>
          <c:tx>
            <c:strRef>
              <c:f>'PC-EDAD'!$A$17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'PC-EDAD'!$B$33:$X$33</c15:sqref>
                  </c15:fullRef>
                </c:ext>
              </c:extLst>
              <c:f>'PC-EDAD'!$C$33:$X$33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'PC-EDAD'!$B$17:$X$17</c15:sqref>
                  </c15:fullRef>
                </c:ext>
              </c:extLst>
              <c:f>'PC-EDAD'!$C$17:$X$17</c:f>
              <c:numCache>
                <c:formatCode>#,##0</c:formatCode>
                <c:ptCount val="22"/>
                <c:pt idx="0">
                  <c:v>885.44999999999936</c:v>
                </c:pt>
                <c:pt idx="1">
                  <c:v>311.15999999999997</c:v>
                </c:pt>
                <c:pt idx="2">
                  <c:v>421.61999999999995</c:v>
                </c:pt>
                <c:pt idx="3">
                  <c:v>329.38</c:v>
                </c:pt>
                <c:pt idx="4">
                  <c:v>270.32</c:v>
                </c:pt>
                <c:pt idx="5">
                  <c:v>265.82999999999993</c:v>
                </c:pt>
                <c:pt idx="6">
                  <c:v>105.99000000000002</c:v>
                </c:pt>
                <c:pt idx="7">
                  <c:v>38.799999999999997</c:v>
                </c:pt>
                <c:pt idx="8">
                  <c:v>42.11</c:v>
                </c:pt>
                <c:pt idx="9">
                  <c:v>46.629999999999995</c:v>
                </c:pt>
                <c:pt idx="10">
                  <c:v>143.95999999999995</c:v>
                </c:pt>
                <c:pt idx="11">
                  <c:v>38.109999999999992</c:v>
                </c:pt>
                <c:pt idx="12">
                  <c:v>32.28</c:v>
                </c:pt>
                <c:pt idx="13">
                  <c:v>52.13000000000001</c:v>
                </c:pt>
                <c:pt idx="14">
                  <c:v>75.380000000000038</c:v>
                </c:pt>
                <c:pt idx="15">
                  <c:v>65.36</c:v>
                </c:pt>
                <c:pt idx="16">
                  <c:v>177.9</c:v>
                </c:pt>
                <c:pt idx="17">
                  <c:v>64.320000000000007</c:v>
                </c:pt>
                <c:pt idx="18">
                  <c:v>49.13000000000001</c:v>
                </c:pt>
                <c:pt idx="19">
                  <c:v>54.529999999999994</c:v>
                </c:pt>
                <c:pt idx="20">
                  <c:v>39.059999999999995</c:v>
                </c:pt>
                <c:pt idx="21">
                  <c:v>25.43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C-4857-B41E-A43AF278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41584"/>
        <c:axId val="966438320"/>
      </c:barChart>
      <c:lineChart>
        <c:grouping val="standard"/>
        <c:varyColors val="0"/>
        <c:ser>
          <c:idx val="3"/>
          <c:order val="3"/>
          <c:tx>
            <c:strRef>
              <c:f>'PC-EDAD'!$A$34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'PC-EDAD'!$B$33:$X$33</c15:sqref>
                  </c15:fullRef>
                </c:ext>
              </c:extLst>
              <c:f>'PC-EDAD'!$C$33:$X$33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'PC-EDAD'!$B$34:$X$34</c15:sqref>
                  </c15:fullRef>
                </c:ext>
              </c:extLst>
              <c:f>'PC-EDAD'!$C$34:$X$34</c:f>
              <c:numCache>
                <c:formatCode>0%</c:formatCode>
                <c:ptCount val="22"/>
                <c:pt idx="0">
                  <c:v>4.8779271717994302E-2</c:v>
                </c:pt>
                <c:pt idx="1">
                  <c:v>2.1062895067781303E-2</c:v>
                </c:pt>
                <c:pt idx="2">
                  <c:v>4.1299644889117873E-2</c:v>
                </c:pt>
                <c:pt idx="3">
                  <c:v>2.591727744630402E-2</c:v>
                </c:pt>
                <c:pt idx="4">
                  <c:v>6.3657503587118511E-2</c:v>
                </c:pt>
                <c:pt idx="5">
                  <c:v>3.4925930850327129E-2</c:v>
                </c:pt>
                <c:pt idx="6">
                  <c:v>3.0343006088406545E-2</c:v>
                </c:pt>
                <c:pt idx="7">
                  <c:v>2.8861069099813303E-2</c:v>
                </c:pt>
                <c:pt idx="8">
                  <c:v>3.1945437019062974E-2</c:v>
                </c:pt>
                <c:pt idx="9">
                  <c:v>1.4277839640567957E-2</c:v>
                </c:pt>
                <c:pt idx="10">
                  <c:v>5.5533857412731924E-2</c:v>
                </c:pt>
                <c:pt idx="11">
                  <c:v>2.2389020924396284E-2</c:v>
                </c:pt>
                <c:pt idx="12">
                  <c:v>3.2785432143905786E-2</c:v>
                </c:pt>
                <c:pt idx="13">
                  <c:v>2.6892308885527984E-2</c:v>
                </c:pt>
                <c:pt idx="14">
                  <c:v>4.0033766003534484E-2</c:v>
                </c:pt>
                <c:pt idx="15">
                  <c:v>7.9914490850770334E-2</c:v>
                </c:pt>
                <c:pt idx="16">
                  <c:v>4.2916618192092276E-2</c:v>
                </c:pt>
                <c:pt idx="17">
                  <c:v>3.674303489615361E-2</c:v>
                </c:pt>
                <c:pt idx="18">
                  <c:v>3.4267369132499018E-2</c:v>
                </c:pt>
                <c:pt idx="19">
                  <c:v>3.4975097918640285E-2</c:v>
                </c:pt>
                <c:pt idx="20">
                  <c:v>2.4145185505271265E-2</c:v>
                </c:pt>
                <c:pt idx="21">
                  <c:v>2.1068435019140529E-2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A-4F86-9ACB-7BB51E47C33E}"/>
            </c:ext>
          </c:extLst>
        </c:ser>
        <c:ser>
          <c:idx val="4"/>
          <c:order val="4"/>
          <c:tx>
            <c:strRef>
              <c:f>'PC-EDAD'!$A$35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'PC-EDAD'!$B$33:$X$33</c15:sqref>
                  </c15:fullRef>
                </c:ext>
              </c:extLst>
              <c:f>'PC-EDAD'!$C$33:$X$33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'PC-EDAD'!$B$35:$X$35</c15:sqref>
                  </c15:fullRef>
                </c:ext>
              </c:extLst>
              <c:f>'PC-EDAD'!$C$35:$X$35</c:f>
              <c:numCache>
                <c:formatCode>0%</c:formatCode>
                <c:ptCount val="22"/>
                <c:pt idx="0">
                  <c:v>0.11639277361535769</c:v>
                </c:pt>
                <c:pt idx="1">
                  <c:v>2.8064663995687966E-2</c:v>
                </c:pt>
                <c:pt idx="2">
                  <c:v>2.9634273499417243E-2</c:v>
                </c:pt>
                <c:pt idx="3">
                  <c:v>2.7555409499736654E-2</c:v>
                </c:pt>
                <c:pt idx="4">
                  <c:v>4.3763830300201062E-2</c:v>
                </c:pt>
                <c:pt idx="5">
                  <c:v>3.8522136926306454E-2</c:v>
                </c:pt>
                <c:pt idx="6">
                  <c:v>1.3553694196994152E-2</c:v>
                </c:pt>
                <c:pt idx="7">
                  <c:v>1.7994170734816045E-2</c:v>
                </c:pt>
                <c:pt idx="8">
                  <c:v>1.5101612875980698E-2</c:v>
                </c:pt>
                <c:pt idx="9">
                  <c:v>1.7672455493498898E-2</c:v>
                </c:pt>
                <c:pt idx="10">
                  <c:v>2.9682837912336835E-2</c:v>
                </c:pt>
                <c:pt idx="11">
                  <c:v>1.63356864359019E-2</c:v>
                </c:pt>
                <c:pt idx="12">
                  <c:v>2.3423787271747258E-2</c:v>
                </c:pt>
                <c:pt idx="13">
                  <c:v>2.1900054822119895E-2</c:v>
                </c:pt>
                <c:pt idx="14">
                  <c:v>2.7439661116374924E-2</c:v>
                </c:pt>
                <c:pt idx="15">
                  <c:v>3.2586145206442936E-2</c:v>
                </c:pt>
                <c:pt idx="16">
                  <c:v>2.0406459182090848E-2</c:v>
                </c:pt>
                <c:pt idx="17">
                  <c:v>1.9012871680919911E-2</c:v>
                </c:pt>
                <c:pt idx="18">
                  <c:v>1.8914399175671892E-2</c:v>
                </c:pt>
                <c:pt idx="19">
                  <c:v>1.3081102953484129E-2</c:v>
                </c:pt>
                <c:pt idx="20">
                  <c:v>1.2756892307550567E-2</c:v>
                </c:pt>
                <c:pt idx="21">
                  <c:v>8.2724582576393976E-3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A-4F86-9ACB-7BB51E47C33E}"/>
            </c:ext>
          </c:extLst>
        </c:ser>
        <c:ser>
          <c:idx val="5"/>
          <c:order val="5"/>
          <c:tx>
            <c:strRef>
              <c:f>'PC-EDAD'!$A$36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'PC-EDAD'!$B$33:$X$33</c15:sqref>
                  </c15:fullRef>
                </c:ext>
              </c:extLst>
              <c:f>'PC-EDAD'!$C$33:$X$33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'PC-EDAD'!$B$36:$X$36</c15:sqref>
                  </c15:fullRef>
                </c:ext>
              </c:extLst>
              <c:f>'PC-EDAD'!$C$36:$X$36</c:f>
              <c:numCache>
                <c:formatCode>0%</c:formatCode>
                <c:ptCount val="22"/>
                <c:pt idx="0">
                  <c:v>0.15324904592538746</c:v>
                </c:pt>
                <c:pt idx="1">
                  <c:v>5.3853942210337784E-2</c:v>
                </c:pt>
                <c:pt idx="2">
                  <c:v>7.2971780160440328E-2</c:v>
                </c:pt>
                <c:pt idx="3">
                  <c:v>5.7007364331022818E-2</c:v>
                </c:pt>
                <c:pt idx="4">
                  <c:v>4.6785569026541039E-2</c:v>
                </c:pt>
                <c:pt idx="5">
                  <c:v>4.6008463355746529E-2</c:v>
                </c:pt>
                <c:pt idx="6">
                  <c:v>1.834419377450091E-2</c:v>
                </c:pt>
                <c:pt idx="7">
                  <c:v>6.7153006741261919E-3</c:v>
                </c:pt>
                <c:pt idx="8">
                  <c:v>7.2881781285426281E-3</c:v>
                </c:pt>
                <c:pt idx="9">
                  <c:v>8.0704760421263996E-3</c:v>
                </c:pt>
                <c:pt idx="10">
                  <c:v>2.4915842398123875E-2</c:v>
                </c:pt>
                <c:pt idx="11">
                  <c:v>6.5958790899729161E-3</c:v>
                </c:pt>
                <c:pt idx="12">
                  <c:v>5.5868532412575644E-3</c:v>
                </c:pt>
                <c:pt idx="13">
                  <c:v>9.0223872201597548E-3</c:v>
                </c:pt>
                <c:pt idx="14">
                  <c:v>1.3046375381846203E-2</c:v>
                </c:pt>
                <c:pt idx="15">
                  <c:v>1.131216629022907E-2</c:v>
                </c:pt>
                <c:pt idx="16">
                  <c:v>3.0789999740387878E-2</c:v>
                </c:pt>
                <c:pt idx="17">
                  <c:v>1.1132168540200948E-2</c:v>
                </c:pt>
                <c:pt idx="18">
                  <c:v>8.503162941232472E-3</c:v>
                </c:pt>
                <c:pt idx="19">
                  <c:v>9.4377666433015789E-3</c:v>
                </c:pt>
                <c:pt idx="20">
                  <c:v>6.760300111633223E-3</c:v>
                </c:pt>
                <c:pt idx="21">
                  <c:v>4.4012911377069351E-3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BA-4F86-9ACB-7BB51E47C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427440"/>
        <c:axId val="966439408"/>
      </c:lineChart>
      <c:catAx>
        <c:axId val="966441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8320"/>
        <c:crosses val="autoZero"/>
        <c:auto val="1"/>
        <c:lblAlgn val="ctr"/>
        <c:lblOffset val="100"/>
        <c:noMultiLvlLbl val="0"/>
      </c:catAx>
      <c:valAx>
        <c:axId val="966438320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41584"/>
        <c:crosses val="autoZero"/>
        <c:crossBetween val="between"/>
      </c:valAx>
      <c:valAx>
        <c:axId val="966439408"/>
        <c:scaling>
          <c:orientation val="minMax"/>
          <c:max val="0.16000000000000003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27440"/>
        <c:crosses val="max"/>
        <c:crossBetween val="between"/>
      </c:valAx>
      <c:catAx>
        <c:axId val="96642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6439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Andalucía y C. Valenciana 
% según año plantación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'PC-EDAD'!$A$34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'PC-EDAD'!$B$33:$X$33</c15:sqref>
                  </c15:fullRef>
                </c:ext>
              </c:extLst>
              <c:f>'PC-EDAD'!$C$33:$X$33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'PC-EDAD'!$B$34:$X$34</c15:sqref>
                  </c15:fullRef>
                </c:ext>
              </c:extLst>
              <c:f>'PC-EDAD'!$C$34:$X$34</c:f>
              <c:numCache>
                <c:formatCode>0%</c:formatCode>
                <c:ptCount val="22"/>
                <c:pt idx="0">
                  <c:v>4.8779271717994302E-2</c:v>
                </c:pt>
                <c:pt idx="1">
                  <c:v>2.1062895067781303E-2</c:v>
                </c:pt>
                <c:pt idx="2">
                  <c:v>4.1299644889117873E-2</c:v>
                </c:pt>
                <c:pt idx="3">
                  <c:v>2.591727744630402E-2</c:v>
                </c:pt>
                <c:pt idx="4">
                  <c:v>6.3657503587118511E-2</c:v>
                </c:pt>
                <c:pt idx="5">
                  <c:v>3.4925930850327129E-2</c:v>
                </c:pt>
                <c:pt idx="6">
                  <c:v>3.0343006088406545E-2</c:v>
                </c:pt>
                <c:pt idx="7">
                  <c:v>2.8861069099813303E-2</c:v>
                </c:pt>
                <c:pt idx="8">
                  <c:v>3.1945437019062974E-2</c:v>
                </c:pt>
                <c:pt idx="9">
                  <c:v>1.4277839640567957E-2</c:v>
                </c:pt>
                <c:pt idx="10">
                  <c:v>5.5533857412731924E-2</c:v>
                </c:pt>
                <c:pt idx="11">
                  <c:v>2.2389020924396284E-2</c:v>
                </c:pt>
                <c:pt idx="12">
                  <c:v>3.2785432143905786E-2</c:v>
                </c:pt>
                <c:pt idx="13">
                  <c:v>2.6892308885527984E-2</c:v>
                </c:pt>
                <c:pt idx="14">
                  <c:v>4.0033766003534484E-2</c:v>
                </c:pt>
                <c:pt idx="15">
                  <c:v>7.9914490850770334E-2</c:v>
                </c:pt>
                <c:pt idx="16">
                  <c:v>4.2916618192092276E-2</c:v>
                </c:pt>
                <c:pt idx="17">
                  <c:v>3.674303489615361E-2</c:v>
                </c:pt>
                <c:pt idx="18">
                  <c:v>3.4267369132499018E-2</c:v>
                </c:pt>
                <c:pt idx="19">
                  <c:v>3.4975097918640285E-2</c:v>
                </c:pt>
                <c:pt idx="20">
                  <c:v>2.4145185505271265E-2</c:v>
                </c:pt>
                <c:pt idx="21">
                  <c:v>2.1068435019140529E-2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A-4B3F-B078-22AAE4DB6DC4}"/>
            </c:ext>
          </c:extLst>
        </c:ser>
        <c:ser>
          <c:idx val="1"/>
          <c:order val="1"/>
          <c:tx>
            <c:strRef>
              <c:f>'PC-EDAD'!$A$35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'PC-EDAD'!$B$33:$X$33</c15:sqref>
                  </c15:fullRef>
                </c:ext>
              </c:extLst>
              <c:f>'PC-EDAD'!$C$33:$X$33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'PC-EDAD'!$B$35:$X$35</c15:sqref>
                  </c15:fullRef>
                </c:ext>
              </c:extLst>
              <c:f>'PC-EDAD'!$C$35:$X$35</c:f>
              <c:numCache>
                <c:formatCode>0%</c:formatCode>
                <c:ptCount val="22"/>
                <c:pt idx="0">
                  <c:v>0.11639277361535769</c:v>
                </c:pt>
                <c:pt idx="1">
                  <c:v>2.8064663995687966E-2</c:v>
                </c:pt>
                <c:pt idx="2">
                  <c:v>2.9634273499417243E-2</c:v>
                </c:pt>
                <c:pt idx="3">
                  <c:v>2.7555409499736654E-2</c:v>
                </c:pt>
                <c:pt idx="4">
                  <c:v>4.3763830300201062E-2</c:v>
                </c:pt>
                <c:pt idx="5">
                  <c:v>3.8522136926306454E-2</c:v>
                </c:pt>
                <c:pt idx="6">
                  <c:v>1.3553694196994152E-2</c:v>
                </c:pt>
                <c:pt idx="7">
                  <c:v>1.7994170734816045E-2</c:v>
                </c:pt>
                <c:pt idx="8">
                  <c:v>1.5101612875980698E-2</c:v>
                </c:pt>
                <c:pt idx="9">
                  <c:v>1.7672455493498898E-2</c:v>
                </c:pt>
                <c:pt idx="10">
                  <c:v>2.9682837912336835E-2</c:v>
                </c:pt>
                <c:pt idx="11">
                  <c:v>1.63356864359019E-2</c:v>
                </c:pt>
                <c:pt idx="12">
                  <c:v>2.3423787271747258E-2</c:v>
                </c:pt>
                <c:pt idx="13">
                  <c:v>2.1900054822119895E-2</c:v>
                </c:pt>
                <c:pt idx="14">
                  <c:v>2.7439661116374924E-2</c:v>
                </c:pt>
                <c:pt idx="15">
                  <c:v>3.2586145206442936E-2</c:v>
                </c:pt>
                <c:pt idx="16">
                  <c:v>2.0406459182090848E-2</c:v>
                </c:pt>
                <c:pt idx="17">
                  <c:v>1.9012871680919911E-2</c:v>
                </c:pt>
                <c:pt idx="18">
                  <c:v>1.8914399175671892E-2</c:v>
                </c:pt>
                <c:pt idx="19">
                  <c:v>1.3081102953484129E-2</c:v>
                </c:pt>
                <c:pt idx="20">
                  <c:v>1.2756892307550567E-2</c:v>
                </c:pt>
                <c:pt idx="21">
                  <c:v>8.2724582576393976E-3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B3F-B078-22AAE4DB6DC4}"/>
            </c:ext>
          </c:extLst>
        </c:ser>
        <c:ser>
          <c:idx val="2"/>
          <c:order val="2"/>
          <c:tx>
            <c:strRef>
              <c:f>'PC-EDAD'!$A$36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'PC-EDAD'!$B$33:$X$33</c15:sqref>
                  </c15:fullRef>
                </c:ext>
              </c:extLst>
              <c:f>'PC-EDAD'!$C$33:$X$33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'PC-EDAD'!$B$36:$X$36</c15:sqref>
                  </c15:fullRef>
                </c:ext>
              </c:extLst>
              <c:f>'PC-EDAD'!$C$36:$X$36</c:f>
              <c:numCache>
                <c:formatCode>0%</c:formatCode>
                <c:ptCount val="22"/>
                <c:pt idx="0">
                  <c:v>0.15324904592538746</c:v>
                </c:pt>
                <c:pt idx="1">
                  <c:v>5.3853942210337784E-2</c:v>
                </c:pt>
                <c:pt idx="2">
                  <c:v>7.2971780160440328E-2</c:v>
                </c:pt>
                <c:pt idx="3">
                  <c:v>5.7007364331022818E-2</c:v>
                </c:pt>
                <c:pt idx="4">
                  <c:v>4.6785569026541039E-2</c:v>
                </c:pt>
                <c:pt idx="5">
                  <c:v>4.6008463355746529E-2</c:v>
                </c:pt>
                <c:pt idx="6">
                  <c:v>1.834419377450091E-2</c:v>
                </c:pt>
                <c:pt idx="7">
                  <c:v>6.7153006741261919E-3</c:v>
                </c:pt>
                <c:pt idx="8">
                  <c:v>7.2881781285426281E-3</c:v>
                </c:pt>
                <c:pt idx="9">
                  <c:v>8.0704760421263996E-3</c:v>
                </c:pt>
                <c:pt idx="10">
                  <c:v>2.4915842398123875E-2</c:v>
                </c:pt>
                <c:pt idx="11">
                  <c:v>6.5958790899729161E-3</c:v>
                </c:pt>
                <c:pt idx="12">
                  <c:v>5.5868532412575644E-3</c:v>
                </c:pt>
                <c:pt idx="13">
                  <c:v>9.0223872201597548E-3</c:v>
                </c:pt>
                <c:pt idx="14">
                  <c:v>1.3046375381846203E-2</c:v>
                </c:pt>
                <c:pt idx="15">
                  <c:v>1.131216629022907E-2</c:v>
                </c:pt>
                <c:pt idx="16">
                  <c:v>3.0789999740387878E-2</c:v>
                </c:pt>
                <c:pt idx="17">
                  <c:v>1.1132168540200948E-2</c:v>
                </c:pt>
                <c:pt idx="18">
                  <c:v>8.503162941232472E-3</c:v>
                </c:pt>
                <c:pt idx="19">
                  <c:v>9.4377666433015789E-3</c:v>
                </c:pt>
                <c:pt idx="20">
                  <c:v>6.760300111633223E-3</c:v>
                </c:pt>
                <c:pt idx="21">
                  <c:v>4.4012911377069351E-3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B-4561-8A88-5923DE3A4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6429072"/>
        <c:axId val="966432336"/>
      </c:lineChart>
      <c:catAx>
        <c:axId val="96642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2336"/>
        <c:crosses val="autoZero"/>
        <c:auto val="1"/>
        <c:lblAlgn val="ctr"/>
        <c:lblOffset val="100"/>
        <c:noMultiLvlLbl val="0"/>
      </c:catAx>
      <c:valAx>
        <c:axId val="966432336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2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94-4351-A686-F352EA48BEF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694-4351-A686-F352EA48BEF5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694-4351-A686-F352EA48BEF5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694-4351-A686-F352EA48BEF5}"/>
                </c:ext>
              </c:extLst>
            </c:dLbl>
            <c:dLbl>
              <c:idx val="2"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694-4351-A686-F352EA48BEF5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694-4351-A686-F352EA48BEF5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94-4351-A686-F352EA48BE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'PC-EDAD'!$A$34:$A$41</c15:sqref>
                  </c15:fullRef>
                </c:ext>
              </c:extLst>
              <c:f>('PC-EDAD'!$A$34:$A$36,'PC-EDAD'!$A$40:$A$41)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  <c:pt idx="4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'PC-EDAD'!$Y$34:$Y$41</c15:sqref>
                  </c15:fullRef>
                </c:ext>
              </c:extLst>
              <c:f>('PC-EDAD'!$Y$34:$Y$36,'PC-EDAD'!$Y$40:$Y$41)</c:f>
              <c:numCache>
                <c:formatCode>0%</c:formatCode>
                <c:ptCount val="5"/>
                <c:pt idx="0">
                  <c:v>9.8749632978222457E-4</c:v>
                </c:pt>
                <c:pt idx="1">
                  <c:v>1.1594033756298027E-3</c:v>
                </c:pt>
                <c:pt idx="2">
                  <c:v>1.2115233174969936E-5</c:v>
                </c:pt>
                <c:pt idx="3">
                  <c:v>3.7377095885443808E-3</c:v>
                </c:pt>
                <c:pt idx="4">
                  <c:v>1.2526855082109465E-3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B-433E-8943-22CEFDB90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66430160"/>
        <c:axId val="966439952"/>
      </c:barChart>
      <c:catAx>
        <c:axId val="96643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9952"/>
        <c:crosses val="autoZero"/>
        <c:auto val="1"/>
        <c:lblAlgn val="ctr"/>
        <c:lblOffset val="100"/>
        <c:noMultiLvlLbl val="0"/>
      </c:catAx>
      <c:valAx>
        <c:axId val="966439952"/>
        <c:scaling>
          <c:orientation val="minMax"/>
          <c:max val="1.0000000000000002E-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Clementinas: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59-496A-95EB-FE39D79EAB5B}"/>
              </c:ext>
            </c:extLst>
          </c:dPt>
          <c:dLbls>
            <c:dLbl>
              <c:idx val="1"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A59-496A-95EB-FE39D79EAB5B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59-496A-95EB-FE39D79EAB5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'CLE-EDAD'!$A$30:$A$36</c15:sqref>
                  </c15:fullRef>
                </c:ext>
              </c:extLst>
              <c:f>('CLE-EDAD'!$A$31:$A$32,'CLE-EDAD'!$A$35:$A$36)</c:f>
              <c:strCache>
                <c:ptCount val="4"/>
                <c:pt idx="0">
                  <c:v>C. VALENCIANA</c:v>
                </c:pt>
                <c:pt idx="1">
                  <c:v>CATALUÑA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'CLE-EDAD'!$Y$30:$Y$36</c15:sqref>
                  </c15:fullRef>
                </c:ext>
              </c:extLst>
              <c:f>('CLE-EDAD'!$Y$31:$Y$32,'CLE-EDAD'!$Y$35:$Y$36)</c:f>
              <c:numCache>
                <c:formatCode>0.0%</c:formatCode>
                <c:ptCount val="4"/>
                <c:pt idx="0">
                  <c:v>8.5226366627329817E-4</c:v>
                </c:pt>
                <c:pt idx="1" formatCode="0%">
                  <c:v>1.3016136290103659E-5</c:v>
                </c:pt>
                <c:pt idx="2">
                  <c:v>7.6565248704234985E-3</c:v>
                </c:pt>
                <c:pt idx="3">
                  <c:v>9.7157630083337181E-4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B-4CBB-BB89-EA6E97476E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66431792"/>
        <c:axId val="966430704"/>
      </c:barChart>
      <c:catAx>
        <c:axId val="966431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0704"/>
        <c:crosses val="autoZero"/>
        <c:auto val="1"/>
        <c:lblAlgn val="ctr"/>
        <c:lblOffset val="100"/>
        <c:noMultiLvlLbl val="0"/>
      </c:catAx>
      <c:valAx>
        <c:axId val="966430704"/>
        <c:scaling>
          <c:orientation val="minMax"/>
          <c:max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Clementinas: Andalucía y C. Valenciana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'CLE-EDAD'!$A$30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'CLE-EDAD'!$B$29:$X$29</c15:sqref>
                  </c15:fullRef>
                </c:ext>
              </c:extLst>
              <c:f>'CLE-EDAD'!$C$29:$X$29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'CLE-EDAD'!$B$30:$X$30</c15:sqref>
                  </c15:fullRef>
                </c:ext>
              </c:extLst>
              <c:f>'CLE-EDAD'!$C$30:$X$30</c:f>
              <c:numCache>
                <c:formatCode>0%</c:formatCode>
                <c:ptCount val="22"/>
                <c:pt idx="0">
                  <c:v>5.9641932268923038E-2</c:v>
                </c:pt>
                <c:pt idx="1">
                  <c:v>2.2190112911811912E-2</c:v>
                </c:pt>
                <c:pt idx="2">
                  <c:v>6.6330185998294933E-2</c:v>
                </c:pt>
                <c:pt idx="3">
                  <c:v>1.4805416244731652E-2</c:v>
                </c:pt>
                <c:pt idx="4">
                  <c:v>3.0979703091165978E-2</c:v>
                </c:pt>
                <c:pt idx="5">
                  <c:v>3.1039741275451189E-2</c:v>
                </c:pt>
                <c:pt idx="6">
                  <c:v>2.0280898651542381E-2</c:v>
                </c:pt>
                <c:pt idx="7">
                  <c:v>2.4007268622844129E-2</c:v>
                </c:pt>
                <c:pt idx="8">
                  <c:v>1.6518505769669511E-2</c:v>
                </c:pt>
                <c:pt idx="9">
                  <c:v>4.6309452811988429E-3</c:v>
                </c:pt>
                <c:pt idx="10">
                  <c:v>3.2160454048775024E-2</c:v>
                </c:pt>
                <c:pt idx="11">
                  <c:v>2.6833065829867796E-2</c:v>
                </c:pt>
                <c:pt idx="12">
                  <c:v>2.0569081936111368E-2</c:v>
                </c:pt>
                <c:pt idx="13">
                  <c:v>3.142798820049552E-2</c:v>
                </c:pt>
                <c:pt idx="14">
                  <c:v>5.7112323437706385E-2</c:v>
                </c:pt>
                <c:pt idx="15">
                  <c:v>0.10439839738073413</c:v>
                </c:pt>
                <c:pt idx="16">
                  <c:v>4.3787849072009805E-2</c:v>
                </c:pt>
                <c:pt idx="17">
                  <c:v>2.1085410320964136E-2</c:v>
                </c:pt>
                <c:pt idx="18">
                  <c:v>3.6683330598260497E-2</c:v>
                </c:pt>
                <c:pt idx="19">
                  <c:v>8.2732617945013021E-3</c:v>
                </c:pt>
                <c:pt idx="20">
                  <c:v>1.5970157019864633E-2</c:v>
                </c:pt>
                <c:pt idx="21">
                  <c:v>3.7663954274918853E-3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E-437B-A175-E6F7EC9B41E1}"/>
            </c:ext>
          </c:extLst>
        </c:ser>
        <c:ser>
          <c:idx val="1"/>
          <c:order val="1"/>
          <c:tx>
            <c:strRef>
              <c:f>'CLE-EDAD'!$A$31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'CLE-EDAD'!$B$29:$X$29</c15:sqref>
                  </c15:fullRef>
                </c:ext>
              </c:extLst>
              <c:f>'CLE-EDAD'!$C$29:$X$29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'CLE-EDAD'!$B$31:$X$31</c15:sqref>
                  </c15:fullRef>
                </c:ext>
              </c:extLst>
              <c:f>'CLE-EDAD'!$C$31:$X$31</c:f>
              <c:numCache>
                <c:formatCode>0%</c:formatCode>
                <c:ptCount val="22"/>
                <c:pt idx="0">
                  <c:v>0.14032755875375072</c:v>
                </c:pt>
                <c:pt idx="1">
                  <c:v>3.618057071917679E-2</c:v>
                </c:pt>
                <c:pt idx="2">
                  <c:v>3.7189241175590214E-2</c:v>
                </c:pt>
                <c:pt idx="3">
                  <c:v>3.1939186586553661E-2</c:v>
                </c:pt>
                <c:pt idx="4">
                  <c:v>4.4256681330058799E-2</c:v>
                </c:pt>
                <c:pt idx="5">
                  <c:v>3.9406537435811864E-2</c:v>
                </c:pt>
                <c:pt idx="6">
                  <c:v>1.3010284819831644E-2</c:v>
                </c:pt>
                <c:pt idx="7">
                  <c:v>1.9430630215093066E-2</c:v>
                </c:pt>
                <c:pt idx="8">
                  <c:v>1.3216987126801128E-2</c:v>
                </c:pt>
                <c:pt idx="9">
                  <c:v>1.6754847383774418E-2</c:v>
                </c:pt>
                <c:pt idx="10">
                  <c:v>2.3165072339673839E-2</c:v>
                </c:pt>
                <c:pt idx="11">
                  <c:v>1.1092308220740888E-2</c:v>
                </c:pt>
                <c:pt idx="12">
                  <c:v>1.607003098694524E-2</c:v>
                </c:pt>
                <c:pt idx="13">
                  <c:v>1.3795998930300226E-2</c:v>
                </c:pt>
                <c:pt idx="14">
                  <c:v>1.6983017289390587E-2</c:v>
                </c:pt>
                <c:pt idx="15">
                  <c:v>2.4606161568827577E-2</c:v>
                </c:pt>
                <c:pt idx="16">
                  <c:v>1.458355312065281E-2</c:v>
                </c:pt>
                <c:pt idx="17">
                  <c:v>1.0317021229614979E-2</c:v>
                </c:pt>
                <c:pt idx="18">
                  <c:v>8.7731942069378364E-3</c:v>
                </c:pt>
                <c:pt idx="19">
                  <c:v>6.222536807731281E-3</c:v>
                </c:pt>
                <c:pt idx="20">
                  <c:v>4.3573091653152304E-3</c:v>
                </c:pt>
                <c:pt idx="21">
                  <c:v>4.2367839329131409E-3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E-437B-A175-E6F7EC9B4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465856"/>
        <c:axId val="962462048"/>
      </c:barChart>
      <c:catAx>
        <c:axId val="9624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2048"/>
        <c:crosses val="autoZero"/>
        <c:auto val="1"/>
        <c:lblAlgn val="ctr"/>
        <c:lblOffset val="100"/>
        <c:noMultiLvlLbl val="0"/>
      </c:catAx>
      <c:valAx>
        <c:axId val="9624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Clementinas:</a:t>
            </a:r>
            <a:r>
              <a:rPr lang="en-US" baseline="0"/>
              <a:t> </a:t>
            </a: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'CLE-EDAD'!$A$26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'CLE-EDAD'!$B$4:$X$4</c15:sqref>
                  </c15:fullRef>
                </c:ext>
              </c:extLst>
              <c:f>'CLE-EDAD'!$C$4:$X$4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'CLE-EDAD'!$B$26:$X$26</c15:sqref>
                  </c15:fullRef>
                </c:ext>
              </c:extLst>
              <c:f>'CLE-EDAD'!$C$26:$X$26</c:f>
              <c:numCache>
                <c:formatCode>#,##0</c:formatCode>
                <c:ptCount val="22"/>
                <c:pt idx="0">
                  <c:v>5668.670000000001</c:v>
                </c:pt>
                <c:pt idx="1">
                  <c:v>1600.2899999999993</c:v>
                </c:pt>
                <c:pt idx="2">
                  <c:v>1868.4099999999994</c:v>
                </c:pt>
                <c:pt idx="3">
                  <c:v>1465.2099999999996</c:v>
                </c:pt>
                <c:pt idx="4">
                  <c:v>1841.5999999999997</c:v>
                </c:pt>
                <c:pt idx="5">
                  <c:v>1670.7999999999997</c:v>
                </c:pt>
                <c:pt idx="6">
                  <c:v>578.53000000000009</c:v>
                </c:pt>
                <c:pt idx="7">
                  <c:v>732.26999999999975</c:v>
                </c:pt>
                <c:pt idx="8">
                  <c:v>536.69999999999982</c:v>
                </c:pt>
                <c:pt idx="9">
                  <c:v>637.03</c:v>
                </c:pt>
                <c:pt idx="10">
                  <c:v>1013.59</c:v>
                </c:pt>
                <c:pt idx="11">
                  <c:v>528.93999999999994</c:v>
                </c:pt>
                <c:pt idx="12">
                  <c:v>670.8399999999998</c:v>
                </c:pt>
                <c:pt idx="13">
                  <c:v>673.86</c:v>
                </c:pt>
                <c:pt idx="14">
                  <c:v>847.00000000000011</c:v>
                </c:pt>
                <c:pt idx="15">
                  <c:v>1334.32</c:v>
                </c:pt>
                <c:pt idx="16">
                  <c:v>891.62</c:v>
                </c:pt>
                <c:pt idx="17">
                  <c:v>504.88999999999993</c:v>
                </c:pt>
                <c:pt idx="18">
                  <c:v>463.09000000000009</c:v>
                </c:pt>
                <c:pt idx="19">
                  <c:v>290.62000000000006</c:v>
                </c:pt>
                <c:pt idx="20">
                  <c:v>229.53000000000003</c:v>
                </c:pt>
                <c:pt idx="21">
                  <c:v>206.73000000000002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6-44A0-B43B-8514591BB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458240"/>
        <c:axId val="962469120"/>
      </c:barChart>
      <c:catAx>
        <c:axId val="96245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9120"/>
        <c:crosses val="autoZero"/>
        <c:auto val="1"/>
        <c:lblAlgn val="ctr"/>
        <c:lblOffset val="100"/>
        <c:noMultiLvlLbl val="0"/>
      </c:catAx>
      <c:valAx>
        <c:axId val="96246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5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Clementinas: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'CLE-EDAD'!$B$4:$X$4</c15:sqref>
                  </c15:fullRef>
                </c:ext>
              </c:extLst>
              <c:f>'CLE-EDAD'!$C$4:$X$4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'CLE-EDAD'!$B$5:$X$5</c15:sqref>
                  </c15:fullRef>
                </c:ext>
              </c:extLst>
              <c:f>'CLE-EDAD'!$C$5:$X$5</c:f>
              <c:numCache>
                <c:formatCode>#,##0</c:formatCode>
                <c:ptCount val="22"/>
                <c:pt idx="0">
                  <c:v>149.01</c:v>
                </c:pt>
                <c:pt idx="1">
                  <c:v>55.44</c:v>
                </c:pt>
                <c:pt idx="2">
                  <c:v>165.72000000000003</c:v>
                </c:pt>
                <c:pt idx="3">
                  <c:v>36.99</c:v>
                </c:pt>
                <c:pt idx="4">
                  <c:v>77.399999999999991</c:v>
                </c:pt>
                <c:pt idx="5">
                  <c:v>77.55</c:v>
                </c:pt>
                <c:pt idx="6">
                  <c:v>50.67</c:v>
                </c:pt>
                <c:pt idx="7">
                  <c:v>59.98</c:v>
                </c:pt>
                <c:pt idx="8">
                  <c:v>41.27</c:v>
                </c:pt>
                <c:pt idx="9">
                  <c:v>11.57</c:v>
                </c:pt>
                <c:pt idx="10">
                  <c:v>80.349999999999994</c:v>
                </c:pt>
                <c:pt idx="11">
                  <c:v>67.039999999999992</c:v>
                </c:pt>
                <c:pt idx="12">
                  <c:v>51.39</c:v>
                </c:pt>
                <c:pt idx="13">
                  <c:v>78.52000000000001</c:v>
                </c:pt>
                <c:pt idx="14">
                  <c:v>142.69</c:v>
                </c:pt>
                <c:pt idx="15">
                  <c:v>260.82999999999993</c:v>
                </c:pt>
                <c:pt idx="16">
                  <c:v>109.4</c:v>
                </c:pt>
                <c:pt idx="17">
                  <c:v>52.680000000000007</c:v>
                </c:pt>
                <c:pt idx="18">
                  <c:v>91.65</c:v>
                </c:pt>
                <c:pt idx="19">
                  <c:v>20.669999999999998</c:v>
                </c:pt>
                <c:pt idx="20">
                  <c:v>39.9</c:v>
                </c:pt>
                <c:pt idx="21">
                  <c:v>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D-4B9A-804E-695772D8E42D}"/>
            </c:ext>
          </c:extLst>
        </c:ser>
        <c:ser>
          <c:idx val="1"/>
          <c:order val="1"/>
          <c:tx>
            <c:strRef>
              <c:f>'CLE-EDAD'!$A$13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'CLE-EDAD'!$B$4:$X$4</c15:sqref>
                  </c15:fullRef>
                </c:ext>
              </c:extLst>
              <c:f>'CLE-EDAD'!$C$4:$X$4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'CLE-EDAD'!$B$13:$X$13</c15:sqref>
                  </c15:fullRef>
                </c:ext>
              </c:extLst>
              <c:f>'CLE-EDAD'!$C$13:$X$13</c:f>
              <c:numCache>
                <c:formatCode>#,##0</c:formatCode>
                <c:ptCount val="22"/>
                <c:pt idx="0">
                  <c:v>4575.7000000000007</c:v>
                </c:pt>
                <c:pt idx="1">
                  <c:v>1179.7499999999991</c:v>
                </c:pt>
                <c:pt idx="2">
                  <c:v>1212.6399999999994</c:v>
                </c:pt>
                <c:pt idx="3">
                  <c:v>1041.4499999999996</c:v>
                </c:pt>
                <c:pt idx="4">
                  <c:v>1443.0899999999997</c:v>
                </c:pt>
                <c:pt idx="5">
                  <c:v>1284.9399999999996</c:v>
                </c:pt>
                <c:pt idx="6">
                  <c:v>424.23</c:v>
                </c:pt>
                <c:pt idx="7">
                  <c:v>633.57999999999981</c:v>
                </c:pt>
                <c:pt idx="8">
                  <c:v>430.96999999999991</c:v>
                </c:pt>
                <c:pt idx="9">
                  <c:v>546.32999999999993</c:v>
                </c:pt>
                <c:pt idx="10">
                  <c:v>755.35</c:v>
                </c:pt>
                <c:pt idx="11">
                  <c:v>361.68999999999994</c:v>
                </c:pt>
                <c:pt idx="12">
                  <c:v>523.99999999999977</c:v>
                </c:pt>
                <c:pt idx="13">
                  <c:v>449.84999999999997</c:v>
                </c:pt>
                <c:pt idx="14">
                  <c:v>553.77</c:v>
                </c:pt>
                <c:pt idx="15">
                  <c:v>802.34000000000015</c:v>
                </c:pt>
                <c:pt idx="16">
                  <c:v>475.53</c:v>
                </c:pt>
                <c:pt idx="17">
                  <c:v>336.40999999999991</c:v>
                </c:pt>
                <c:pt idx="18">
                  <c:v>286.07</c:v>
                </c:pt>
                <c:pt idx="19">
                  <c:v>202.90000000000006</c:v>
                </c:pt>
                <c:pt idx="20">
                  <c:v>142.08000000000001</c:v>
                </c:pt>
                <c:pt idx="21">
                  <c:v>138.15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D-4B9A-804E-695772D8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470752"/>
        <c:axId val="959169152"/>
      </c:barChart>
      <c:catAx>
        <c:axId val="96247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9152"/>
        <c:crosses val="autoZero"/>
        <c:auto val="1"/>
        <c:lblAlgn val="ctr"/>
        <c:lblOffset val="100"/>
        <c:noMultiLvlLbl val="0"/>
      </c:catAx>
      <c:valAx>
        <c:axId val="95916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7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0" i="0" u="none" strike="noStrike" baseline="0">
                <a:effectLst/>
              </a:rPr>
              <a:t>Datos: RSU REGEPA 2021 vs 2020 en Cítricos (ha)</a:t>
            </a:r>
            <a:endParaRPr lang="es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'NAR-REPR'!$C$51</c:f>
              <c:strCache>
                <c:ptCount val="1"/>
                <c:pt idx="0">
                  <c:v>RSU REGEPA 2020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985124779166909E-2"/>
                  <c:y val="-4.2308850611779318E-3"/>
                </c:manualLayout>
              </c:layout>
              <c:tx>
                <c:rich>
                  <a:bodyPr/>
                  <a:lstStyle/>
                  <a:p>
                    <a:fld id="{88A36B47-10BD-424B-A79D-FE6BFEC5320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430-494E-823C-700AAF74B766}"/>
                </c:ext>
              </c:extLst>
            </c:dLbl>
            <c:dLbl>
              <c:idx val="1"/>
              <c:layout>
                <c:manualLayout>
                  <c:x val="4.1641874631944846E-2"/>
                  <c:y val="-4.230885061177931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E443898-4840-4A1E-8651-EE332AF764F5}" type="CELLRANGE">
                      <a:rPr lang="en-US"/>
                      <a:pPr>
                        <a:defRPr sz="1200" b="1">
                          <a:solidFill>
                            <a:srgbClr val="C00000"/>
                          </a:solidFill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430-494E-823C-700AAF74B766}"/>
                </c:ext>
              </c:extLst>
            </c:dLbl>
            <c:dLbl>
              <c:idx val="2"/>
              <c:layout>
                <c:manualLayout>
                  <c:x val="5.2746374533796811E-2"/>
                  <c:y val="-2.1154425305889658E-2"/>
                </c:manualLayout>
              </c:layout>
              <c:tx>
                <c:rich>
                  <a:bodyPr/>
                  <a:lstStyle/>
                  <a:p>
                    <a:fld id="{3D7A60A0-7044-41BC-9A13-1D2440C078A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430-494E-823C-700AAF74B766}"/>
                </c:ext>
              </c:extLst>
            </c:dLbl>
            <c:dLbl>
              <c:idx val="3"/>
              <c:layout>
                <c:manualLayout>
                  <c:x val="1.9432874828240725E-2"/>
                  <c:y val="7.7565330080283421E-17"/>
                </c:manualLayout>
              </c:layout>
              <c:tx>
                <c:rich>
                  <a:bodyPr/>
                  <a:lstStyle/>
                  <a:p>
                    <a:fld id="{F3DDA2C6-5C52-416E-A4E6-8D69415CBA7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430-494E-823C-700AAF74B7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'NAR-REPR'!$A$52:$A$55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'NAR-REPR'!$C$52:$C$55</c:f>
              <c:numCache>
                <c:formatCode>#,##0</c:formatCode>
                <c:ptCount val="4"/>
                <c:pt idx="0">
                  <c:v>107183.61000000013</c:v>
                </c:pt>
                <c:pt idx="1">
                  <c:v>78989.869999999981</c:v>
                </c:pt>
                <c:pt idx="2">
                  <c:v>27152.959999999999</c:v>
                </c:pt>
                <c:pt idx="3">
                  <c:v>2073.42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'NAR-REPR'!$E$52:$E$55</c15:f>
                <c15:dlblRangeCache>
                  <c:ptCount val="4"/>
                  <c:pt idx="0">
                    <c:v>0,8%</c:v>
                  </c:pt>
                  <c:pt idx="1">
                    <c:v>-0,6%</c:v>
                  </c:pt>
                  <c:pt idx="2">
                    <c:v>10,9%</c:v>
                  </c:pt>
                  <c:pt idx="3">
                    <c:v>12,6%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3E6-46C6-987E-172CB6911559}"/>
            </c:ext>
          </c:extLst>
        </c:ser>
        <c:ser>
          <c:idx val="1"/>
          <c:order val="1"/>
          <c:tx>
            <c:strRef>
              <c:f>'NAR-REPR'!$D$51</c:f>
              <c:strCache>
                <c:ptCount val="1"/>
                <c:pt idx="0">
                  <c:v>RSU REGEPA 2021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'NAR-REPR'!$A$52:$A$55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'NAR-REPR'!$D$52:$D$55</c:f>
              <c:numCache>
                <c:formatCode>#,##0</c:formatCode>
                <c:ptCount val="4"/>
                <c:pt idx="0">
                  <c:v>108084.02000000002</c:v>
                </c:pt>
                <c:pt idx="1">
                  <c:v>78551.239999999962</c:v>
                </c:pt>
                <c:pt idx="2">
                  <c:v>30125.489999999998</c:v>
                </c:pt>
                <c:pt idx="3">
                  <c:v>2335.0500000000002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E6-46C6-987E-172CB6911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48120320"/>
        <c:axId val="848125760"/>
      </c:barChart>
      <c:catAx>
        <c:axId val="84812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25760"/>
        <c:crosses val="autoZero"/>
        <c:auto val="1"/>
        <c:lblAlgn val="ctr"/>
        <c:lblOffset val="100"/>
        <c:noMultiLvlLbl val="0"/>
      </c:catAx>
      <c:valAx>
        <c:axId val="84812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2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Clementinas:</a:t>
            </a:r>
            <a:r>
              <a:rPr lang="en-US" baseline="0"/>
              <a:t> </a:t>
            </a:r>
            <a:r>
              <a:rPr lang="en-US"/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'CLE-EDAD'!$A$26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'CLE-EDAD'!$B$4:$X$4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'CLE-EDAD'!$B$26:$X$26</c:f>
              <c:numCache>
                <c:formatCode>#,##0</c:formatCode>
                <c:ptCount val="23"/>
                <c:pt idx="0">
                  <c:v>17924.490000000005</c:v>
                </c:pt>
                <c:pt idx="1">
                  <c:v>5668.670000000001</c:v>
                </c:pt>
                <c:pt idx="2">
                  <c:v>1600.2899999999993</c:v>
                </c:pt>
                <c:pt idx="3">
                  <c:v>1868.4099999999994</c:v>
                </c:pt>
                <c:pt idx="4">
                  <c:v>1465.2099999999996</c:v>
                </c:pt>
                <c:pt idx="5">
                  <c:v>1841.5999999999997</c:v>
                </c:pt>
                <c:pt idx="6">
                  <c:v>1670.7999999999997</c:v>
                </c:pt>
                <c:pt idx="7">
                  <c:v>578.53000000000009</c:v>
                </c:pt>
                <c:pt idx="8">
                  <c:v>732.26999999999975</c:v>
                </c:pt>
                <c:pt idx="9">
                  <c:v>536.69999999999982</c:v>
                </c:pt>
                <c:pt idx="10">
                  <c:v>637.03</c:v>
                </c:pt>
                <c:pt idx="11">
                  <c:v>1013.59</c:v>
                </c:pt>
                <c:pt idx="12">
                  <c:v>528.93999999999994</c:v>
                </c:pt>
                <c:pt idx="13">
                  <c:v>670.8399999999998</c:v>
                </c:pt>
                <c:pt idx="14">
                  <c:v>673.86</c:v>
                </c:pt>
                <c:pt idx="15">
                  <c:v>847.00000000000011</c:v>
                </c:pt>
                <c:pt idx="16">
                  <c:v>1334.32</c:v>
                </c:pt>
                <c:pt idx="17">
                  <c:v>891.62</c:v>
                </c:pt>
                <c:pt idx="18">
                  <c:v>504.88999999999993</c:v>
                </c:pt>
                <c:pt idx="19">
                  <c:v>463.09000000000009</c:v>
                </c:pt>
                <c:pt idx="20">
                  <c:v>290.62000000000006</c:v>
                </c:pt>
                <c:pt idx="21">
                  <c:v>229.53000000000003</c:v>
                </c:pt>
                <c:pt idx="22">
                  <c:v>206.73000000000002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F-458F-ADC3-572A6A22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458240"/>
        <c:axId val="962469120"/>
      </c:barChart>
      <c:catAx>
        <c:axId val="962458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9120"/>
        <c:crosses val="autoZero"/>
        <c:auto val="1"/>
        <c:lblAlgn val="ctr"/>
        <c:lblOffset val="100"/>
        <c:noMultiLvlLbl val="0"/>
      </c:catAx>
      <c:valAx>
        <c:axId val="96246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5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Mandarino: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'MAN-EDAD'!$A$33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'MAN-EDAD'!$B$4:$X$4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'MAN-EDAD'!$B$33:$X$33</c:f>
              <c:numCache>
                <c:formatCode>#,##0</c:formatCode>
                <c:ptCount val="23"/>
                <c:pt idx="0">
                  <c:v>2090.83</c:v>
                </c:pt>
                <c:pt idx="1">
                  <c:v>643.27</c:v>
                </c:pt>
                <c:pt idx="2">
                  <c:v>349.03</c:v>
                </c:pt>
                <c:pt idx="3">
                  <c:v>358.56000000000006</c:v>
                </c:pt>
                <c:pt idx="4">
                  <c:v>341.40999999999997</c:v>
                </c:pt>
                <c:pt idx="5">
                  <c:v>692.70999999999992</c:v>
                </c:pt>
                <c:pt idx="6">
                  <c:v>371.62</c:v>
                </c:pt>
                <c:pt idx="7">
                  <c:v>409.6</c:v>
                </c:pt>
                <c:pt idx="8">
                  <c:v>196.26</c:v>
                </c:pt>
                <c:pt idx="9">
                  <c:v>269.26</c:v>
                </c:pt>
                <c:pt idx="10">
                  <c:v>104.11000000000001</c:v>
                </c:pt>
                <c:pt idx="11">
                  <c:v>564.35</c:v>
                </c:pt>
                <c:pt idx="12">
                  <c:v>338.65999999999997</c:v>
                </c:pt>
                <c:pt idx="13">
                  <c:v>288.34000000000003</c:v>
                </c:pt>
                <c:pt idx="14">
                  <c:v>364.02</c:v>
                </c:pt>
                <c:pt idx="15">
                  <c:v>349.53</c:v>
                </c:pt>
                <c:pt idx="16">
                  <c:v>607.52</c:v>
                </c:pt>
                <c:pt idx="17">
                  <c:v>357.21000000000004</c:v>
                </c:pt>
                <c:pt idx="18">
                  <c:v>206.51999999999998</c:v>
                </c:pt>
                <c:pt idx="19">
                  <c:v>335.57</c:v>
                </c:pt>
                <c:pt idx="20">
                  <c:v>366.15999999999997</c:v>
                </c:pt>
                <c:pt idx="21">
                  <c:v>172.49</c:v>
                </c:pt>
                <c:pt idx="22">
                  <c:v>62.75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0-44D4-B5F1-950DFAD6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467488"/>
        <c:axId val="962469664"/>
      </c:barChart>
      <c:catAx>
        <c:axId val="96246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9664"/>
        <c:crosses val="autoZero"/>
        <c:auto val="1"/>
        <c:lblAlgn val="ctr"/>
        <c:lblOffset val="100"/>
        <c:noMultiLvlLbl val="0"/>
      </c:catAx>
      <c:valAx>
        <c:axId val="96246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Mandarino: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60-469F-A24E-5D4F26214C0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B60-469F-A24E-5D4F26214C0A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B60-469F-A24E-5D4F26214C0A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B60-469F-A24E-5D4F26214C0A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60-469F-A24E-5D4F26214C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'MAN-EDAD'!$A$37:$A$46</c15:sqref>
                  </c15:fullRef>
                </c:ext>
              </c:extLst>
              <c:f>('MAN-EDAD'!$A$37:$A$38,'MAN-EDAD'!$A$42:$A$43,'MAN-EDAD'!$A$45:$A$46)</c:f>
              <c:strCache>
                <c:ptCount val="6"/>
                <c:pt idx="0">
                  <c:v>ANDALUCÍA</c:v>
                </c:pt>
                <c:pt idx="1">
                  <c:v>C. VALENCIANA</c:v>
                </c:pt>
                <c:pt idx="2">
                  <c:v>EXTREMADURA</c:v>
                </c:pt>
                <c:pt idx="3">
                  <c:v>I. BALEARES</c:v>
                </c:pt>
                <c:pt idx="4">
                  <c:v>MURCIA</c:v>
                </c:pt>
                <c:pt idx="5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'MAN-EDAD'!$Y$37:$Y$46</c15:sqref>
                  </c15:fullRef>
                </c:ext>
              </c:extLst>
              <c:f>('MAN-EDAD'!$Y$37:$Y$38,'MAN-EDAD'!$Y$42:$Y$43,'MAN-EDAD'!$Y$45:$Y$46)</c:f>
              <c:numCache>
                <c:formatCode>0.0%</c:formatCode>
                <c:ptCount val="6"/>
                <c:pt idx="0">
                  <c:v>2.1793436532896622E-3</c:v>
                </c:pt>
                <c:pt idx="1">
                  <c:v>4.5041663538773376E-3</c:v>
                </c:pt>
                <c:pt idx="2" formatCode="0%">
                  <c:v>1.2213740458015267E-2</c:v>
                </c:pt>
                <c:pt idx="3" formatCode="0%">
                  <c:v>4.1450777202072533E-2</c:v>
                </c:pt>
                <c:pt idx="4">
                  <c:v>8.2308632429601181E-4</c:v>
                </c:pt>
                <c:pt idx="5">
                  <c:v>1.9950402912941386E-3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D-48BE-99F5-CE1134EA68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66433968"/>
        <c:axId val="959169696"/>
      </c:barChart>
      <c:catAx>
        <c:axId val="96643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59169696"/>
        <c:crosses val="autoZero"/>
        <c:auto val="1"/>
        <c:lblAlgn val="ctr"/>
        <c:lblOffset val="100"/>
        <c:noMultiLvlLbl val="0"/>
      </c:catAx>
      <c:valAx>
        <c:axId val="95916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643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Mandarino: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'MAN-EDAD'!$B$4:$X$4</c15:sqref>
                  </c15:fullRef>
                </c:ext>
              </c:extLst>
              <c:f>'MAN-EDAD'!$C$4:$X$4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'MAN-EDAD'!$B$5:$X$5</c15:sqref>
                  </c15:fullRef>
                </c:ext>
              </c:extLst>
              <c:f>'MAN-EDAD'!$C$5:$X$5</c:f>
              <c:numCache>
                <c:formatCode>#,##0</c:formatCode>
                <c:ptCount val="22"/>
                <c:pt idx="0">
                  <c:v>402.1</c:v>
                </c:pt>
                <c:pt idx="1">
                  <c:v>159.74</c:v>
                </c:pt>
                <c:pt idx="2">
                  <c:v>284.46000000000004</c:v>
                </c:pt>
                <c:pt idx="3">
                  <c:v>199.83</c:v>
                </c:pt>
                <c:pt idx="4">
                  <c:v>524.23</c:v>
                </c:pt>
                <c:pt idx="5">
                  <c:v>198.45999999999998</c:v>
                </c:pt>
                <c:pt idx="6">
                  <c:v>297.17</c:v>
                </c:pt>
                <c:pt idx="7">
                  <c:v>153.48000000000002</c:v>
                </c:pt>
                <c:pt idx="8">
                  <c:v>195.51999999999998</c:v>
                </c:pt>
                <c:pt idx="9">
                  <c:v>76.350000000000009</c:v>
                </c:pt>
                <c:pt idx="10">
                  <c:v>392.50000000000006</c:v>
                </c:pt>
                <c:pt idx="11">
                  <c:v>132.38</c:v>
                </c:pt>
                <c:pt idx="12">
                  <c:v>140.43</c:v>
                </c:pt>
                <c:pt idx="13">
                  <c:v>193.35</c:v>
                </c:pt>
                <c:pt idx="14">
                  <c:v>132.94999999999999</c:v>
                </c:pt>
                <c:pt idx="15">
                  <c:v>298.73</c:v>
                </c:pt>
                <c:pt idx="16">
                  <c:v>215.81</c:v>
                </c:pt>
                <c:pt idx="17">
                  <c:v>138.35</c:v>
                </c:pt>
                <c:pt idx="18">
                  <c:v>162.04</c:v>
                </c:pt>
                <c:pt idx="19">
                  <c:v>277.87</c:v>
                </c:pt>
                <c:pt idx="20">
                  <c:v>117.86</c:v>
                </c:pt>
                <c:pt idx="21">
                  <c:v>51.79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0-4978-9348-B85AEE872DCE}"/>
            </c:ext>
          </c:extLst>
        </c:ser>
        <c:ser>
          <c:idx val="1"/>
          <c:order val="1"/>
          <c:tx>
            <c:strRef>
              <c:f>'MAN-EDAD'!$A$13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'MAN-EDAD'!$B$4:$X$4</c15:sqref>
                  </c15:fullRef>
                </c:ext>
              </c:extLst>
              <c:f>'MAN-EDAD'!$C$4:$X$4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'MAN-EDAD'!$B$13:$X$13</c15:sqref>
                  </c15:fullRef>
                </c:ext>
              </c:extLst>
              <c:f>'MAN-EDAD'!$C$13:$X$13</c:f>
              <c:numCache>
                <c:formatCode>#,##0</c:formatCode>
                <c:ptCount val="22"/>
                <c:pt idx="0">
                  <c:v>49.41</c:v>
                </c:pt>
                <c:pt idx="1">
                  <c:v>13.600000000000001</c:v>
                </c:pt>
                <c:pt idx="2">
                  <c:v>21.380000000000003</c:v>
                </c:pt>
                <c:pt idx="3">
                  <c:v>33.61</c:v>
                </c:pt>
                <c:pt idx="4">
                  <c:v>10.059999999999999</c:v>
                </c:pt>
                <c:pt idx="5">
                  <c:v>30.869999999999997</c:v>
                </c:pt>
                <c:pt idx="6">
                  <c:v>0.24</c:v>
                </c:pt>
                <c:pt idx="7">
                  <c:v>4.2300000000000004</c:v>
                </c:pt>
                <c:pt idx="8">
                  <c:v>6.24</c:v>
                </c:pt>
                <c:pt idx="9">
                  <c:v>7.0200000000000005</c:v>
                </c:pt>
                <c:pt idx="10">
                  <c:v>47.839999999999989</c:v>
                </c:pt>
                <c:pt idx="11">
                  <c:v>34.03</c:v>
                </c:pt>
                <c:pt idx="12">
                  <c:v>24.139999999999997</c:v>
                </c:pt>
                <c:pt idx="13">
                  <c:v>20.309999999999999</c:v>
                </c:pt>
                <c:pt idx="14">
                  <c:v>11.510000000000002</c:v>
                </c:pt>
                <c:pt idx="15">
                  <c:v>19.41</c:v>
                </c:pt>
                <c:pt idx="16">
                  <c:v>18.28</c:v>
                </c:pt>
                <c:pt idx="17">
                  <c:v>11.84</c:v>
                </c:pt>
                <c:pt idx="18">
                  <c:v>7.580000000000001</c:v>
                </c:pt>
                <c:pt idx="19">
                  <c:v>24.510000000000005</c:v>
                </c:pt>
                <c:pt idx="20">
                  <c:v>20.5</c:v>
                </c:pt>
                <c:pt idx="21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0-4978-9348-B85AEE872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13184"/>
        <c:axId val="968108832"/>
      </c:barChart>
      <c:catAx>
        <c:axId val="96811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8832"/>
        <c:crosses val="autoZero"/>
        <c:auto val="1"/>
        <c:lblAlgn val="ctr"/>
        <c:lblOffset val="100"/>
        <c:noMultiLvlLbl val="0"/>
      </c:catAx>
      <c:valAx>
        <c:axId val="96810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Mandarino: Andalucía y C. Valenciana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152360017497812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'MAN-EDAD'!$A$37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'MAN-EDAD'!$B$36:$X$36</c15:sqref>
                  </c15:fullRef>
                </c:ext>
              </c:extLst>
              <c:f>'MAN-EDAD'!$C$36:$X$36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'MAN-EDAD'!$B$37:$X$37</c15:sqref>
                  </c15:fullRef>
                </c:ext>
              </c:extLst>
              <c:f>'MAN-EDAD'!$C$37:$X$37</c:f>
              <c:numCache>
                <c:formatCode>0%</c:formatCode>
                <c:ptCount val="22"/>
                <c:pt idx="0">
                  <c:v>6.3135020388168109E-2</c:v>
                </c:pt>
                <c:pt idx="1">
                  <c:v>2.5081293600611721E-2</c:v>
                </c:pt>
                <c:pt idx="2">
                  <c:v>4.4663983833917682E-2</c:v>
                </c:pt>
                <c:pt idx="3">
                  <c:v>3.1375954051647927E-2</c:v>
                </c:pt>
                <c:pt idx="4">
                  <c:v>8.2311046351876055E-2</c:v>
                </c:pt>
                <c:pt idx="5">
                  <c:v>3.1160845924486046E-2</c:v>
                </c:pt>
                <c:pt idx="6">
                  <c:v>4.665962200634647E-2</c:v>
                </c:pt>
                <c:pt idx="7">
                  <c:v>2.4098390771390303E-2</c:v>
                </c:pt>
                <c:pt idx="8">
                  <c:v>3.069922702386129E-2</c:v>
                </c:pt>
                <c:pt idx="9">
                  <c:v>1.1987960225408194E-2</c:v>
                </c:pt>
                <c:pt idx="10">
                  <c:v>6.1627693365719924E-2</c:v>
                </c:pt>
                <c:pt idx="11">
                  <c:v>2.0785411586634401E-2</c:v>
                </c:pt>
                <c:pt idx="12">
                  <c:v>2.2049368100249805E-2</c:v>
                </c:pt>
                <c:pt idx="13">
                  <c:v>3.0358508311495402E-2</c:v>
                </c:pt>
                <c:pt idx="14">
                  <c:v>2.0874909128592262E-2</c:v>
                </c:pt>
                <c:pt idx="15">
                  <c:v>4.6904562647494298E-2</c:v>
                </c:pt>
                <c:pt idx="16">
                  <c:v>3.3885025491098127E-2</c:v>
                </c:pt>
                <c:pt idx="17">
                  <c:v>2.1722780578719365E-2</c:v>
                </c:pt>
                <c:pt idx="18">
                  <c:v>2.5442424033073261E-2</c:v>
                </c:pt>
                <c:pt idx="19">
                  <c:v>4.3629266638299601E-2</c:v>
                </c:pt>
                <c:pt idx="20">
                  <c:v>1.8505579465181526E-2</c:v>
                </c:pt>
                <c:pt idx="21">
                  <c:v>8.1317152596449283E-3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D-4452-85A9-3459F13BD645}"/>
            </c:ext>
          </c:extLst>
        </c:ser>
        <c:ser>
          <c:idx val="1"/>
          <c:order val="1"/>
          <c:tx>
            <c:strRef>
              <c:f>'MAN-EDAD'!$A$38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'MAN-EDAD'!$B$36:$X$36</c15:sqref>
                  </c15:fullRef>
                </c:ext>
              </c:extLst>
              <c:f>'MAN-EDAD'!$C$36:$X$36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'MAN-EDAD'!$B$38:$X$38</c15:sqref>
                  </c15:fullRef>
                </c:ext>
              </c:extLst>
              <c:f>'MAN-EDAD'!$C$38:$X$38</c:f>
              <c:numCache>
                <c:formatCode>0%</c:formatCode>
                <c:ptCount val="22"/>
                <c:pt idx="0">
                  <c:v>7.4183619848359764E-2</c:v>
                </c:pt>
                <c:pt idx="1">
                  <c:v>2.0418887470910602E-2</c:v>
                </c:pt>
                <c:pt idx="2">
                  <c:v>3.2099692215299166E-2</c:v>
                </c:pt>
                <c:pt idx="3">
                  <c:v>5.0461677051272448E-2</c:v>
                </c:pt>
                <c:pt idx="4">
                  <c:v>1.510397117333534E-2</c:v>
                </c:pt>
                <c:pt idx="5">
                  <c:v>4.6347871781397806E-2</c:v>
                </c:pt>
                <c:pt idx="6">
                  <c:v>3.6033330831018707E-4</c:v>
                </c:pt>
                <c:pt idx="7">
                  <c:v>6.3508745589670474E-3</c:v>
                </c:pt>
                <c:pt idx="8">
                  <c:v>9.3686660160648642E-3</c:v>
                </c:pt>
                <c:pt idx="9">
                  <c:v>1.0539749268072973E-2</c:v>
                </c:pt>
                <c:pt idx="10">
                  <c:v>7.1826439456497276E-2</c:v>
                </c:pt>
                <c:pt idx="11">
                  <c:v>5.1092260340815279E-2</c:v>
                </c:pt>
                <c:pt idx="12">
                  <c:v>3.6243525260866313E-2</c:v>
                </c:pt>
                <c:pt idx="13">
                  <c:v>3.049320621574958E-2</c:v>
                </c:pt>
                <c:pt idx="14">
                  <c:v>1.7280984911042723E-2</c:v>
                </c:pt>
                <c:pt idx="15">
                  <c:v>2.9141956309586381E-2</c:v>
                </c:pt>
                <c:pt idx="16">
                  <c:v>2.7445386982959251E-2</c:v>
                </c:pt>
                <c:pt idx="17">
                  <c:v>1.7776443209969229E-2</c:v>
                </c:pt>
                <c:pt idx="18">
                  <c:v>1.138052698746341E-2</c:v>
                </c:pt>
                <c:pt idx="19">
                  <c:v>3.6799039111177864E-2</c:v>
                </c:pt>
                <c:pt idx="20">
                  <c:v>3.077847008482848E-2</c:v>
                </c:pt>
                <c:pt idx="21">
                  <c:v>6.380902334659563E-3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D-4452-85A9-3459F13BD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19168"/>
        <c:axId val="968120800"/>
      </c:barChart>
      <c:catAx>
        <c:axId val="96811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20800"/>
        <c:crosses val="autoZero"/>
        <c:auto val="1"/>
        <c:lblAlgn val="ctr"/>
        <c:lblOffset val="100"/>
        <c:noMultiLvlLbl val="0"/>
      </c:catAx>
      <c:valAx>
        <c:axId val="96812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Mandarino: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'MAN-EDAD'!$A$33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'MAN-EDAD'!$B$4:$X$4</c15:sqref>
                  </c15:fullRef>
                </c:ext>
              </c:extLst>
              <c:f>'MAN-EDAD'!$C$4:$X$4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'MAN-EDAD'!$B$33:$X$33</c15:sqref>
                  </c15:fullRef>
                </c:ext>
              </c:extLst>
              <c:f>'MAN-EDAD'!$C$33:$X$33</c:f>
              <c:numCache>
                <c:formatCode>#,##0</c:formatCode>
                <c:ptCount val="22"/>
                <c:pt idx="0">
                  <c:v>643.27</c:v>
                </c:pt>
                <c:pt idx="1">
                  <c:v>349.03</c:v>
                </c:pt>
                <c:pt idx="2">
                  <c:v>358.56000000000006</c:v>
                </c:pt>
                <c:pt idx="3">
                  <c:v>341.40999999999997</c:v>
                </c:pt>
                <c:pt idx="4">
                  <c:v>692.70999999999992</c:v>
                </c:pt>
                <c:pt idx="5">
                  <c:v>371.62</c:v>
                </c:pt>
                <c:pt idx="6">
                  <c:v>409.6</c:v>
                </c:pt>
                <c:pt idx="7">
                  <c:v>196.26</c:v>
                </c:pt>
                <c:pt idx="8">
                  <c:v>269.26</c:v>
                </c:pt>
                <c:pt idx="9">
                  <c:v>104.11000000000001</c:v>
                </c:pt>
                <c:pt idx="10">
                  <c:v>564.35</c:v>
                </c:pt>
                <c:pt idx="11">
                  <c:v>338.65999999999997</c:v>
                </c:pt>
                <c:pt idx="12">
                  <c:v>288.34000000000003</c:v>
                </c:pt>
                <c:pt idx="13">
                  <c:v>364.02</c:v>
                </c:pt>
                <c:pt idx="14">
                  <c:v>349.53</c:v>
                </c:pt>
                <c:pt idx="15">
                  <c:v>607.52</c:v>
                </c:pt>
                <c:pt idx="16">
                  <c:v>357.21000000000004</c:v>
                </c:pt>
                <c:pt idx="17">
                  <c:v>206.51999999999998</c:v>
                </c:pt>
                <c:pt idx="18">
                  <c:v>335.57</c:v>
                </c:pt>
                <c:pt idx="19">
                  <c:v>366.15999999999997</c:v>
                </c:pt>
                <c:pt idx="20">
                  <c:v>172.49</c:v>
                </c:pt>
                <c:pt idx="21">
                  <c:v>62.75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A-4975-9B7F-B006CDD60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2467488"/>
        <c:axId val="962469664"/>
      </c:barChart>
      <c:catAx>
        <c:axId val="96246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9664"/>
        <c:crosses val="autoZero"/>
        <c:auto val="1"/>
        <c:lblAlgn val="ctr"/>
        <c:lblOffset val="100"/>
        <c:noMultiLvlLbl val="0"/>
      </c:catAx>
      <c:valAx>
        <c:axId val="96246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4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'MH-EDAD'!$A$26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'MH-EDAD'!$B$4:$X$4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'MH-EDAD'!$B$26:$X$26</c:f>
              <c:numCache>
                <c:formatCode>#,##0</c:formatCode>
                <c:ptCount val="23"/>
                <c:pt idx="0">
                  <c:v>5379.3499999999958</c:v>
                </c:pt>
                <c:pt idx="1">
                  <c:v>1412.2300000000007</c:v>
                </c:pt>
                <c:pt idx="2">
                  <c:v>345.71999999999997</c:v>
                </c:pt>
                <c:pt idx="3">
                  <c:v>496.39999999999986</c:v>
                </c:pt>
                <c:pt idx="4">
                  <c:v>581.07999999999993</c:v>
                </c:pt>
                <c:pt idx="5">
                  <c:v>1146.3700000000001</c:v>
                </c:pt>
                <c:pt idx="6">
                  <c:v>884.54</c:v>
                </c:pt>
                <c:pt idx="7">
                  <c:v>370.96999999999997</c:v>
                </c:pt>
                <c:pt idx="8">
                  <c:v>461.49999999999994</c:v>
                </c:pt>
                <c:pt idx="9">
                  <c:v>546.45000000000005</c:v>
                </c:pt>
                <c:pt idx="10">
                  <c:v>464.25</c:v>
                </c:pt>
                <c:pt idx="11">
                  <c:v>981.11000000000013</c:v>
                </c:pt>
                <c:pt idx="12">
                  <c:v>456.34999999999985</c:v>
                </c:pt>
                <c:pt idx="13">
                  <c:v>800.47</c:v>
                </c:pt>
                <c:pt idx="14">
                  <c:v>639.83000000000004</c:v>
                </c:pt>
                <c:pt idx="15">
                  <c:v>1059.25</c:v>
                </c:pt>
                <c:pt idx="16">
                  <c:v>1387.8400000000001</c:v>
                </c:pt>
                <c:pt idx="17">
                  <c:v>808.33999999999992</c:v>
                </c:pt>
                <c:pt idx="18">
                  <c:v>1001.1199999999999</c:v>
                </c:pt>
                <c:pt idx="19">
                  <c:v>978.06999999999994</c:v>
                </c:pt>
                <c:pt idx="20">
                  <c:v>650.34</c:v>
                </c:pt>
                <c:pt idx="21">
                  <c:v>762.2</c:v>
                </c:pt>
                <c:pt idx="22">
                  <c:v>553.93000000000006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C-4B3E-9080-D31BF03B6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14816"/>
        <c:axId val="968114272"/>
      </c:barChart>
      <c:catAx>
        <c:axId val="96811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4272"/>
        <c:crosses val="autoZero"/>
        <c:auto val="1"/>
        <c:lblAlgn val="ctr"/>
        <c:lblOffset val="100"/>
        <c:noMultiLvlLbl val="0"/>
      </c:catAx>
      <c:valAx>
        <c:axId val="9681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Mandarinos híbridos: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69-471C-A015-1318F75C7539}"/>
              </c:ext>
            </c:extLst>
          </c:dPt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69-471C-A015-1318F75C753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'MH-EDAD'!$A$30:$A$36</c15:sqref>
                  </c15:fullRef>
                </c:ext>
              </c:extLst>
              <c:f>('MH-EDAD'!$A$31,'MH-EDAD'!$A$35:$A$36)</c:f>
              <c:strCache>
                <c:ptCount val="3"/>
                <c:pt idx="0">
                  <c:v>C. VALENCIANA</c:v>
                </c:pt>
                <c:pt idx="1">
                  <c:v>MURCIA</c:v>
                </c:pt>
                <c:pt idx="2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'MH-EDAD'!$Y$30:$Y$36</c15:sqref>
                  </c15:fullRef>
                </c:ext>
              </c:extLst>
              <c:f>('MH-EDAD'!$Y$31,'MH-EDAD'!$Y$35:$Y$36)</c:f>
              <c:numCache>
                <c:formatCode>0.0%</c:formatCode>
                <c:ptCount val="3"/>
                <c:pt idx="0">
                  <c:v>8.2141737730077923E-4</c:v>
                </c:pt>
                <c:pt idx="1">
                  <c:v>4.7780150131227165E-3</c:v>
                </c:pt>
                <c:pt idx="2">
                  <c:v>9.1310741811891744E-4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2-4634-9030-7F26FA15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8110464"/>
        <c:axId val="968113728"/>
      </c:barChart>
      <c:catAx>
        <c:axId val="96811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3728"/>
        <c:crosses val="autoZero"/>
        <c:auto val="1"/>
        <c:lblAlgn val="ctr"/>
        <c:lblOffset val="100"/>
        <c:noMultiLvlLbl val="0"/>
      </c:catAx>
      <c:valAx>
        <c:axId val="96811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Mandarinos híbridos: Andalucía y C. Valenciana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'MH-EDAD'!$A$30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'MH-EDAD'!$B$29:$X$29</c15:sqref>
                  </c15:fullRef>
                </c:ext>
              </c:extLst>
              <c:f>'MH-EDAD'!$C$29:$X$29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'MH-EDAD'!$B$30:$X$30</c15:sqref>
                  </c15:fullRef>
                </c:ext>
              </c:extLst>
              <c:f>'MH-EDAD'!$C$30:$X$30</c:f>
              <c:numCache>
                <c:formatCode>0%</c:formatCode>
                <c:ptCount val="22"/>
                <c:pt idx="0">
                  <c:v>2.6719617238839168E-2</c:v>
                </c:pt>
                <c:pt idx="1">
                  <c:v>1.5775769643130644E-2</c:v>
                </c:pt>
                <c:pt idx="2">
                  <c:v>2.5682121523751173E-2</c:v>
                </c:pt>
                <c:pt idx="3">
                  <c:v>2.4506049931076732E-2</c:v>
                </c:pt>
                <c:pt idx="4">
                  <c:v>5.7875485927254944E-2</c:v>
                </c:pt>
                <c:pt idx="5">
                  <c:v>4.1634757747485568E-2</c:v>
                </c:pt>
                <c:pt idx="6">
                  <c:v>1.6470472397873224E-2</c:v>
                </c:pt>
                <c:pt idx="7">
                  <c:v>3.5931266364717121E-2</c:v>
                </c:pt>
                <c:pt idx="8">
                  <c:v>4.0405808517311043E-2</c:v>
                </c:pt>
                <c:pt idx="9">
                  <c:v>2.1240399973743516E-2</c:v>
                </c:pt>
                <c:pt idx="10">
                  <c:v>5.9934067056137831E-2</c:v>
                </c:pt>
                <c:pt idx="11">
                  <c:v>2.1938749462106787E-2</c:v>
                </c:pt>
                <c:pt idx="12">
                  <c:v>5.0560138284138884E-2</c:v>
                </c:pt>
                <c:pt idx="13">
                  <c:v>2.0821025607363479E-2</c:v>
                </c:pt>
                <c:pt idx="14">
                  <c:v>5.5151375912595085E-2</c:v>
                </c:pt>
                <c:pt idx="15">
                  <c:v>0.10673259961052886</c:v>
                </c:pt>
                <c:pt idx="16">
                  <c:v>5.3302481966902224E-2</c:v>
                </c:pt>
                <c:pt idx="17">
                  <c:v>6.1914243412175711E-2</c:v>
                </c:pt>
                <c:pt idx="18">
                  <c:v>4.397049063154132E-2</c:v>
                </c:pt>
                <c:pt idx="19">
                  <c:v>3.6954175145322336E-2</c:v>
                </c:pt>
                <c:pt idx="20">
                  <c:v>3.4809895776353114E-2</c:v>
                </c:pt>
                <c:pt idx="21">
                  <c:v>4.4315106958697101E-2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E-4C5F-AACF-566315A3ABF9}"/>
            </c:ext>
          </c:extLst>
        </c:ser>
        <c:ser>
          <c:idx val="1"/>
          <c:order val="1"/>
          <c:tx>
            <c:strRef>
              <c:f>'MH-EDAD'!$A$31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'MH-EDAD'!$B$29:$X$29</c15:sqref>
                  </c15:fullRef>
                </c:ext>
              </c:extLst>
              <c:f>'MH-EDAD'!$C$29:$X$29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'MH-EDAD'!$B$31:$X$31</c15:sqref>
                  </c15:fullRef>
                </c:ext>
              </c:extLst>
              <c:f>'MH-EDAD'!$C$31:$X$31</c:f>
              <c:numCache>
                <c:formatCode>0%</c:formatCode>
                <c:ptCount val="22"/>
                <c:pt idx="0">
                  <c:v>8.1104833392778089E-2</c:v>
                </c:pt>
                <c:pt idx="1">
                  <c:v>1.524553354301093E-2</c:v>
                </c:pt>
                <c:pt idx="2">
                  <c:v>1.7823270970461397E-2</c:v>
                </c:pt>
                <c:pt idx="3">
                  <c:v>2.1224452298347438E-2</c:v>
                </c:pt>
                <c:pt idx="4">
                  <c:v>4.7695572992661306E-2</c:v>
                </c:pt>
                <c:pt idx="5">
                  <c:v>4.1609248511181016E-2</c:v>
                </c:pt>
                <c:pt idx="6">
                  <c:v>1.561503626125396E-2</c:v>
                </c:pt>
                <c:pt idx="7">
                  <c:v>1.599804913372891E-2</c:v>
                </c:pt>
                <c:pt idx="8">
                  <c:v>1.959850523653579E-2</c:v>
                </c:pt>
                <c:pt idx="9">
                  <c:v>1.9698480377852001E-2</c:v>
                </c:pt>
                <c:pt idx="10">
                  <c:v>3.9980599418522979E-2</c:v>
                </c:pt>
                <c:pt idx="11">
                  <c:v>1.9870059336597381E-2</c:v>
                </c:pt>
                <c:pt idx="12">
                  <c:v>2.9727743371918344E-2</c:v>
                </c:pt>
                <c:pt idx="13">
                  <c:v>2.9816910389849023E-2</c:v>
                </c:pt>
                <c:pt idx="14">
                  <c:v>4.123163970039883E-2</c:v>
                </c:pt>
                <c:pt idx="15">
                  <c:v>4.4390989267533487E-2</c:v>
                </c:pt>
                <c:pt idx="16">
                  <c:v>2.9433897517374061E-2</c:v>
                </c:pt>
                <c:pt idx="17">
                  <c:v>3.7186024015650153E-2</c:v>
                </c:pt>
                <c:pt idx="18">
                  <c:v>4.2629940663402616E-2</c:v>
                </c:pt>
                <c:pt idx="19">
                  <c:v>2.7382380597256905E-2</c:v>
                </c:pt>
                <c:pt idx="20">
                  <c:v>3.1153740151097578E-2</c:v>
                </c:pt>
                <c:pt idx="21">
                  <c:v>1.7724646844568381E-2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E-4C5F-AACF-566315A3A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11008"/>
        <c:axId val="968107744"/>
      </c:barChart>
      <c:catAx>
        <c:axId val="96811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7744"/>
        <c:crosses val="autoZero"/>
        <c:auto val="1"/>
        <c:lblAlgn val="ctr"/>
        <c:lblOffset val="100"/>
        <c:noMultiLvlLbl val="0"/>
      </c:catAx>
      <c:valAx>
        <c:axId val="96810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Mandarinos híbridos: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'MH-EDAD'!$A$5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'MH-EDAD'!$B$4:$X$4</c15:sqref>
                  </c15:fullRef>
                </c:ext>
              </c:extLst>
              <c:f>'MH-EDAD'!$C$4:$X$4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'MH-EDAD'!$B$5:$X$5</c15:sqref>
                  </c15:fullRef>
                </c:ext>
              </c:extLst>
              <c:f>'MH-EDAD'!$C$5:$X$5</c:f>
              <c:numCache>
                <c:formatCode>#,##0</c:formatCode>
                <c:ptCount val="22"/>
                <c:pt idx="0">
                  <c:v>146.54</c:v>
                </c:pt>
                <c:pt idx="1">
                  <c:v>86.52</c:v>
                </c:pt>
                <c:pt idx="2">
                  <c:v>140.85</c:v>
                </c:pt>
                <c:pt idx="3">
                  <c:v>134.4</c:v>
                </c:pt>
                <c:pt idx="4">
                  <c:v>317.40999999999997</c:v>
                </c:pt>
                <c:pt idx="5">
                  <c:v>228.33999999999997</c:v>
                </c:pt>
                <c:pt idx="6">
                  <c:v>90.33</c:v>
                </c:pt>
                <c:pt idx="7">
                  <c:v>197.06</c:v>
                </c:pt>
                <c:pt idx="8">
                  <c:v>221.6</c:v>
                </c:pt>
                <c:pt idx="9">
                  <c:v>116.49000000000001</c:v>
                </c:pt>
                <c:pt idx="10">
                  <c:v>328.7000000000001</c:v>
                </c:pt>
                <c:pt idx="11">
                  <c:v>120.32</c:v>
                </c:pt>
                <c:pt idx="12">
                  <c:v>277.28999999999996</c:v>
                </c:pt>
                <c:pt idx="13">
                  <c:v>114.18999999999998</c:v>
                </c:pt>
                <c:pt idx="14">
                  <c:v>302.47000000000003</c:v>
                </c:pt>
                <c:pt idx="15">
                  <c:v>585.36000000000013</c:v>
                </c:pt>
                <c:pt idx="16">
                  <c:v>292.32999999999993</c:v>
                </c:pt>
                <c:pt idx="17">
                  <c:v>339.56</c:v>
                </c:pt>
                <c:pt idx="18">
                  <c:v>241.14999999999998</c:v>
                </c:pt>
                <c:pt idx="19">
                  <c:v>202.67000000000002</c:v>
                </c:pt>
                <c:pt idx="20">
                  <c:v>190.90999999999997</c:v>
                </c:pt>
                <c:pt idx="21">
                  <c:v>243.04000000000005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E-4C40-95FC-773F9DE67E5F}"/>
            </c:ext>
          </c:extLst>
        </c:ser>
        <c:ser>
          <c:idx val="1"/>
          <c:order val="1"/>
          <c:tx>
            <c:strRef>
              <c:f>'MH-EDAD'!$A$13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'MH-EDAD'!$B$4:$X$4</c15:sqref>
                  </c15:fullRef>
                </c:ext>
              </c:extLst>
              <c:f>'MH-EDAD'!$C$4:$X$4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'MH-EDAD'!$B$13:$X$13</c15:sqref>
                  </c15:fullRef>
                </c:ext>
              </c:extLst>
              <c:f>'MH-EDAD'!$C$13:$X$13</c:f>
              <c:numCache>
                <c:formatCode>#,##0</c:formatCode>
                <c:ptCount val="22"/>
                <c:pt idx="0">
                  <c:v>1200.6500000000008</c:v>
                </c:pt>
                <c:pt idx="1">
                  <c:v>225.69</c:v>
                </c:pt>
                <c:pt idx="2">
                  <c:v>263.84999999999991</c:v>
                </c:pt>
                <c:pt idx="3">
                  <c:v>314.19999999999993</c:v>
                </c:pt>
                <c:pt idx="4">
                  <c:v>706.07000000000016</c:v>
                </c:pt>
                <c:pt idx="5">
                  <c:v>615.97</c:v>
                </c:pt>
                <c:pt idx="6">
                  <c:v>231.15999999999997</c:v>
                </c:pt>
                <c:pt idx="7">
                  <c:v>236.82999999999993</c:v>
                </c:pt>
                <c:pt idx="8">
                  <c:v>290.13000000000005</c:v>
                </c:pt>
                <c:pt idx="9">
                  <c:v>291.61</c:v>
                </c:pt>
                <c:pt idx="10">
                  <c:v>591.86000000000013</c:v>
                </c:pt>
                <c:pt idx="11">
                  <c:v>294.14999999999986</c:v>
                </c:pt>
                <c:pt idx="12">
                  <c:v>440.08000000000004</c:v>
                </c:pt>
                <c:pt idx="13">
                  <c:v>441.40000000000009</c:v>
                </c:pt>
                <c:pt idx="14">
                  <c:v>610.38</c:v>
                </c:pt>
                <c:pt idx="15">
                  <c:v>657.15</c:v>
                </c:pt>
                <c:pt idx="16">
                  <c:v>435.72999999999996</c:v>
                </c:pt>
                <c:pt idx="17">
                  <c:v>550.48999999999978</c:v>
                </c:pt>
                <c:pt idx="18">
                  <c:v>631.07999999999993</c:v>
                </c:pt>
                <c:pt idx="19">
                  <c:v>405.36</c:v>
                </c:pt>
                <c:pt idx="20">
                  <c:v>461.19000000000011</c:v>
                </c:pt>
                <c:pt idx="21">
                  <c:v>262.39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E-4C40-95FC-773F9DE67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19712"/>
        <c:axId val="968120256"/>
      </c:barChart>
      <c:catAx>
        <c:axId val="968119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20256"/>
        <c:crosses val="autoZero"/>
        <c:auto val="1"/>
        <c:lblAlgn val="ctr"/>
        <c:lblOffset val="100"/>
        <c:noMultiLvlLbl val="0"/>
      </c:catAx>
      <c:valAx>
        <c:axId val="9681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u="sng"/>
              <a:t>NARANJO</a:t>
            </a:r>
            <a:r>
              <a:rPr lang="en-US"/>
              <a:t>:</a:t>
            </a:r>
            <a:r>
              <a:rPr lang="en-US" baseline="0"/>
              <a:t> </a:t>
            </a:r>
            <a:r>
              <a:rPr lang="en-US"/>
              <a:t>Representatividad de la información 
RSU REGEPA vs Superficies</a:t>
            </a:r>
            <a:r>
              <a:rPr lang="en-US" baseline="0"/>
              <a:t> anuales </a:t>
            </a:r>
            <a:endParaRPr lang="en-US"/>
          </a:p>
        </c:rich>
      </c:tx>
      <c:layout>
        <c:manualLayout>
          <c:xMode val="edge"/>
          <c:yMode val="edge"/>
          <c:x val="0.12356933508311461"/>
          <c:y val="4.1666560234476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EF-403A-A747-35A81206E6E0}"/>
              </c:ext>
            </c:extLst>
          </c:dPt>
          <c:cat>
            <c:strRef>
              <c:f>('NAR-REPR'!$A$9,'NAR-REPR'!$A$20,'NAR-REPR'!$A$28,'NAR-REPR'!$A$40,'NAR-REPR'!$A$45,'NAR-REPR'!$A$47)</c:f>
              <c:strCache>
                <c:ptCount val="6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  <c:pt idx="5">
                  <c:v>ESPAÑA</c:v>
                </c:pt>
              </c:strCache>
            </c:strRef>
          </c:cat>
          <c:val>
            <c:numRef>
              <c:f>('NAR-REPR'!$H$9,'NAR-REPR'!$H$20,'NAR-REPR'!$H$28,'NAR-REPR'!$H$40,'NAR-REPR'!$H$45,'NAR-REPR'!$H$47)</c:f>
              <c:numCache>
                <c:formatCode>0.0%</c:formatCode>
                <c:ptCount val="6"/>
                <c:pt idx="0">
                  <c:v>0.84915660262023174</c:v>
                </c:pt>
                <c:pt idx="1">
                  <c:v>0.68904610290371893</c:v>
                </c:pt>
                <c:pt idx="2">
                  <c:v>0.85000872219799339</c:v>
                </c:pt>
                <c:pt idx="3">
                  <c:v>0.39890876565295169</c:v>
                </c:pt>
                <c:pt idx="4">
                  <c:v>0.76572066234701242</c:v>
                </c:pt>
                <c:pt idx="5">
                  <c:v>0.75491901405991368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0-4B61-9B5F-3EEE93B2C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8126304"/>
        <c:axId val="848120864"/>
      </c:barChart>
      <c:catAx>
        <c:axId val="8481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20864"/>
        <c:crosses val="autoZero"/>
        <c:auto val="1"/>
        <c:lblAlgn val="ctr"/>
        <c:lblOffset val="100"/>
        <c:noMultiLvlLbl val="0"/>
      </c:catAx>
      <c:valAx>
        <c:axId val="848120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81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'MH-EDAD'!$A$26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'MH-EDAD'!$B$4:$X$4</c15:sqref>
                  </c15:fullRef>
                </c:ext>
              </c:extLst>
              <c:f>'MH-EDAD'!$C$4:$X$4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'MH-EDAD'!$B$26:$X$26</c15:sqref>
                  </c15:fullRef>
                </c:ext>
              </c:extLst>
              <c:f>'MH-EDAD'!$C$26:$X$26</c:f>
              <c:numCache>
                <c:formatCode>#,##0</c:formatCode>
                <c:ptCount val="22"/>
                <c:pt idx="0">
                  <c:v>1412.2300000000007</c:v>
                </c:pt>
                <c:pt idx="1">
                  <c:v>345.71999999999997</c:v>
                </c:pt>
                <c:pt idx="2">
                  <c:v>496.39999999999986</c:v>
                </c:pt>
                <c:pt idx="3">
                  <c:v>581.07999999999993</c:v>
                </c:pt>
                <c:pt idx="4">
                  <c:v>1146.3700000000001</c:v>
                </c:pt>
                <c:pt idx="5">
                  <c:v>884.54</c:v>
                </c:pt>
                <c:pt idx="6">
                  <c:v>370.96999999999997</c:v>
                </c:pt>
                <c:pt idx="7">
                  <c:v>461.49999999999994</c:v>
                </c:pt>
                <c:pt idx="8">
                  <c:v>546.45000000000005</c:v>
                </c:pt>
                <c:pt idx="9">
                  <c:v>464.25</c:v>
                </c:pt>
                <c:pt idx="10">
                  <c:v>981.11000000000013</c:v>
                </c:pt>
                <c:pt idx="11">
                  <c:v>456.34999999999985</c:v>
                </c:pt>
                <c:pt idx="12">
                  <c:v>800.47</c:v>
                </c:pt>
                <c:pt idx="13">
                  <c:v>639.83000000000004</c:v>
                </c:pt>
                <c:pt idx="14">
                  <c:v>1059.25</c:v>
                </c:pt>
                <c:pt idx="15">
                  <c:v>1387.8400000000001</c:v>
                </c:pt>
                <c:pt idx="16">
                  <c:v>808.33999999999992</c:v>
                </c:pt>
                <c:pt idx="17">
                  <c:v>1001.1199999999999</c:v>
                </c:pt>
                <c:pt idx="18">
                  <c:v>978.06999999999994</c:v>
                </c:pt>
                <c:pt idx="19">
                  <c:v>650.34</c:v>
                </c:pt>
                <c:pt idx="20">
                  <c:v>762.2</c:v>
                </c:pt>
                <c:pt idx="21">
                  <c:v>553.93000000000006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8-43EA-8314-3FEE72A4B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14816"/>
        <c:axId val="968114272"/>
      </c:barChart>
      <c:catAx>
        <c:axId val="96811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4272"/>
        <c:crosses val="autoZero"/>
        <c:auto val="1"/>
        <c:lblAlgn val="ctr"/>
        <c:lblOffset val="100"/>
        <c:noMultiLvlLbl val="0"/>
      </c:catAx>
      <c:valAx>
        <c:axId val="96811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Satsumas: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2D-4B40-AD8E-4B89B99553EB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12D-4B40-AD8E-4B89B99553EB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2D-4B40-AD8E-4B89B99553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'SAT-EDAD'!$A$23:$A$27</c15:sqref>
                  </c15:fullRef>
                </c:ext>
              </c:extLst>
              <c:f>('SAT-EDAD'!$A$24,'SAT-EDAD'!$A$27)</c:f>
              <c:strCache>
                <c:ptCount val="2"/>
                <c:pt idx="0">
                  <c:v>C. VALENCIANA</c:v>
                </c:pt>
                <c:pt idx="1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'SAT-EDAD'!$Y$23:$Y$27</c15:sqref>
                  </c15:fullRef>
                </c:ext>
              </c:extLst>
              <c:f>('SAT-EDAD'!$Y$24,'SAT-EDAD'!$Y$27)</c:f>
              <c:numCache>
                <c:formatCode>0.0%</c:formatCode>
                <c:ptCount val="2"/>
                <c:pt idx="0">
                  <c:v>4.3421461897356142E-3</c:v>
                </c:pt>
                <c:pt idx="1">
                  <c:v>4.0735907593686749E-3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8F-40AB-A9F1-184861E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8108288"/>
        <c:axId val="968115360"/>
      </c:barChart>
      <c:catAx>
        <c:axId val="96810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5360"/>
        <c:crosses val="autoZero"/>
        <c:auto val="1"/>
        <c:lblAlgn val="ctr"/>
        <c:lblOffset val="100"/>
        <c:noMultiLvlLbl val="0"/>
      </c:catAx>
      <c:valAx>
        <c:axId val="968115360"/>
        <c:scaling>
          <c:orientation val="minMax"/>
          <c:max val="6.0000000000000019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8288"/>
        <c:crosses val="autoZero"/>
        <c:crossBetween val="between"/>
        <c:minorUnit val="6.2000000000000022E-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Satsumas: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'SAT-EDAD'!$A$19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'SAT-EDAD'!$B$4:$X$4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'SAT-EDAD'!$B$19:$X$19</c:f>
              <c:numCache>
                <c:formatCode>#,##0</c:formatCode>
                <c:ptCount val="23"/>
                <c:pt idx="0">
                  <c:v>1623.3900000000008</c:v>
                </c:pt>
                <c:pt idx="1">
                  <c:v>249.48999999999978</c:v>
                </c:pt>
                <c:pt idx="2">
                  <c:v>45.47000000000002</c:v>
                </c:pt>
                <c:pt idx="3">
                  <c:v>55.79</c:v>
                </c:pt>
                <c:pt idx="4">
                  <c:v>49.29999999999999</c:v>
                </c:pt>
                <c:pt idx="5">
                  <c:v>121.19000000000004</c:v>
                </c:pt>
                <c:pt idx="6">
                  <c:v>79.21999999999997</c:v>
                </c:pt>
                <c:pt idx="7">
                  <c:v>51.819999999999979</c:v>
                </c:pt>
                <c:pt idx="8">
                  <c:v>71.549999999999983</c:v>
                </c:pt>
                <c:pt idx="9">
                  <c:v>62.31</c:v>
                </c:pt>
                <c:pt idx="10">
                  <c:v>78.809999999999974</c:v>
                </c:pt>
                <c:pt idx="11">
                  <c:v>173.79000000000002</c:v>
                </c:pt>
                <c:pt idx="12">
                  <c:v>197.96000000000004</c:v>
                </c:pt>
                <c:pt idx="13">
                  <c:v>238.38999999999996</c:v>
                </c:pt>
                <c:pt idx="14">
                  <c:v>232.02000000000015</c:v>
                </c:pt>
                <c:pt idx="15">
                  <c:v>264.84999999999997</c:v>
                </c:pt>
                <c:pt idx="16">
                  <c:v>233.41000000000008</c:v>
                </c:pt>
                <c:pt idx="17">
                  <c:v>164.47000000000006</c:v>
                </c:pt>
                <c:pt idx="18">
                  <c:v>91.749999999999986</c:v>
                </c:pt>
                <c:pt idx="19">
                  <c:v>60.629999999999981</c:v>
                </c:pt>
                <c:pt idx="20">
                  <c:v>52.550000000000004</c:v>
                </c:pt>
                <c:pt idx="21">
                  <c:v>40.809999999999995</c:v>
                </c:pt>
                <c:pt idx="22">
                  <c:v>27.27000000000001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B-432A-A503-8CDC9BE8E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09376"/>
        <c:axId val="968107200"/>
      </c:barChart>
      <c:catAx>
        <c:axId val="96810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7200"/>
        <c:crosses val="autoZero"/>
        <c:auto val="1"/>
        <c:lblAlgn val="ctr"/>
        <c:lblOffset val="100"/>
        <c:noMultiLvlLbl val="0"/>
      </c:catAx>
      <c:valAx>
        <c:axId val="96810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Satsumas: Andalucía y C. Valenciana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'SAT-EDAD'!$A$23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'SAT-EDAD'!$B$22:$X$22</c15:sqref>
                  </c15:fullRef>
                </c:ext>
              </c:extLst>
              <c:f>'SAT-EDAD'!$C$22:$X$22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'SAT-EDAD'!$B$23:$X$23</c15:sqref>
                  </c15:fullRef>
                </c:ext>
              </c:extLst>
              <c:f>'SAT-EDAD'!$C$23:$X$23</c:f>
              <c:numCache>
                <c:formatCode>0%</c:formatCode>
                <c:ptCount val="22"/>
                <c:pt idx="0">
                  <c:v>7.5928008998875127E-2</c:v>
                </c:pt>
                <c:pt idx="1">
                  <c:v>2.7671541057367823E-2</c:v>
                </c:pt>
                <c:pt idx="2">
                  <c:v>6.0292463442069733E-2</c:v>
                </c:pt>
                <c:pt idx="3">
                  <c:v>3.4195725534308205E-2</c:v>
                </c:pt>
                <c:pt idx="4">
                  <c:v>2.3622047244094484E-3</c:v>
                </c:pt>
                <c:pt idx="5">
                  <c:v>0</c:v>
                </c:pt>
                <c:pt idx="6">
                  <c:v>0</c:v>
                </c:pt>
                <c:pt idx="7">
                  <c:v>7.0303712035995489E-2</c:v>
                </c:pt>
                <c:pt idx="8">
                  <c:v>3.2845894263217087E-2</c:v>
                </c:pt>
                <c:pt idx="9">
                  <c:v>1.9910011248593922E-2</c:v>
                </c:pt>
                <c:pt idx="10">
                  <c:v>4.3869516310461182E-3</c:v>
                </c:pt>
                <c:pt idx="11">
                  <c:v>4.0157480314960622E-2</c:v>
                </c:pt>
                <c:pt idx="12">
                  <c:v>4.870641169853767E-2</c:v>
                </c:pt>
                <c:pt idx="13">
                  <c:v>2.564679415073115E-2</c:v>
                </c:pt>
                <c:pt idx="14">
                  <c:v>0</c:v>
                </c:pt>
                <c:pt idx="15">
                  <c:v>0.10224971878515184</c:v>
                </c:pt>
                <c:pt idx="16">
                  <c:v>2.4746906636670413E-2</c:v>
                </c:pt>
                <c:pt idx="17">
                  <c:v>0</c:v>
                </c:pt>
                <c:pt idx="18">
                  <c:v>0</c:v>
                </c:pt>
                <c:pt idx="19">
                  <c:v>4.3307086614173221E-2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4-4A9F-8D88-A5D2506FDA88}"/>
            </c:ext>
          </c:extLst>
        </c:ser>
        <c:ser>
          <c:idx val="1"/>
          <c:order val="1"/>
          <c:tx>
            <c:strRef>
              <c:f>'SAT-EDAD'!$A$24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'SAT-EDAD'!$B$22:$X$22</c15:sqref>
                  </c15:fullRef>
                </c:ext>
              </c:extLst>
              <c:f>'SAT-EDAD'!$C$22:$X$22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'SAT-EDAD'!$B$24:$X$24</c15:sqref>
                  </c15:fullRef>
                </c:ext>
              </c:extLst>
              <c:f>'SAT-EDAD'!$C$24:$X$24</c:f>
              <c:numCache>
                <c:formatCode>0%</c:formatCode>
                <c:ptCount val="22"/>
                <c:pt idx="0">
                  <c:v>5.9175116640746449E-2</c:v>
                </c:pt>
                <c:pt idx="1">
                  <c:v>1.0702332814930021E-2</c:v>
                </c:pt>
                <c:pt idx="2">
                  <c:v>1.1433903576982894E-2</c:v>
                </c:pt>
                <c:pt idx="3">
                  <c:v>1.1511041990668738E-2</c:v>
                </c:pt>
                <c:pt idx="4">
                  <c:v>3.0031726283048222E-2</c:v>
                </c:pt>
                <c:pt idx="5">
                  <c:v>1.8677449455676509E-2</c:v>
                </c:pt>
                <c:pt idx="6">
                  <c:v>1.2556143079315702E-2</c:v>
                </c:pt>
                <c:pt idx="7">
                  <c:v>1.5621772939346808E-2</c:v>
                </c:pt>
                <c:pt idx="8">
                  <c:v>1.477822706065319E-2</c:v>
                </c:pt>
                <c:pt idx="9">
                  <c:v>1.8836702954898903E-2</c:v>
                </c:pt>
                <c:pt idx="10">
                  <c:v>3.7648522550544336E-2</c:v>
                </c:pt>
                <c:pt idx="11">
                  <c:v>4.0099533437014008E-2</c:v>
                </c:pt>
                <c:pt idx="12">
                  <c:v>5.7744323483670285E-2</c:v>
                </c:pt>
                <c:pt idx="13">
                  <c:v>5.7067496111975154E-2</c:v>
                </c:pt>
                <c:pt idx="14">
                  <c:v>6.3161430793157072E-2</c:v>
                </c:pt>
                <c:pt idx="15">
                  <c:v>5.4419906687402819E-2</c:v>
                </c:pt>
                <c:pt idx="16">
                  <c:v>3.323172628304822E-2</c:v>
                </c:pt>
                <c:pt idx="17">
                  <c:v>2.2830482115085534E-2</c:v>
                </c:pt>
                <c:pt idx="18">
                  <c:v>1.5086780715396575E-2</c:v>
                </c:pt>
                <c:pt idx="19">
                  <c:v>1.2118195956454123E-2</c:v>
                </c:pt>
                <c:pt idx="20">
                  <c:v>1.0154898911353032E-2</c:v>
                </c:pt>
                <c:pt idx="21">
                  <c:v>6.5119751166407489E-3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4-4A9F-8D88-A5D2506FD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15904"/>
        <c:axId val="968106112"/>
      </c:barChart>
      <c:catAx>
        <c:axId val="96811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6112"/>
        <c:crosses val="autoZero"/>
        <c:auto val="1"/>
        <c:lblAlgn val="ctr"/>
        <c:lblOffset val="100"/>
        <c:noMultiLvlLbl val="0"/>
      </c:catAx>
      <c:valAx>
        <c:axId val="9681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Satsumas: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'SAT-EDAD'!$B$4:$X$4</c15:sqref>
                  </c15:fullRef>
                </c:ext>
              </c:extLst>
              <c:f>'SAT-EDAD'!$C$4:$X$4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'SAT-EDAD'!$B$5:$X$5</c15:sqref>
                  </c15:fullRef>
                </c:ext>
              </c:extLst>
              <c:f>'SAT-EDAD'!$C$5:$X$5</c:f>
              <c:numCache>
                <c:formatCode>#,##0</c:formatCode>
                <c:ptCount val="22"/>
                <c:pt idx="0">
                  <c:v>6.75</c:v>
                </c:pt>
                <c:pt idx="1">
                  <c:v>2.46</c:v>
                </c:pt>
                <c:pt idx="2">
                  <c:v>5.36</c:v>
                </c:pt>
                <c:pt idx="3">
                  <c:v>3.04</c:v>
                </c:pt>
                <c:pt idx="4">
                  <c:v>0.21000000000000002</c:v>
                </c:pt>
                <c:pt idx="5">
                  <c:v>0</c:v>
                </c:pt>
                <c:pt idx="6">
                  <c:v>0</c:v>
                </c:pt>
                <c:pt idx="7">
                  <c:v>6.25</c:v>
                </c:pt>
                <c:pt idx="8">
                  <c:v>2.92</c:v>
                </c:pt>
                <c:pt idx="9">
                  <c:v>1.77</c:v>
                </c:pt>
                <c:pt idx="10">
                  <c:v>0.39</c:v>
                </c:pt>
                <c:pt idx="11">
                  <c:v>3.57</c:v>
                </c:pt>
                <c:pt idx="12">
                  <c:v>4.33</c:v>
                </c:pt>
                <c:pt idx="13">
                  <c:v>2.2799999999999998</c:v>
                </c:pt>
                <c:pt idx="14">
                  <c:v>0</c:v>
                </c:pt>
                <c:pt idx="15">
                  <c:v>9.09</c:v>
                </c:pt>
                <c:pt idx="16">
                  <c:v>2.2000000000000002</c:v>
                </c:pt>
                <c:pt idx="17">
                  <c:v>0</c:v>
                </c:pt>
                <c:pt idx="18">
                  <c:v>0</c:v>
                </c:pt>
                <c:pt idx="19">
                  <c:v>3.85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7-4D24-B5CB-C607BB53E662}"/>
            </c:ext>
          </c:extLst>
        </c:ser>
        <c:ser>
          <c:idx val="1"/>
          <c:order val="1"/>
          <c:tx>
            <c:strRef>
              <c:f>'SAT-EDAD'!$A$11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'SAT-EDAD'!$B$4:$X$4</c15:sqref>
                  </c15:fullRef>
                </c:ext>
              </c:extLst>
              <c:f>'SAT-EDAD'!$C$4:$X$4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'SAT-EDAD'!$B$11:$X$11</c15:sqref>
                  </c15:fullRef>
                </c:ext>
              </c:extLst>
              <c:f>'SAT-EDAD'!$C$11:$X$11</c:f>
              <c:numCache>
                <c:formatCode>#,##0</c:formatCode>
                <c:ptCount val="22"/>
                <c:pt idx="0">
                  <c:v>237.8099999999998</c:v>
                </c:pt>
                <c:pt idx="1">
                  <c:v>43.010000000000019</c:v>
                </c:pt>
                <c:pt idx="2">
                  <c:v>45.95</c:v>
                </c:pt>
                <c:pt idx="3">
                  <c:v>46.259999999999991</c:v>
                </c:pt>
                <c:pt idx="4">
                  <c:v>120.69000000000004</c:v>
                </c:pt>
                <c:pt idx="5">
                  <c:v>75.059999999999974</c:v>
                </c:pt>
                <c:pt idx="6">
                  <c:v>50.45999999999998</c:v>
                </c:pt>
                <c:pt idx="7">
                  <c:v>62.779999999999987</c:v>
                </c:pt>
                <c:pt idx="8">
                  <c:v>59.390000000000008</c:v>
                </c:pt>
                <c:pt idx="9">
                  <c:v>75.699999999999974</c:v>
                </c:pt>
                <c:pt idx="10">
                  <c:v>151.30000000000004</c:v>
                </c:pt>
                <c:pt idx="11">
                  <c:v>161.15000000000003</c:v>
                </c:pt>
                <c:pt idx="12">
                  <c:v>232.05999999999995</c:v>
                </c:pt>
                <c:pt idx="13">
                  <c:v>229.34000000000015</c:v>
                </c:pt>
                <c:pt idx="14">
                  <c:v>253.82999999999998</c:v>
                </c:pt>
                <c:pt idx="15">
                  <c:v>218.70000000000007</c:v>
                </c:pt>
                <c:pt idx="16">
                  <c:v>133.55000000000004</c:v>
                </c:pt>
                <c:pt idx="17">
                  <c:v>91.749999999999986</c:v>
                </c:pt>
                <c:pt idx="18">
                  <c:v>60.629999999999981</c:v>
                </c:pt>
                <c:pt idx="19">
                  <c:v>48.7</c:v>
                </c:pt>
                <c:pt idx="20">
                  <c:v>40.809999999999995</c:v>
                </c:pt>
                <c:pt idx="21">
                  <c:v>26.170000000000009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7-4D24-B5CB-C607BB53E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06656"/>
        <c:axId val="968116448"/>
      </c:barChart>
      <c:catAx>
        <c:axId val="96810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6448"/>
        <c:crosses val="autoZero"/>
        <c:auto val="1"/>
        <c:lblAlgn val="ctr"/>
        <c:lblOffset val="100"/>
        <c:noMultiLvlLbl val="0"/>
      </c:catAx>
      <c:valAx>
        <c:axId val="96811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Satsumas: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'SAT-EDAD'!$A$19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'SAT-EDAD'!$B$4:$X$4</c15:sqref>
                  </c15:fullRef>
                </c:ext>
              </c:extLst>
              <c:f>'SAT-EDAD'!$C$4:$X$4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'SAT-EDAD'!$B$19:$X$19</c15:sqref>
                  </c15:fullRef>
                </c:ext>
              </c:extLst>
              <c:f>'SAT-EDAD'!$C$19:$X$19</c:f>
              <c:numCache>
                <c:formatCode>#,##0</c:formatCode>
                <c:ptCount val="22"/>
                <c:pt idx="0">
                  <c:v>249.48999999999978</c:v>
                </c:pt>
                <c:pt idx="1">
                  <c:v>45.47000000000002</c:v>
                </c:pt>
                <c:pt idx="2">
                  <c:v>55.79</c:v>
                </c:pt>
                <c:pt idx="3">
                  <c:v>49.29999999999999</c:v>
                </c:pt>
                <c:pt idx="4">
                  <c:v>121.19000000000004</c:v>
                </c:pt>
                <c:pt idx="5">
                  <c:v>79.21999999999997</c:v>
                </c:pt>
                <c:pt idx="6">
                  <c:v>51.819999999999979</c:v>
                </c:pt>
                <c:pt idx="7">
                  <c:v>71.549999999999983</c:v>
                </c:pt>
                <c:pt idx="8">
                  <c:v>62.31</c:v>
                </c:pt>
                <c:pt idx="9">
                  <c:v>78.809999999999974</c:v>
                </c:pt>
                <c:pt idx="10">
                  <c:v>173.79000000000002</c:v>
                </c:pt>
                <c:pt idx="11">
                  <c:v>197.96000000000004</c:v>
                </c:pt>
                <c:pt idx="12">
                  <c:v>238.38999999999996</c:v>
                </c:pt>
                <c:pt idx="13">
                  <c:v>232.02000000000015</c:v>
                </c:pt>
                <c:pt idx="14">
                  <c:v>264.84999999999997</c:v>
                </c:pt>
                <c:pt idx="15">
                  <c:v>233.41000000000008</c:v>
                </c:pt>
                <c:pt idx="16">
                  <c:v>164.47000000000006</c:v>
                </c:pt>
                <c:pt idx="17">
                  <c:v>91.749999999999986</c:v>
                </c:pt>
                <c:pt idx="18">
                  <c:v>60.629999999999981</c:v>
                </c:pt>
                <c:pt idx="19">
                  <c:v>52.550000000000004</c:v>
                </c:pt>
                <c:pt idx="20">
                  <c:v>40.809999999999995</c:v>
                </c:pt>
                <c:pt idx="21">
                  <c:v>27.27000000000001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9-420B-9803-CD6DD6635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109376"/>
        <c:axId val="968107200"/>
      </c:barChart>
      <c:catAx>
        <c:axId val="96810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7200"/>
        <c:crosses val="autoZero"/>
        <c:auto val="1"/>
        <c:lblAlgn val="ctr"/>
        <c:lblOffset val="100"/>
        <c:noMultiLvlLbl val="0"/>
      </c:catAx>
      <c:valAx>
        <c:axId val="96810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A6-49CE-90F8-9E1E2A176FD7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2A6-49CE-90F8-9E1E2A176FD7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A6-49CE-90F8-9E1E2A176F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'LIM-EDAD'!$A$40:$A$50</c15:sqref>
                  </c15:fullRef>
                </c:ext>
              </c:extLst>
              <c:f>('LIM-EDAD'!$A$43,'LIM-EDAD'!$A$46,'LIM-EDAD'!$A$50)</c:f>
              <c:strCache>
                <c:ptCount val="3"/>
                <c:pt idx="0">
                  <c:v>C. VALENCIANA</c:v>
                </c:pt>
                <c:pt idx="1">
                  <c:v>EXTREMADURA</c:v>
                </c:pt>
                <c:pt idx="2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'LIM-EDAD'!$Y$40:$Y$50</c15:sqref>
                  </c15:fullRef>
                </c:ext>
              </c:extLst>
              <c:f>('LIM-EDAD'!$Y$43,'LIM-EDAD'!$Y$46,'LIM-EDAD'!$Y$50)</c:f>
              <c:numCache>
                <c:formatCode>0%</c:formatCode>
                <c:ptCount val="3"/>
                <c:pt idx="0" formatCode="0.0%">
                  <c:v>3.0033362696205231E-3</c:v>
                </c:pt>
                <c:pt idx="1">
                  <c:v>4.7619047619047609E-2</c:v>
                </c:pt>
                <c:pt idx="2" formatCode="0.0%">
                  <c:v>4.1396837030700578E-3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D-4D74-BEEE-590396BA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8109920"/>
        <c:axId val="968121344"/>
      </c:barChart>
      <c:catAx>
        <c:axId val="96810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21344"/>
        <c:crosses val="autoZero"/>
        <c:auto val="1"/>
        <c:lblAlgn val="ctr"/>
        <c:lblOffset val="100"/>
        <c:noMultiLvlLbl val="0"/>
      </c:catAx>
      <c:valAx>
        <c:axId val="968121344"/>
        <c:scaling>
          <c:orientation val="minMax"/>
          <c:max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0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Limonero: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'LIM-EDAD'!$A$36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'LIM-EDAD'!$B$4:$X$4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'LIM-EDAD'!$B$36:$X$36</c:f>
              <c:numCache>
                <c:formatCode>#,##0</c:formatCode>
                <c:ptCount val="23"/>
                <c:pt idx="0">
                  <c:v>9683.3499999999985</c:v>
                </c:pt>
                <c:pt idx="1">
                  <c:v>2655.3399999999988</c:v>
                </c:pt>
                <c:pt idx="2">
                  <c:v>656.99</c:v>
                </c:pt>
                <c:pt idx="3">
                  <c:v>436.97</c:v>
                </c:pt>
                <c:pt idx="4">
                  <c:v>399.24000000000007</c:v>
                </c:pt>
                <c:pt idx="5">
                  <c:v>403.16</c:v>
                </c:pt>
                <c:pt idx="6">
                  <c:v>848.61</c:v>
                </c:pt>
                <c:pt idx="7">
                  <c:v>215.63</c:v>
                </c:pt>
                <c:pt idx="8">
                  <c:v>344.78999999999996</c:v>
                </c:pt>
                <c:pt idx="9">
                  <c:v>329.12999999999994</c:v>
                </c:pt>
                <c:pt idx="10">
                  <c:v>349.21000000000004</c:v>
                </c:pt>
                <c:pt idx="11">
                  <c:v>1189.1199999999997</c:v>
                </c:pt>
                <c:pt idx="12">
                  <c:v>534.32999999999981</c:v>
                </c:pt>
                <c:pt idx="13">
                  <c:v>562.89</c:v>
                </c:pt>
                <c:pt idx="14">
                  <c:v>853.89</c:v>
                </c:pt>
                <c:pt idx="15">
                  <c:v>1272.22</c:v>
                </c:pt>
                <c:pt idx="16">
                  <c:v>1679.5900000000004</c:v>
                </c:pt>
                <c:pt idx="17">
                  <c:v>1336.5599999999997</c:v>
                </c:pt>
                <c:pt idx="18">
                  <c:v>1301.4499999999994</c:v>
                </c:pt>
                <c:pt idx="19">
                  <c:v>1861.9999999999993</c:v>
                </c:pt>
                <c:pt idx="20">
                  <c:v>1309.5400000000002</c:v>
                </c:pt>
                <c:pt idx="21">
                  <c:v>1032.96</c:v>
                </c:pt>
                <c:pt idx="22">
                  <c:v>743.81000000000006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0-4182-B825-8C4581953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117536"/>
        <c:axId val="968118080"/>
      </c:barChart>
      <c:catAx>
        <c:axId val="968117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8080"/>
        <c:crosses val="autoZero"/>
        <c:auto val="1"/>
        <c:lblAlgn val="ctr"/>
        <c:lblOffset val="100"/>
        <c:noMultiLvlLbl val="0"/>
      </c:catAx>
      <c:valAx>
        <c:axId val="96811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'LIM-EDAD'!$A$34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'LIM-EDAD'!$B$4:$X$4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'LIM-EDAD'!$B$34:$X$34</c:f>
              <c:numCache>
                <c:formatCode>#,##0</c:formatCode>
                <c:ptCount val="23"/>
                <c:pt idx="0">
                  <c:v>5100.2700000000004</c:v>
                </c:pt>
                <c:pt idx="1">
                  <c:v>1477.62</c:v>
                </c:pt>
                <c:pt idx="2">
                  <c:v>476.6</c:v>
                </c:pt>
                <c:pt idx="3">
                  <c:v>218.92000000000002</c:v>
                </c:pt>
                <c:pt idx="4">
                  <c:v>281.12</c:v>
                </c:pt>
                <c:pt idx="5">
                  <c:v>272.33999999999997</c:v>
                </c:pt>
                <c:pt idx="6">
                  <c:v>359.89000000000004</c:v>
                </c:pt>
                <c:pt idx="7">
                  <c:v>132.48000000000002</c:v>
                </c:pt>
                <c:pt idx="8">
                  <c:v>145.61000000000001</c:v>
                </c:pt>
                <c:pt idx="9">
                  <c:v>74.23</c:v>
                </c:pt>
                <c:pt idx="10">
                  <c:v>227.53999999999996</c:v>
                </c:pt>
                <c:pt idx="11">
                  <c:v>423.28999999999985</c:v>
                </c:pt>
                <c:pt idx="12">
                  <c:v>355.15999999999997</c:v>
                </c:pt>
                <c:pt idx="13">
                  <c:v>269.52999999999997</c:v>
                </c:pt>
                <c:pt idx="14">
                  <c:v>492.94</c:v>
                </c:pt>
                <c:pt idx="15">
                  <c:v>726.50000000000023</c:v>
                </c:pt>
                <c:pt idx="16">
                  <c:v>1000.6200000000001</c:v>
                </c:pt>
                <c:pt idx="17">
                  <c:v>753.2</c:v>
                </c:pt>
                <c:pt idx="18">
                  <c:v>661.89</c:v>
                </c:pt>
                <c:pt idx="19">
                  <c:v>860.42</c:v>
                </c:pt>
                <c:pt idx="20">
                  <c:v>625.41999999999996</c:v>
                </c:pt>
                <c:pt idx="21">
                  <c:v>632.0200000000001</c:v>
                </c:pt>
                <c:pt idx="22">
                  <c:v>329.26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7-42B1-9F9C-D05D2D4EF0D5}"/>
            </c:ext>
          </c:extLst>
        </c:ser>
        <c:ser>
          <c:idx val="1"/>
          <c:order val="1"/>
          <c:tx>
            <c:strRef>
              <c:f>'LIM-EDAD'!$A$17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'LIM-EDAD'!$B$4:$X$4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'LIM-EDAD'!$B$17:$X$17</c:f>
              <c:numCache>
                <c:formatCode>#,##0</c:formatCode>
                <c:ptCount val="23"/>
                <c:pt idx="0">
                  <c:v>2846.4500000000062</c:v>
                </c:pt>
                <c:pt idx="1">
                  <c:v>857.8399999999998</c:v>
                </c:pt>
                <c:pt idx="2">
                  <c:v>117.45000000000005</c:v>
                </c:pt>
                <c:pt idx="3">
                  <c:v>127.00000000000001</c:v>
                </c:pt>
                <c:pt idx="4">
                  <c:v>69.569999999999993</c:v>
                </c:pt>
                <c:pt idx="5">
                  <c:v>109.2</c:v>
                </c:pt>
                <c:pt idx="6">
                  <c:v>428.9799999999999</c:v>
                </c:pt>
                <c:pt idx="7">
                  <c:v>69.58</c:v>
                </c:pt>
                <c:pt idx="8">
                  <c:v>190.08999999999992</c:v>
                </c:pt>
                <c:pt idx="9">
                  <c:v>228.69999999999996</c:v>
                </c:pt>
                <c:pt idx="10">
                  <c:v>100.09</c:v>
                </c:pt>
                <c:pt idx="11">
                  <c:v>690.15999999999974</c:v>
                </c:pt>
                <c:pt idx="12">
                  <c:v>162.59999999999997</c:v>
                </c:pt>
                <c:pt idx="13">
                  <c:v>216.42000000000002</c:v>
                </c:pt>
                <c:pt idx="14">
                  <c:v>296.65999999999997</c:v>
                </c:pt>
                <c:pt idx="15">
                  <c:v>363.87999999999994</c:v>
                </c:pt>
                <c:pt idx="16">
                  <c:v>541.88000000000022</c:v>
                </c:pt>
                <c:pt idx="17">
                  <c:v>432.66999999999996</c:v>
                </c:pt>
                <c:pt idx="18">
                  <c:v>498.4199999999995</c:v>
                </c:pt>
                <c:pt idx="19">
                  <c:v>794.73999999999967</c:v>
                </c:pt>
                <c:pt idx="20">
                  <c:v>377.89000000000016</c:v>
                </c:pt>
                <c:pt idx="21">
                  <c:v>292.03000000000003</c:v>
                </c:pt>
                <c:pt idx="22">
                  <c:v>249.49999999999997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7-42B1-9F9C-D05D2D4EF0D5}"/>
            </c:ext>
          </c:extLst>
        </c:ser>
        <c:ser>
          <c:idx val="0"/>
          <c:order val="2"/>
          <c:tx>
            <c:strRef>
              <c:f>'LIM-EDAD'!$A$5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'LIM-EDAD'!$B$4:$X$4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'LIM-EDAD'!$B$5:$X$5</c:f>
              <c:numCache>
                <c:formatCode>#,##0</c:formatCode>
                <c:ptCount val="23"/>
                <c:pt idx="0">
                  <c:v>1712.8499999999995</c:v>
                </c:pt>
                <c:pt idx="1">
                  <c:v>311.27999999999992</c:v>
                </c:pt>
                <c:pt idx="2">
                  <c:v>62.72</c:v>
                </c:pt>
                <c:pt idx="3">
                  <c:v>84.88</c:v>
                </c:pt>
                <c:pt idx="4">
                  <c:v>48.519999999999996</c:v>
                </c:pt>
                <c:pt idx="5">
                  <c:v>21.259999999999998</c:v>
                </c:pt>
                <c:pt idx="6">
                  <c:v>59.160000000000018</c:v>
                </c:pt>
                <c:pt idx="7">
                  <c:v>10.209999999999999</c:v>
                </c:pt>
                <c:pt idx="8">
                  <c:v>9.0900000000000016</c:v>
                </c:pt>
                <c:pt idx="9">
                  <c:v>25.25</c:v>
                </c:pt>
                <c:pt idx="10">
                  <c:v>21.34</c:v>
                </c:pt>
                <c:pt idx="11">
                  <c:v>75.160000000000011</c:v>
                </c:pt>
                <c:pt idx="12">
                  <c:v>16.029999999999998</c:v>
                </c:pt>
                <c:pt idx="13">
                  <c:v>76.27</c:v>
                </c:pt>
                <c:pt idx="14">
                  <c:v>62.679999999999993</c:v>
                </c:pt>
                <c:pt idx="15">
                  <c:v>181.71999999999997</c:v>
                </c:pt>
                <c:pt idx="16">
                  <c:v>131.33000000000001</c:v>
                </c:pt>
                <c:pt idx="17">
                  <c:v>149.54999999999998</c:v>
                </c:pt>
                <c:pt idx="18">
                  <c:v>138.29</c:v>
                </c:pt>
                <c:pt idx="19">
                  <c:v>184.19</c:v>
                </c:pt>
                <c:pt idx="20">
                  <c:v>303.64</c:v>
                </c:pt>
                <c:pt idx="21">
                  <c:v>108.02999999999999</c:v>
                </c:pt>
                <c:pt idx="22">
                  <c:v>162.16999999999999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7-42B1-9F9C-D05D2D4E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116992"/>
        <c:axId val="968118624"/>
      </c:barChart>
      <c:catAx>
        <c:axId val="968116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8624"/>
        <c:crosses val="autoZero"/>
        <c:auto val="1"/>
        <c:lblAlgn val="ctr"/>
        <c:lblOffset val="100"/>
        <c:noMultiLvlLbl val="0"/>
      </c:catAx>
      <c:valAx>
        <c:axId val="96811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  <a:p>
            <a:pPr>
              <a:defRPr/>
            </a:pPr>
            <a:r>
              <a:rPr lang="en-US"/>
              <a:t>% según año plantación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'LIM-EDAD'!$A$49</c:f>
              <c:strCache>
                <c:ptCount val="1"/>
                <c:pt idx="0">
                  <c:v>MURCIA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'LIM-EDAD'!$B$39:$X$39</c15:sqref>
                  </c15:fullRef>
                </c:ext>
              </c:extLst>
              <c:f>'LIM-EDAD'!$C$39:$X$39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'LIM-EDAD'!$B$49:$X$49</c15:sqref>
                  </c15:fullRef>
                </c:ext>
              </c:extLst>
              <c:f>'LIM-EDAD'!$C$49:$X$49</c:f>
              <c:numCache>
                <c:formatCode>0%</c:formatCode>
                <c:ptCount val="22"/>
                <c:pt idx="0">
                  <c:v>9.2422704303264464E-2</c:v>
                </c:pt>
                <c:pt idx="1">
                  <c:v>2.9810547279365364E-2</c:v>
                </c:pt>
                <c:pt idx="2">
                  <c:v>1.3693086467475168E-2</c:v>
                </c:pt>
                <c:pt idx="3">
                  <c:v>1.7583594316355835E-2</c:v>
                </c:pt>
                <c:pt idx="4">
                  <c:v>1.7034419735758206E-2</c:v>
                </c:pt>
                <c:pt idx="5">
                  <c:v>2.2510528452309695E-2</c:v>
                </c:pt>
                <c:pt idx="6">
                  <c:v>8.2864064279696264E-3</c:v>
                </c:pt>
                <c:pt idx="7">
                  <c:v>9.1076663645581011E-3</c:v>
                </c:pt>
                <c:pt idx="8">
                  <c:v>4.6429645920001905E-3</c:v>
                </c:pt>
                <c:pt idx="9">
                  <c:v>1.4232253310840942E-2</c:v>
                </c:pt>
                <c:pt idx="10">
                  <c:v>2.6476094330429203E-2</c:v>
                </c:pt>
                <c:pt idx="11">
                  <c:v>2.2214674720393204E-2</c:v>
                </c:pt>
                <c:pt idx="12">
                  <c:v>1.6858658850623889E-2</c:v>
                </c:pt>
                <c:pt idx="13">
                  <c:v>3.0832587444167774E-2</c:v>
                </c:pt>
                <c:pt idx="14">
                  <c:v>4.5441381868356993E-2</c:v>
                </c:pt>
                <c:pt idx="15">
                  <c:v>6.2587137680819499E-2</c:v>
                </c:pt>
                <c:pt idx="16">
                  <c:v>4.711142301892151E-2</c:v>
                </c:pt>
                <c:pt idx="17">
                  <c:v>4.1400132477421608E-2</c:v>
                </c:pt>
                <c:pt idx="18">
                  <c:v>5.3817857931413221E-2</c:v>
                </c:pt>
                <c:pt idx="19">
                  <c:v>3.9118993872137395E-2</c:v>
                </c:pt>
                <c:pt idx="20">
                  <c:v>3.9531813032951106E-2</c:v>
                </c:pt>
                <c:pt idx="21">
                  <c:v>2.0594672255987913E-2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1A-4BDD-9B33-697AACE34315}"/>
            </c:ext>
          </c:extLst>
        </c:ser>
        <c:ser>
          <c:idx val="1"/>
          <c:order val="1"/>
          <c:tx>
            <c:strRef>
              <c:f>'LIM-EDAD'!$A$43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'LIM-EDAD'!$B$39:$X$39</c15:sqref>
                  </c15:fullRef>
                </c:ext>
              </c:extLst>
              <c:f>'LIM-EDAD'!$C$39:$X$39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'LIM-EDAD'!$B$43:$X$43</c15:sqref>
                  </c15:fullRef>
                </c:ext>
              </c:extLst>
              <c:f>'LIM-EDAD'!$C$43:$X$43</c:f>
              <c:numCache>
                <c:formatCode>0%</c:formatCode>
                <c:ptCount val="22"/>
                <c:pt idx="0">
                  <c:v>8.5001055279817508E-2</c:v>
                </c:pt>
                <c:pt idx="1">
                  <c:v>1.1637804185646011E-2</c:v>
                </c:pt>
                <c:pt idx="2">
                  <c:v>1.2584087965747491E-2</c:v>
                </c:pt>
                <c:pt idx="3">
                  <c:v>6.8935039352523838E-3</c:v>
                </c:pt>
                <c:pt idx="4">
                  <c:v>1.0820333904406504E-2</c:v>
                </c:pt>
                <c:pt idx="5">
                  <c:v>4.2506472878317769E-2</c:v>
                </c:pt>
                <c:pt idx="6">
                  <c:v>6.8944948083205539E-3</c:v>
                </c:pt>
                <c:pt idx="7">
                  <c:v>1.8835506152826295E-2</c:v>
                </c:pt>
                <c:pt idx="8">
                  <c:v>2.2661267069027168E-2</c:v>
                </c:pt>
                <c:pt idx="9">
                  <c:v>9.9176485393044599E-3</c:v>
                </c:pt>
                <c:pt idx="10">
                  <c:v>6.8386095672758149E-2</c:v>
                </c:pt>
                <c:pt idx="11">
                  <c:v>1.6111596088429461E-2</c:v>
                </c:pt>
                <c:pt idx="12">
                  <c:v>2.1444474941315527E-2</c:v>
                </c:pt>
                <c:pt idx="13">
                  <c:v>2.9395240440304331E-2</c:v>
                </c:pt>
                <c:pt idx="14">
                  <c:v>3.6055889204536978E-2</c:v>
                </c:pt>
                <c:pt idx="15">
                  <c:v>5.3693429817946871E-2</c:v>
                </c:pt>
                <c:pt idx="16">
                  <c:v>4.2872105040472175E-2</c:v>
                </c:pt>
                <c:pt idx="17">
                  <c:v>4.9387095463683917E-2</c:v>
                </c:pt>
                <c:pt idx="18">
                  <c:v>7.8748646219670523E-2</c:v>
                </c:pt>
                <c:pt idx="19">
                  <c:v>3.7444102373041896E-2</c:v>
                </c:pt>
                <c:pt idx="20">
                  <c:v>2.8936466209742048E-2</c:v>
                </c:pt>
                <c:pt idx="21">
                  <c:v>2.4722283050818885E-2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B3F-B078-22AAE4DB6DC4}"/>
            </c:ext>
          </c:extLst>
        </c:ser>
        <c:ser>
          <c:idx val="0"/>
          <c:order val="2"/>
          <c:tx>
            <c:strRef>
              <c:f>'LIM-EDAD'!$A$40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'LIM-EDAD'!$B$39:$X$39</c15:sqref>
                  </c15:fullRef>
                </c:ext>
              </c:extLst>
              <c:f>'LIM-EDAD'!$C$39:$X$39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'LIM-EDAD'!$B$40:$X$40</c15:sqref>
                  </c15:fullRef>
                </c:ext>
              </c:extLst>
              <c:f>'LIM-EDAD'!$C$40:$X$40</c:f>
              <c:numCache>
                <c:formatCode>0%</c:formatCode>
                <c:ptCount val="22"/>
                <c:pt idx="0">
                  <c:v>7.8634257738886174E-2</c:v>
                </c:pt>
                <c:pt idx="1">
                  <c:v>1.584406529614155E-2</c:v>
                </c:pt>
                <c:pt idx="2">
                  <c:v>2.1442032243885439E-2</c:v>
                </c:pt>
                <c:pt idx="3">
                  <c:v>1.22569204108544E-2</c:v>
                </c:pt>
                <c:pt idx="4">
                  <c:v>5.3706126944510421E-3</c:v>
                </c:pt>
                <c:pt idx="5">
                  <c:v>1.4944752916449849E-2</c:v>
                </c:pt>
                <c:pt idx="6">
                  <c:v>2.579207695688859E-3</c:v>
                </c:pt>
                <c:pt idx="7">
                  <c:v>2.2962779582577602E-3</c:v>
                </c:pt>
                <c:pt idx="8">
                  <c:v>6.3785498840493327E-3</c:v>
                </c:pt>
                <c:pt idx="9">
                  <c:v>5.3908219614104066E-3</c:v>
                </c:pt>
                <c:pt idx="10">
                  <c:v>1.898660630832269E-2</c:v>
                </c:pt>
                <c:pt idx="11">
                  <c:v>4.0494318669826055E-3</c:v>
                </c:pt>
                <c:pt idx="12">
                  <c:v>1.9267009887383866E-2</c:v>
                </c:pt>
                <c:pt idx="13">
                  <c:v>1.5833960662661867E-2</c:v>
                </c:pt>
                <c:pt idx="14">
                  <c:v>4.5905349898195828E-2</c:v>
                </c:pt>
                <c:pt idx="15">
                  <c:v>3.3176037872166296E-2</c:v>
                </c:pt>
                <c:pt idx="16">
                  <c:v>3.7778698422161493E-2</c:v>
                </c:pt>
                <c:pt idx="17">
                  <c:v>3.4934244097630976E-2</c:v>
                </c:pt>
                <c:pt idx="18">
                  <c:v>4.6529311015566205E-2</c:v>
                </c:pt>
                <c:pt idx="19">
                  <c:v>7.6704272744266902E-2</c:v>
                </c:pt>
                <c:pt idx="20">
                  <c:v>2.7290088870251462E-2</c:v>
                </c:pt>
                <c:pt idx="21">
                  <c:v>4.09667102850012E-2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A-4B3F-B078-22AAE4DB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9551984"/>
        <c:axId val="969554704"/>
      </c:lineChart>
      <c:catAx>
        <c:axId val="9695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4704"/>
        <c:crosses val="autoZero"/>
        <c:auto val="1"/>
        <c:lblAlgn val="ctr"/>
        <c:lblOffset val="100"/>
        <c:noMultiLvlLbl val="0"/>
      </c:catAx>
      <c:valAx>
        <c:axId val="969554704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autonómica de la superficie plantada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3B-4FF3-B6D7-E86F78BD56D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CF-48D4-8A6D-2398D3FA771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CF-48D4-8A6D-2398D3FA771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CF-48D4-8A6D-2398D3FA771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CF-48D4-8A6D-2398D3FA771E}"/>
              </c:ext>
            </c:extLst>
          </c:dPt>
          <c:dLbls>
            <c:dLbl>
              <c:idx val="2"/>
              <c:layout>
                <c:manualLayout>
                  <c:x val="-8.1736876640419953E-2"/>
                  <c:y val="0.1308085447652376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15288713910761"/>
                      <c:h val="0.163425925925925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FCF-48D4-8A6D-2398D3FA771E}"/>
                </c:ext>
              </c:extLst>
            </c:dLbl>
            <c:dLbl>
              <c:idx val="3"/>
              <c:layout>
                <c:manualLayout>
                  <c:x val="5.3970034995625547E-2"/>
                  <c:y val="2.90008019830854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CF-48D4-8A6D-2398D3FA771E}"/>
                </c:ext>
              </c:extLst>
            </c:dLbl>
            <c:dLbl>
              <c:idx val="4"/>
              <c:layout>
                <c:manualLayout>
                  <c:x val="0.14902449693788278"/>
                  <c:y val="4.4409896554367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CF-48D4-8A6D-2398D3FA771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('NAR-EDAD'!$A$5,'NAR-EDAD'!$A$16,'NAR-EDAD'!$A$22,'NAR-EDAD'!$A$31,'NAR-EDAD'!$A$36)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('NAR-EDAD'!$AA$5,'NAR-EDAD'!$AA$16,'NAR-EDAD'!$AA$22,'NAR-EDAD'!$AA$31,'NAR-EDAD'!$AA$36)</c:f>
              <c:numCache>
                <c:formatCode>0.0%</c:formatCode>
                <c:ptCount val="5"/>
                <c:pt idx="0">
                  <c:v>0.4755430081153536</c:v>
                </c:pt>
                <c:pt idx="1">
                  <c:v>0.45051534907750429</c:v>
                </c:pt>
                <c:pt idx="2">
                  <c:v>1.8032915504068041E-2</c:v>
                </c:pt>
                <c:pt idx="3">
                  <c:v>6.1893515803723787E-3</c:v>
                </c:pt>
                <c:pt idx="4">
                  <c:v>4.9201815402498947E-2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03B-4FF3-B6D7-E86F78BD56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'LIM-EDAD'!$A$34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'LIM-EDAD'!$P$4:$X$4</c:f>
              <c:strCache>
                <c:ptCount val="9"/>
                <c:pt idx="0">
                  <c:v>2.013</c:v>
                </c:pt>
                <c:pt idx="1">
                  <c:v>2.014</c:v>
                </c:pt>
                <c:pt idx="2">
                  <c:v>2.015</c:v>
                </c:pt>
                <c:pt idx="3">
                  <c:v>2.016</c:v>
                </c:pt>
                <c:pt idx="4">
                  <c:v>2.017</c:v>
                </c:pt>
                <c:pt idx="5">
                  <c:v>2.018</c:v>
                </c:pt>
                <c:pt idx="6">
                  <c:v>2.019</c:v>
                </c:pt>
                <c:pt idx="7">
                  <c:v>2.020</c:v>
                </c:pt>
                <c:pt idx="8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'LIM-EDAD'!$B$34:$X$34</c15:sqref>
                  </c15:fullRef>
                </c:ext>
              </c:extLst>
              <c:f>'LIM-EDAD'!$P$34:$X$34</c:f>
              <c:numCache>
                <c:formatCode>#,##0</c:formatCode>
                <c:ptCount val="9"/>
                <c:pt idx="0">
                  <c:v>492.94</c:v>
                </c:pt>
                <c:pt idx="1">
                  <c:v>726.50000000000023</c:v>
                </c:pt>
                <c:pt idx="2">
                  <c:v>1000.6200000000001</c:v>
                </c:pt>
                <c:pt idx="3">
                  <c:v>753.2</c:v>
                </c:pt>
                <c:pt idx="4">
                  <c:v>661.89</c:v>
                </c:pt>
                <c:pt idx="5">
                  <c:v>860.42</c:v>
                </c:pt>
                <c:pt idx="6">
                  <c:v>625.41999999999996</c:v>
                </c:pt>
                <c:pt idx="7">
                  <c:v>632.0200000000001</c:v>
                </c:pt>
                <c:pt idx="8">
                  <c:v>329.26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7-42B1-9F9C-D05D2D4EF0D5}"/>
            </c:ext>
          </c:extLst>
        </c:ser>
        <c:ser>
          <c:idx val="1"/>
          <c:order val="1"/>
          <c:tx>
            <c:strRef>
              <c:f>'LIM-EDAD'!$A$17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'LIM-EDAD'!$P$4:$X$4</c:f>
              <c:strCache>
                <c:ptCount val="9"/>
                <c:pt idx="0">
                  <c:v>2.013</c:v>
                </c:pt>
                <c:pt idx="1">
                  <c:v>2.014</c:v>
                </c:pt>
                <c:pt idx="2">
                  <c:v>2.015</c:v>
                </c:pt>
                <c:pt idx="3">
                  <c:v>2.016</c:v>
                </c:pt>
                <c:pt idx="4">
                  <c:v>2.017</c:v>
                </c:pt>
                <c:pt idx="5">
                  <c:v>2.018</c:v>
                </c:pt>
                <c:pt idx="6">
                  <c:v>2.019</c:v>
                </c:pt>
                <c:pt idx="7">
                  <c:v>2.020</c:v>
                </c:pt>
                <c:pt idx="8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'LIM-EDAD'!$B$17:$X$17</c15:sqref>
                  </c15:fullRef>
                </c:ext>
              </c:extLst>
              <c:f>'LIM-EDAD'!$P$17:$X$17</c:f>
              <c:numCache>
                <c:formatCode>#,##0</c:formatCode>
                <c:ptCount val="9"/>
                <c:pt idx="0">
                  <c:v>296.65999999999997</c:v>
                </c:pt>
                <c:pt idx="1">
                  <c:v>363.87999999999994</c:v>
                </c:pt>
                <c:pt idx="2">
                  <c:v>541.88000000000022</c:v>
                </c:pt>
                <c:pt idx="3">
                  <c:v>432.66999999999996</c:v>
                </c:pt>
                <c:pt idx="4">
                  <c:v>498.4199999999995</c:v>
                </c:pt>
                <c:pt idx="5">
                  <c:v>794.73999999999967</c:v>
                </c:pt>
                <c:pt idx="6">
                  <c:v>377.89000000000016</c:v>
                </c:pt>
                <c:pt idx="7">
                  <c:v>292.03000000000003</c:v>
                </c:pt>
                <c:pt idx="8">
                  <c:v>249.49999999999997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7-42B1-9F9C-D05D2D4EF0D5}"/>
            </c:ext>
          </c:extLst>
        </c:ser>
        <c:ser>
          <c:idx val="0"/>
          <c:order val="2"/>
          <c:tx>
            <c:strRef>
              <c:f>'LIM-EDAD'!$A$5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'LIM-EDAD'!$P$4:$X$4</c:f>
              <c:strCache>
                <c:ptCount val="9"/>
                <c:pt idx="0">
                  <c:v>2.013</c:v>
                </c:pt>
                <c:pt idx="1">
                  <c:v>2.014</c:v>
                </c:pt>
                <c:pt idx="2">
                  <c:v>2.015</c:v>
                </c:pt>
                <c:pt idx="3">
                  <c:v>2.016</c:v>
                </c:pt>
                <c:pt idx="4">
                  <c:v>2.017</c:v>
                </c:pt>
                <c:pt idx="5">
                  <c:v>2.018</c:v>
                </c:pt>
                <c:pt idx="6">
                  <c:v>2.019</c:v>
                </c:pt>
                <c:pt idx="7">
                  <c:v>2.020</c:v>
                </c:pt>
                <c:pt idx="8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'LIM-EDAD'!$B$5:$X$5</c15:sqref>
                  </c15:fullRef>
                </c:ext>
              </c:extLst>
              <c:f>'LIM-EDAD'!$P$5:$X$5</c:f>
              <c:numCache>
                <c:formatCode>#,##0</c:formatCode>
                <c:ptCount val="9"/>
                <c:pt idx="0">
                  <c:v>62.679999999999993</c:v>
                </c:pt>
                <c:pt idx="1">
                  <c:v>181.71999999999997</c:v>
                </c:pt>
                <c:pt idx="2">
                  <c:v>131.33000000000001</c:v>
                </c:pt>
                <c:pt idx="3">
                  <c:v>149.54999999999998</c:v>
                </c:pt>
                <c:pt idx="4">
                  <c:v>138.29</c:v>
                </c:pt>
                <c:pt idx="5">
                  <c:v>184.19</c:v>
                </c:pt>
                <c:pt idx="6">
                  <c:v>303.64</c:v>
                </c:pt>
                <c:pt idx="7">
                  <c:v>108.02999999999999</c:v>
                </c:pt>
                <c:pt idx="8">
                  <c:v>162.16999999999999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7-42B1-9F9C-D05D2D4E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52528"/>
        <c:axId val="969553616"/>
      </c:barChart>
      <c:catAx>
        <c:axId val="969552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3616"/>
        <c:crosses val="autoZero"/>
        <c:auto val="1"/>
        <c:lblAlgn val="ctr"/>
        <c:lblOffset val="100"/>
        <c:noMultiLvlLbl val="0"/>
      </c:catAx>
      <c:valAx>
        <c:axId val="969553616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Limonero: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'LIM-EDAD'!$A$36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'LIM-EDAD'!$B$36:$X$36</c15:sqref>
                  </c15:fullRef>
                </c:ext>
              </c:extLst>
              <c:f>'LIM-EDAD'!$C$36:$X$36</c:f>
              <c:numCache>
                <c:formatCode>#,##0</c:formatCode>
                <c:ptCount val="22"/>
                <c:pt idx="0">
                  <c:v>2655.3399999999988</c:v>
                </c:pt>
                <c:pt idx="1">
                  <c:v>656.99</c:v>
                </c:pt>
                <c:pt idx="2">
                  <c:v>436.97</c:v>
                </c:pt>
                <c:pt idx="3">
                  <c:v>399.24000000000007</c:v>
                </c:pt>
                <c:pt idx="4">
                  <c:v>403.16</c:v>
                </c:pt>
                <c:pt idx="5">
                  <c:v>848.61</c:v>
                </c:pt>
                <c:pt idx="6">
                  <c:v>215.63</c:v>
                </c:pt>
                <c:pt idx="7">
                  <c:v>344.78999999999996</c:v>
                </c:pt>
                <c:pt idx="8">
                  <c:v>329.12999999999994</c:v>
                </c:pt>
                <c:pt idx="9">
                  <c:v>349.21000000000004</c:v>
                </c:pt>
                <c:pt idx="10">
                  <c:v>1189.1199999999997</c:v>
                </c:pt>
                <c:pt idx="11">
                  <c:v>534.32999999999981</c:v>
                </c:pt>
                <c:pt idx="12">
                  <c:v>562.89</c:v>
                </c:pt>
                <c:pt idx="13">
                  <c:v>853.89</c:v>
                </c:pt>
                <c:pt idx="14">
                  <c:v>1272.22</c:v>
                </c:pt>
                <c:pt idx="15">
                  <c:v>1679.5900000000004</c:v>
                </c:pt>
                <c:pt idx="16">
                  <c:v>1336.5599999999997</c:v>
                </c:pt>
                <c:pt idx="17">
                  <c:v>1301.4499999999994</c:v>
                </c:pt>
                <c:pt idx="18">
                  <c:v>1861.9999999999993</c:v>
                </c:pt>
                <c:pt idx="19">
                  <c:v>1309.5400000000002</c:v>
                </c:pt>
                <c:pt idx="20">
                  <c:v>1032.96</c:v>
                </c:pt>
                <c:pt idx="21">
                  <c:v>743.81000000000006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0-4182-B825-8C4581953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50352"/>
        <c:axId val="969555792"/>
      </c:barChart>
      <c:catAx>
        <c:axId val="96955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5792"/>
        <c:crosses val="autoZero"/>
        <c:auto val="1"/>
        <c:lblAlgn val="ctr"/>
        <c:lblOffset val="100"/>
        <c:noMultiLvlLbl val="0"/>
      </c:catAx>
      <c:valAx>
        <c:axId val="96955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'LIM-EDAD'!$A$34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'LIM-EDAD'!$B$34:$X$34</c15:sqref>
                  </c15:fullRef>
                </c:ext>
              </c:extLst>
              <c:f>'LIM-EDAD'!$C$34:$X$34</c:f>
              <c:numCache>
                <c:formatCode>#,##0</c:formatCode>
                <c:ptCount val="22"/>
                <c:pt idx="0">
                  <c:v>1477.62</c:v>
                </c:pt>
                <c:pt idx="1">
                  <c:v>476.6</c:v>
                </c:pt>
                <c:pt idx="2">
                  <c:v>218.92000000000002</c:v>
                </c:pt>
                <c:pt idx="3">
                  <c:v>281.12</c:v>
                </c:pt>
                <c:pt idx="4">
                  <c:v>272.33999999999997</c:v>
                </c:pt>
                <c:pt idx="5">
                  <c:v>359.89000000000004</c:v>
                </c:pt>
                <c:pt idx="6">
                  <c:v>132.48000000000002</c:v>
                </c:pt>
                <c:pt idx="7">
                  <c:v>145.61000000000001</c:v>
                </c:pt>
                <c:pt idx="8">
                  <c:v>74.23</c:v>
                </c:pt>
                <c:pt idx="9">
                  <c:v>227.53999999999996</c:v>
                </c:pt>
                <c:pt idx="10">
                  <c:v>423.28999999999985</c:v>
                </c:pt>
                <c:pt idx="11">
                  <c:v>355.15999999999997</c:v>
                </c:pt>
                <c:pt idx="12">
                  <c:v>269.52999999999997</c:v>
                </c:pt>
                <c:pt idx="13">
                  <c:v>492.94</c:v>
                </c:pt>
                <c:pt idx="14">
                  <c:v>726.50000000000023</c:v>
                </c:pt>
                <c:pt idx="15">
                  <c:v>1000.6200000000001</c:v>
                </c:pt>
                <c:pt idx="16">
                  <c:v>753.2</c:v>
                </c:pt>
                <c:pt idx="17">
                  <c:v>661.89</c:v>
                </c:pt>
                <c:pt idx="18">
                  <c:v>860.42</c:v>
                </c:pt>
                <c:pt idx="19">
                  <c:v>625.41999999999996</c:v>
                </c:pt>
                <c:pt idx="20">
                  <c:v>632.0200000000001</c:v>
                </c:pt>
                <c:pt idx="21">
                  <c:v>329.26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7-42B1-9F9C-D05D2D4EF0D5}"/>
            </c:ext>
          </c:extLst>
        </c:ser>
        <c:ser>
          <c:idx val="1"/>
          <c:order val="1"/>
          <c:tx>
            <c:strRef>
              <c:f>'LIM-EDAD'!$A$17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'LIM-EDAD'!$B$17:$X$17</c15:sqref>
                  </c15:fullRef>
                </c:ext>
              </c:extLst>
              <c:f>'LIM-EDAD'!$C$17:$X$17</c:f>
              <c:numCache>
                <c:formatCode>#,##0</c:formatCode>
                <c:ptCount val="22"/>
                <c:pt idx="0">
                  <c:v>857.8399999999998</c:v>
                </c:pt>
                <c:pt idx="1">
                  <c:v>117.45000000000005</c:v>
                </c:pt>
                <c:pt idx="2">
                  <c:v>127.00000000000001</c:v>
                </c:pt>
                <c:pt idx="3">
                  <c:v>69.569999999999993</c:v>
                </c:pt>
                <c:pt idx="4">
                  <c:v>109.2</c:v>
                </c:pt>
                <c:pt idx="5">
                  <c:v>428.9799999999999</c:v>
                </c:pt>
                <c:pt idx="6">
                  <c:v>69.58</c:v>
                </c:pt>
                <c:pt idx="7">
                  <c:v>190.08999999999992</c:v>
                </c:pt>
                <c:pt idx="8">
                  <c:v>228.69999999999996</c:v>
                </c:pt>
                <c:pt idx="9">
                  <c:v>100.09</c:v>
                </c:pt>
                <c:pt idx="10">
                  <c:v>690.15999999999974</c:v>
                </c:pt>
                <c:pt idx="11">
                  <c:v>162.59999999999997</c:v>
                </c:pt>
                <c:pt idx="12">
                  <c:v>216.42000000000002</c:v>
                </c:pt>
                <c:pt idx="13">
                  <c:v>296.65999999999997</c:v>
                </c:pt>
                <c:pt idx="14">
                  <c:v>363.87999999999994</c:v>
                </c:pt>
                <c:pt idx="15">
                  <c:v>541.88000000000022</c:v>
                </c:pt>
                <c:pt idx="16">
                  <c:v>432.66999999999996</c:v>
                </c:pt>
                <c:pt idx="17">
                  <c:v>498.4199999999995</c:v>
                </c:pt>
                <c:pt idx="18">
                  <c:v>794.73999999999967</c:v>
                </c:pt>
                <c:pt idx="19">
                  <c:v>377.89000000000016</c:v>
                </c:pt>
                <c:pt idx="20">
                  <c:v>292.03000000000003</c:v>
                </c:pt>
                <c:pt idx="21">
                  <c:v>249.49999999999997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7-42B1-9F9C-D05D2D4EF0D5}"/>
            </c:ext>
          </c:extLst>
        </c:ser>
        <c:ser>
          <c:idx val="0"/>
          <c:order val="2"/>
          <c:tx>
            <c:strRef>
              <c:f>'LIM-EDAD'!$A$5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'LIM-EDAD'!$B$5:$X$5</c15:sqref>
                  </c15:fullRef>
                </c:ext>
              </c:extLst>
              <c:f>'LIM-EDAD'!$C$5:$X$5</c:f>
              <c:numCache>
                <c:formatCode>#,##0</c:formatCode>
                <c:ptCount val="22"/>
                <c:pt idx="0">
                  <c:v>311.27999999999992</c:v>
                </c:pt>
                <c:pt idx="1">
                  <c:v>62.72</c:v>
                </c:pt>
                <c:pt idx="2">
                  <c:v>84.88</c:v>
                </c:pt>
                <c:pt idx="3">
                  <c:v>48.519999999999996</c:v>
                </c:pt>
                <c:pt idx="4">
                  <c:v>21.259999999999998</c:v>
                </c:pt>
                <c:pt idx="5">
                  <c:v>59.160000000000018</c:v>
                </c:pt>
                <c:pt idx="6">
                  <c:v>10.209999999999999</c:v>
                </c:pt>
                <c:pt idx="7">
                  <c:v>9.0900000000000016</c:v>
                </c:pt>
                <c:pt idx="8">
                  <c:v>25.25</c:v>
                </c:pt>
                <c:pt idx="9">
                  <c:v>21.34</c:v>
                </c:pt>
                <c:pt idx="10">
                  <c:v>75.160000000000011</c:v>
                </c:pt>
                <c:pt idx="11">
                  <c:v>16.029999999999998</c:v>
                </c:pt>
                <c:pt idx="12">
                  <c:v>76.27</c:v>
                </c:pt>
                <c:pt idx="13">
                  <c:v>62.679999999999993</c:v>
                </c:pt>
                <c:pt idx="14">
                  <c:v>181.71999999999997</c:v>
                </c:pt>
                <c:pt idx="15">
                  <c:v>131.33000000000001</c:v>
                </c:pt>
                <c:pt idx="16">
                  <c:v>149.54999999999998</c:v>
                </c:pt>
                <c:pt idx="17">
                  <c:v>138.29</c:v>
                </c:pt>
                <c:pt idx="18">
                  <c:v>184.19</c:v>
                </c:pt>
                <c:pt idx="19">
                  <c:v>303.64</c:v>
                </c:pt>
                <c:pt idx="20">
                  <c:v>108.02999999999999</c:v>
                </c:pt>
                <c:pt idx="21">
                  <c:v>162.16999999999999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7-42B1-9F9C-D05D2D4E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59056"/>
        <c:axId val="969556880"/>
      </c:barChart>
      <c:catAx>
        <c:axId val="969559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6880"/>
        <c:crosses val="autoZero"/>
        <c:auto val="1"/>
        <c:lblAlgn val="ctr"/>
        <c:lblOffset val="100"/>
        <c:noMultiLvlLbl val="0"/>
      </c:catAx>
      <c:valAx>
        <c:axId val="96955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'[1]LIM-EDAD'!$A$37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'[1]LIM-EDAD'!$B$43:$W$43</c15:sqref>
                  </c15:fullRef>
                </c:ext>
              </c:extLst>
              <c:f>'[1]LIM-EDAD'!$C$43:$W$43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'[1]LIM-EDAD'!$B$37:$W$37</c15:sqref>
                  </c15:fullRef>
                </c:ext>
              </c:extLst>
              <c:f>'[1]LIM-EDAD'!$C$37:$W$37</c:f>
              <c:numCache>
                <c:formatCode>General</c:formatCode>
                <c:ptCount val="21"/>
                <c:pt idx="0">
                  <c:v>1335.46</c:v>
                </c:pt>
                <c:pt idx="1">
                  <c:v>406.90000000000003</c:v>
                </c:pt>
                <c:pt idx="2">
                  <c:v>228.71</c:v>
                </c:pt>
                <c:pt idx="3">
                  <c:v>273.84000000000003</c:v>
                </c:pt>
                <c:pt idx="4">
                  <c:v>261.94</c:v>
                </c:pt>
                <c:pt idx="5">
                  <c:v>386.01</c:v>
                </c:pt>
                <c:pt idx="6">
                  <c:v>124.32</c:v>
                </c:pt>
                <c:pt idx="7">
                  <c:v>123.17999999999999</c:v>
                </c:pt>
                <c:pt idx="8">
                  <c:v>57.16</c:v>
                </c:pt>
                <c:pt idx="9">
                  <c:v>189.84</c:v>
                </c:pt>
                <c:pt idx="10">
                  <c:v>387.58000000000004</c:v>
                </c:pt>
                <c:pt idx="11">
                  <c:v>366.42</c:v>
                </c:pt>
                <c:pt idx="12">
                  <c:v>281.23</c:v>
                </c:pt>
                <c:pt idx="13">
                  <c:v>461.18999999999994</c:v>
                </c:pt>
                <c:pt idx="14">
                  <c:v>682.15000000000009</c:v>
                </c:pt>
                <c:pt idx="15">
                  <c:v>867.4</c:v>
                </c:pt>
                <c:pt idx="16">
                  <c:v>650.33000000000004</c:v>
                </c:pt>
                <c:pt idx="17">
                  <c:v>675.44</c:v>
                </c:pt>
                <c:pt idx="18">
                  <c:v>680.93</c:v>
                </c:pt>
                <c:pt idx="19">
                  <c:v>581.5100000000001</c:v>
                </c:pt>
                <c:pt idx="20">
                  <c:v>140.56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7-42B1-9F9C-D05D2D4EF0D5}"/>
            </c:ext>
          </c:extLst>
        </c:ser>
        <c:ser>
          <c:idx val="1"/>
          <c:order val="1"/>
          <c:tx>
            <c:strRef>
              <c:f>'[1]LIM-EDAD'!$A$16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'[1]LIM-EDAD'!$B$43:$W$43</c15:sqref>
                  </c15:fullRef>
                </c:ext>
              </c:extLst>
              <c:f>'[1]LIM-EDAD'!$C$43:$W$43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'[1]LIM-EDAD'!$B$16:$W$16</c15:sqref>
                  </c15:fullRef>
                </c:ext>
              </c:extLst>
              <c:f>'[1]LIM-EDAD'!$C$16:$W$16</c:f>
              <c:numCache>
                <c:formatCode>General</c:formatCode>
                <c:ptCount val="21"/>
                <c:pt idx="0">
                  <c:v>804.87999999999988</c:v>
                </c:pt>
                <c:pt idx="1">
                  <c:v>82.160000000000011</c:v>
                </c:pt>
                <c:pt idx="2">
                  <c:v>122.25</c:v>
                </c:pt>
                <c:pt idx="3">
                  <c:v>74.759999999999991</c:v>
                </c:pt>
                <c:pt idx="4">
                  <c:v>111.29999999999998</c:v>
                </c:pt>
                <c:pt idx="5">
                  <c:v>439</c:v>
                </c:pt>
                <c:pt idx="6">
                  <c:v>67.009999999999991</c:v>
                </c:pt>
                <c:pt idx="7">
                  <c:v>170.04999999999998</c:v>
                </c:pt>
                <c:pt idx="8">
                  <c:v>227.51000000000002</c:v>
                </c:pt>
                <c:pt idx="9">
                  <c:v>89.3</c:v>
                </c:pt>
                <c:pt idx="10">
                  <c:v>591.16</c:v>
                </c:pt>
                <c:pt idx="11">
                  <c:v>158.01999999999998</c:v>
                </c:pt>
                <c:pt idx="12">
                  <c:v>226.04999999999998</c:v>
                </c:pt>
                <c:pt idx="13">
                  <c:v>317.58999999999997</c:v>
                </c:pt>
                <c:pt idx="14">
                  <c:v>375.18999999999994</c:v>
                </c:pt>
                <c:pt idx="15">
                  <c:v>466.89000000000004</c:v>
                </c:pt>
                <c:pt idx="16">
                  <c:v>391.31</c:v>
                </c:pt>
                <c:pt idx="17">
                  <c:v>436.87</c:v>
                </c:pt>
                <c:pt idx="18">
                  <c:v>604.07000000000005</c:v>
                </c:pt>
                <c:pt idx="19">
                  <c:v>315.30999999999995</c:v>
                </c:pt>
                <c:pt idx="20">
                  <c:v>103.06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7-42B1-9F9C-D05D2D4EF0D5}"/>
            </c:ext>
          </c:extLst>
        </c:ser>
        <c:ser>
          <c:idx val="0"/>
          <c:order val="2"/>
          <c:tx>
            <c:strRef>
              <c:f>'[1]LIM-EDAD'!$A$4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'[1]LIM-EDAD'!$B$43:$W$43</c15:sqref>
                  </c15:fullRef>
                </c:ext>
              </c:extLst>
              <c:f>'[1]LIM-EDAD'!$C$43:$W$43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'[1]LIM-EDAD'!$B$4:$W$4</c15:sqref>
                  </c15:fullRef>
                </c:ext>
              </c:extLst>
              <c:f>'[1]LIM-EDAD'!$C$4:$W$4</c:f>
              <c:numCache>
                <c:formatCode>General</c:formatCode>
                <c:ptCount val="21"/>
                <c:pt idx="0">
                  <c:v>241.84999999999997</c:v>
                </c:pt>
                <c:pt idx="1">
                  <c:v>64.150000000000006</c:v>
                </c:pt>
                <c:pt idx="2">
                  <c:v>88.210000000000008</c:v>
                </c:pt>
                <c:pt idx="3">
                  <c:v>47.83</c:v>
                </c:pt>
                <c:pt idx="4">
                  <c:v>50.39</c:v>
                </c:pt>
                <c:pt idx="5">
                  <c:v>30.4</c:v>
                </c:pt>
                <c:pt idx="6">
                  <c:v>7.5</c:v>
                </c:pt>
                <c:pt idx="7">
                  <c:v>2.7300000000000004</c:v>
                </c:pt>
                <c:pt idx="8">
                  <c:v>23.72</c:v>
                </c:pt>
                <c:pt idx="9">
                  <c:v>21.35</c:v>
                </c:pt>
                <c:pt idx="10">
                  <c:v>62.429999999999993</c:v>
                </c:pt>
                <c:pt idx="11">
                  <c:v>14.66</c:v>
                </c:pt>
                <c:pt idx="12">
                  <c:v>60.59</c:v>
                </c:pt>
                <c:pt idx="13">
                  <c:v>62.839999999999989</c:v>
                </c:pt>
                <c:pt idx="14">
                  <c:v>147.6</c:v>
                </c:pt>
                <c:pt idx="15">
                  <c:v>139.89000000000001</c:v>
                </c:pt>
                <c:pt idx="16">
                  <c:v>88.81</c:v>
                </c:pt>
                <c:pt idx="17">
                  <c:v>139.72</c:v>
                </c:pt>
                <c:pt idx="18">
                  <c:v>111.3</c:v>
                </c:pt>
                <c:pt idx="19">
                  <c:v>129.87</c:v>
                </c:pt>
                <c:pt idx="20">
                  <c:v>65.760000000000005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7-42B1-9F9C-D05D2D4E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48176"/>
        <c:axId val="969543824"/>
      </c:barChart>
      <c:lineChart>
        <c:grouping val="standard"/>
        <c:varyColors val="0"/>
        <c:ser>
          <c:idx val="3"/>
          <c:order val="3"/>
          <c:tx>
            <c:v>% MURCIA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'[1]LIM-EDAD'!$B$43:$W$43</c15:sqref>
                  </c15:fullRef>
                </c:ext>
              </c:extLst>
              <c:f>'[1]LIM-EDAD'!$C$43:$W$43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'[1]LIM-EDAD'!$B$55:$W$55</c15:sqref>
                  </c15:fullRef>
                </c:ext>
              </c:extLst>
              <c:f>'[1]LIM-EDAD'!$C$55:$W$55</c:f>
              <c:numCache>
                <c:formatCode>General</c:formatCode>
                <c:ptCount val="21"/>
                <c:pt idx="0">
                  <c:v>9.2197083295362608E-2</c:v>
                </c:pt>
                <c:pt idx="1">
                  <c:v>2.8091439049378528E-2</c:v>
                </c:pt>
                <c:pt idx="2">
                  <c:v>1.5789611759605218E-2</c:v>
                </c:pt>
                <c:pt idx="3">
                  <c:v>1.8905283040751578E-2</c:v>
                </c:pt>
                <c:pt idx="4">
                  <c:v>1.8083734442354907E-2</c:v>
                </c:pt>
                <c:pt idx="5">
                  <c:v>2.6649241551856977E-2</c:v>
                </c:pt>
                <c:pt idx="6">
                  <c:v>8.5827665338381372E-3</c:v>
                </c:pt>
                <c:pt idx="7">
                  <c:v>8.5040635588656838E-3</c:v>
                </c:pt>
                <c:pt idx="8">
                  <c:v>3.9461947801977797E-3</c:v>
                </c:pt>
                <c:pt idx="9">
                  <c:v>1.3106116463833913E-2</c:v>
                </c:pt>
                <c:pt idx="10">
                  <c:v>2.6757630736687466E-2</c:v>
                </c:pt>
                <c:pt idx="11">
                  <c:v>2.529679306088297E-2</c:v>
                </c:pt>
                <c:pt idx="12">
                  <c:v>1.941547162412564E-2</c:v>
                </c:pt>
                <c:pt idx="13">
                  <c:v>3.1839495638198281E-2</c:v>
                </c:pt>
                <c:pt idx="14">
                  <c:v>4.7094065243385511E-2</c:v>
                </c:pt>
                <c:pt idx="15">
                  <c:v>5.988329867640927E-2</c:v>
                </c:pt>
                <c:pt idx="16">
                  <c:v>4.4897285713891219E-2</c:v>
                </c:pt>
                <c:pt idx="17">
                  <c:v>4.6630822294205537E-2</c:v>
                </c:pt>
                <c:pt idx="18">
                  <c:v>4.7009839252625508E-2</c:v>
                </c:pt>
                <c:pt idx="19">
                  <c:v>4.0146111382659402E-2</c:v>
                </c:pt>
                <c:pt idx="20">
                  <c:v>9.7039387387088862E-3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E8-40F9-A361-56E1DB8C2D1E}"/>
            </c:ext>
          </c:extLst>
        </c:ser>
        <c:ser>
          <c:idx val="4"/>
          <c:order val="4"/>
          <c:tx>
            <c:v>% C. VALENCIANA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'[1]LIM-EDAD'!$B$43:$W$43</c15:sqref>
                  </c15:fullRef>
                </c:ext>
              </c:extLst>
              <c:f>'[1]LIM-EDAD'!$C$43:$W$43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'[1]LIM-EDAD'!$B$47:$W$47</c15:sqref>
                  </c15:fullRef>
                </c:ext>
              </c:extLst>
              <c:f>'[1]LIM-EDAD'!$C$47:$W$47</c:f>
              <c:numCache>
                <c:formatCode>General</c:formatCode>
                <c:ptCount val="21"/>
                <c:pt idx="0">
                  <c:v>8.70212979891299E-2</c:v>
                </c:pt>
                <c:pt idx="1">
                  <c:v>8.8829016037010669E-3</c:v>
                </c:pt>
                <c:pt idx="2">
                  <c:v>1.3217316468506027E-2</c:v>
                </c:pt>
                <c:pt idx="3">
                  <c:v>8.0828350035624576E-3</c:v>
                </c:pt>
                <c:pt idx="4">
                  <c:v>1.2033434134517143E-2</c:v>
                </c:pt>
                <c:pt idx="5">
                  <c:v>4.7463410467682175E-2</c:v>
                </c:pt>
                <c:pt idx="6">
                  <c:v>7.2449274155794588E-3</c:v>
                </c:pt>
                <c:pt idx="7">
                  <c:v>1.8385314236968913E-2</c:v>
                </c:pt>
                <c:pt idx="8">
                  <c:v>2.4597723269937068E-2</c:v>
                </c:pt>
                <c:pt idx="9">
                  <c:v>9.6548577557266924E-3</c:v>
                </c:pt>
                <c:pt idx="10">
                  <c:v>6.3914509640261949E-2</c:v>
                </c:pt>
                <c:pt idx="11">
                  <c:v>1.7084665426203044E-2</c:v>
                </c:pt>
                <c:pt idx="12">
                  <c:v>2.4439872292071878E-2</c:v>
                </c:pt>
                <c:pt idx="13">
                  <c:v>3.4336912370002692E-2</c:v>
                </c:pt>
                <c:pt idx="14">
                  <c:v>4.0564457798108598E-2</c:v>
                </c:pt>
                <c:pt idx="15">
                  <c:v>5.0478796613339712E-2</c:v>
                </c:pt>
                <c:pt idx="16">
                  <c:v>4.2307305581113244E-2</c:v>
                </c:pt>
                <c:pt idx="17">
                  <c:v>4.723312102737201E-2</c:v>
                </c:pt>
                <c:pt idx="18">
                  <c:v>6.5310301506179447E-2</c:v>
                </c:pt>
                <c:pt idx="19">
                  <c:v>3.4090405363473499E-2</c:v>
                </c:pt>
                <c:pt idx="20">
                  <c:v>1.1142549163551993E-2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8-40F9-A361-56E1DB8C2D1E}"/>
            </c:ext>
          </c:extLst>
        </c:ser>
        <c:ser>
          <c:idx val="5"/>
          <c:order val="5"/>
          <c:tx>
            <c:v>% ANDALUCÍA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'[1]LIM-EDAD'!$B$43:$W$43</c15:sqref>
                  </c15:fullRef>
                </c:ext>
              </c:extLst>
              <c:f>'[1]LIM-EDAD'!$C$43:$W$43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'[1]LIM-EDAD'!$B$44:$W$44</c15:sqref>
                  </c15:fullRef>
                </c:ext>
              </c:extLst>
              <c:f>'[1]LIM-EDAD'!$C$44:$W$44</c:f>
              <c:numCache>
                <c:formatCode>General</c:formatCode>
                <c:ptCount val="21"/>
                <c:pt idx="0">
                  <c:v>7.3666928620599315E-2</c:v>
                </c:pt>
                <c:pt idx="1">
                  <c:v>1.9539935790826742E-2</c:v>
                </c:pt>
                <c:pt idx="2">
                  <c:v>2.6868553953372204E-2</c:v>
                </c:pt>
                <c:pt idx="3">
                  <c:v>1.4568903022217349E-2</c:v>
                </c:pt>
                <c:pt idx="4">
                  <c:v>1.5348672868273724E-2</c:v>
                </c:pt>
                <c:pt idx="5">
                  <c:v>9.2597669219194514E-3</c:v>
                </c:pt>
                <c:pt idx="6">
                  <c:v>2.284481970868286E-3</c:v>
                </c:pt>
                <c:pt idx="7">
                  <c:v>8.3155143739605626E-4</c:v>
                </c:pt>
                <c:pt idx="8">
                  <c:v>7.2250549798660987E-3</c:v>
                </c:pt>
                <c:pt idx="9">
                  <c:v>6.5031586770717209E-3</c:v>
                </c:pt>
                <c:pt idx="10">
                  <c:v>1.9016027925507609E-2</c:v>
                </c:pt>
                <c:pt idx="11">
                  <c:v>4.4654007590572099E-3</c:v>
                </c:pt>
                <c:pt idx="12">
                  <c:v>1.8455568348654593E-2</c:v>
                </c:pt>
                <c:pt idx="13">
                  <c:v>1.9140912939915076E-2</c:v>
                </c:pt>
                <c:pt idx="14">
                  <c:v>4.4958605186687865E-2</c:v>
                </c:pt>
                <c:pt idx="15">
                  <c:v>4.2610157720635276E-2</c:v>
                </c:pt>
                <c:pt idx="16">
                  <c:v>2.7051312511041665E-2</c:v>
                </c:pt>
                <c:pt idx="17">
                  <c:v>4.255837612929559E-2</c:v>
                </c:pt>
                <c:pt idx="18">
                  <c:v>3.3901712447685362E-2</c:v>
                </c:pt>
                <c:pt idx="19">
                  <c:v>3.9558089807555243E-2</c:v>
                </c:pt>
                <c:pt idx="20">
                  <c:v>2.0030337920573134E-2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8-40F9-A361-56E1DB8C2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53072"/>
        <c:axId val="969557424"/>
      </c:lineChart>
      <c:catAx>
        <c:axId val="96954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3824"/>
        <c:crosses val="autoZero"/>
        <c:auto val="1"/>
        <c:lblAlgn val="ctr"/>
        <c:lblOffset val="100"/>
        <c:noMultiLvlLbl val="0"/>
      </c:catAx>
      <c:valAx>
        <c:axId val="9695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8176"/>
        <c:crosses val="autoZero"/>
        <c:crossBetween val="between"/>
      </c:valAx>
      <c:valAx>
        <c:axId val="969557424"/>
        <c:scaling>
          <c:orientation val="minMax"/>
          <c:max val="8.0000000000000016E-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3072"/>
        <c:crosses val="max"/>
        <c:crossBetween val="between"/>
      </c:valAx>
      <c:catAx>
        <c:axId val="96955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9557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'LIM-EDAD'!$A$34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'LIM-EDAD'!$P$4:$V$4</c:f>
              <c:strCache>
                <c:ptCount val="7"/>
                <c:pt idx="0">
                  <c:v>2.013</c:v>
                </c:pt>
                <c:pt idx="1">
                  <c:v>2.014</c:v>
                </c:pt>
                <c:pt idx="2">
                  <c:v>2.015</c:v>
                </c:pt>
                <c:pt idx="3">
                  <c:v>2.016</c:v>
                </c:pt>
                <c:pt idx="4">
                  <c:v>2.017</c:v>
                </c:pt>
                <c:pt idx="5">
                  <c:v>2.018</c:v>
                </c:pt>
                <c:pt idx="6">
                  <c:v>2.019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'LIM-EDAD'!$B$34:$X$34</c15:sqref>
                  </c15:fullRef>
                </c:ext>
              </c:extLst>
              <c:f>'LIM-EDAD'!$P$34:$V$34</c:f>
              <c:numCache>
                <c:formatCode>#,##0</c:formatCode>
                <c:ptCount val="7"/>
                <c:pt idx="0">
                  <c:v>492.94</c:v>
                </c:pt>
                <c:pt idx="1">
                  <c:v>726.50000000000023</c:v>
                </c:pt>
                <c:pt idx="2">
                  <c:v>1000.6200000000001</c:v>
                </c:pt>
                <c:pt idx="3">
                  <c:v>753.2</c:v>
                </c:pt>
                <c:pt idx="4">
                  <c:v>661.89</c:v>
                </c:pt>
                <c:pt idx="5">
                  <c:v>860.42</c:v>
                </c:pt>
                <c:pt idx="6">
                  <c:v>625.41999999999996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7-42B1-9F9C-D05D2D4EF0D5}"/>
            </c:ext>
          </c:extLst>
        </c:ser>
        <c:ser>
          <c:idx val="1"/>
          <c:order val="1"/>
          <c:tx>
            <c:strRef>
              <c:f>'LIM-EDAD'!$A$17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'LIM-EDAD'!$P$4:$V$4</c:f>
              <c:strCache>
                <c:ptCount val="7"/>
                <c:pt idx="0">
                  <c:v>2.013</c:v>
                </c:pt>
                <c:pt idx="1">
                  <c:v>2.014</c:v>
                </c:pt>
                <c:pt idx="2">
                  <c:v>2.015</c:v>
                </c:pt>
                <c:pt idx="3">
                  <c:v>2.016</c:v>
                </c:pt>
                <c:pt idx="4">
                  <c:v>2.017</c:v>
                </c:pt>
                <c:pt idx="5">
                  <c:v>2.018</c:v>
                </c:pt>
                <c:pt idx="6">
                  <c:v>2.019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'LIM-EDAD'!$B$17:$X$17</c15:sqref>
                  </c15:fullRef>
                </c:ext>
              </c:extLst>
              <c:f>'LIM-EDAD'!$P$17:$V$17</c:f>
              <c:numCache>
                <c:formatCode>#,##0</c:formatCode>
                <c:ptCount val="7"/>
                <c:pt idx="0">
                  <c:v>296.65999999999997</c:v>
                </c:pt>
                <c:pt idx="1">
                  <c:v>363.87999999999994</c:v>
                </c:pt>
                <c:pt idx="2">
                  <c:v>541.88000000000022</c:v>
                </c:pt>
                <c:pt idx="3">
                  <c:v>432.66999999999996</c:v>
                </c:pt>
                <c:pt idx="4">
                  <c:v>498.4199999999995</c:v>
                </c:pt>
                <c:pt idx="5">
                  <c:v>794.73999999999967</c:v>
                </c:pt>
                <c:pt idx="6">
                  <c:v>377.89000000000016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7-42B1-9F9C-D05D2D4EF0D5}"/>
            </c:ext>
          </c:extLst>
        </c:ser>
        <c:ser>
          <c:idx val="0"/>
          <c:order val="2"/>
          <c:tx>
            <c:strRef>
              <c:f>'LIM-EDAD'!$A$5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'LIM-EDAD'!$B$4:$X$4</c15:sqref>
                  </c15:fullRef>
                </c:ext>
              </c:extLst>
              <c:f>'LIM-EDAD'!$P$4:$V$4</c:f>
              <c:strCache>
                <c:ptCount val="7"/>
                <c:pt idx="0">
                  <c:v>2.013</c:v>
                </c:pt>
                <c:pt idx="1">
                  <c:v>2.014</c:v>
                </c:pt>
                <c:pt idx="2">
                  <c:v>2.015</c:v>
                </c:pt>
                <c:pt idx="3">
                  <c:v>2.016</c:v>
                </c:pt>
                <c:pt idx="4">
                  <c:v>2.017</c:v>
                </c:pt>
                <c:pt idx="5">
                  <c:v>2.018</c:v>
                </c:pt>
                <c:pt idx="6">
                  <c:v>2.019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'LIM-EDAD'!$B$5:$X$5</c15:sqref>
                  </c15:fullRef>
                </c:ext>
              </c:extLst>
              <c:f>'LIM-EDAD'!$P$5:$V$5</c:f>
              <c:numCache>
                <c:formatCode>#,##0</c:formatCode>
                <c:ptCount val="7"/>
                <c:pt idx="0">
                  <c:v>62.679999999999993</c:v>
                </c:pt>
                <c:pt idx="1">
                  <c:v>181.71999999999997</c:v>
                </c:pt>
                <c:pt idx="2">
                  <c:v>131.33000000000001</c:v>
                </c:pt>
                <c:pt idx="3">
                  <c:v>149.54999999999998</c:v>
                </c:pt>
                <c:pt idx="4">
                  <c:v>138.29</c:v>
                </c:pt>
                <c:pt idx="5">
                  <c:v>184.19</c:v>
                </c:pt>
                <c:pt idx="6">
                  <c:v>303.64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7-42B1-9F9C-D05D2D4E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56336"/>
        <c:axId val="969544368"/>
      </c:barChart>
      <c:catAx>
        <c:axId val="969556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4368"/>
        <c:crosses val="autoZero"/>
        <c:auto val="1"/>
        <c:lblAlgn val="ctr"/>
        <c:lblOffset val="100"/>
        <c:noMultiLvlLbl val="0"/>
      </c:catAx>
      <c:valAx>
        <c:axId val="969544368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Pomelo: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14-4969-8C36-B539F132634D}"/>
              </c:ext>
            </c:extLst>
          </c:dPt>
          <c:dLbls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14-4969-8C36-B539F132634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'POM-EDAD'!$A$31:$A$38</c15:sqref>
                  </c15:fullRef>
                </c:ext>
              </c:extLst>
              <c:f>('POM-EDAD'!$A$31:$A$32,'POM-EDAD'!$A$37:$A$38)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'POM-EDAD'!$Y$31:$Y$38</c15:sqref>
                  </c15:fullRef>
                </c:ext>
              </c:extLst>
              <c:f>('POM-EDAD'!$Y$31:$Y$32,'POM-EDAD'!$Y$37:$Y$38)</c:f>
              <c:numCache>
                <c:formatCode>0.0%</c:formatCode>
                <c:ptCount val="4"/>
                <c:pt idx="0" formatCode="0%">
                  <c:v>2.6939655172413793E-4</c:v>
                </c:pt>
                <c:pt idx="1">
                  <c:v>1.3242334725476217E-3</c:v>
                </c:pt>
                <c:pt idx="2">
                  <c:v>9.0111069486771892E-4</c:v>
                </c:pt>
                <c:pt idx="3">
                  <c:v>8.008393824543371E-4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F-48A8-A5E8-DEF1DC86FC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69557968"/>
        <c:axId val="969544912"/>
      </c:barChart>
      <c:catAx>
        <c:axId val="969557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4912"/>
        <c:crosses val="autoZero"/>
        <c:auto val="1"/>
        <c:lblAlgn val="ctr"/>
        <c:lblOffset val="100"/>
        <c:noMultiLvlLbl val="0"/>
      </c:catAx>
      <c:valAx>
        <c:axId val="96954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Pomelo: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'POM-EDAD'!$A$27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'POM-EDAD'!$B$4:$X$4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'POM-EDAD'!$B$27:$X$27</c:f>
              <c:numCache>
                <c:formatCode>#,##0</c:formatCode>
                <c:ptCount val="23"/>
                <c:pt idx="0">
                  <c:v>264.55999999999995</c:v>
                </c:pt>
                <c:pt idx="1">
                  <c:v>138.91</c:v>
                </c:pt>
                <c:pt idx="2">
                  <c:v>46.379999999999995</c:v>
                </c:pt>
                <c:pt idx="3">
                  <c:v>34.700000000000003</c:v>
                </c:pt>
                <c:pt idx="4">
                  <c:v>93.210000000000008</c:v>
                </c:pt>
                <c:pt idx="5">
                  <c:v>42.25</c:v>
                </c:pt>
                <c:pt idx="6">
                  <c:v>86.490000000000009</c:v>
                </c:pt>
                <c:pt idx="7">
                  <c:v>69.38</c:v>
                </c:pt>
                <c:pt idx="8">
                  <c:v>85.81</c:v>
                </c:pt>
                <c:pt idx="9">
                  <c:v>63.41</c:v>
                </c:pt>
                <c:pt idx="10">
                  <c:v>30.45</c:v>
                </c:pt>
                <c:pt idx="11">
                  <c:v>138.84</c:v>
                </c:pt>
                <c:pt idx="12">
                  <c:v>62.67</c:v>
                </c:pt>
                <c:pt idx="13">
                  <c:v>52.28</c:v>
                </c:pt>
                <c:pt idx="14">
                  <c:v>39.230000000000004</c:v>
                </c:pt>
                <c:pt idx="15">
                  <c:v>104.74000000000001</c:v>
                </c:pt>
                <c:pt idx="16">
                  <c:v>93.12</c:v>
                </c:pt>
                <c:pt idx="17">
                  <c:v>123.53999999999999</c:v>
                </c:pt>
                <c:pt idx="18">
                  <c:v>128.78</c:v>
                </c:pt>
                <c:pt idx="19">
                  <c:v>133.88</c:v>
                </c:pt>
                <c:pt idx="20">
                  <c:v>196.82</c:v>
                </c:pt>
                <c:pt idx="21">
                  <c:v>204.71</c:v>
                </c:pt>
                <c:pt idx="22">
                  <c:v>99.02000000000001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7-410B-B962-E71832C1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48720"/>
        <c:axId val="969545456"/>
      </c:barChart>
      <c:lineChart>
        <c:grouping val="standard"/>
        <c:varyColors val="0"/>
        <c:ser>
          <c:idx val="1"/>
          <c:order val="1"/>
          <c:tx>
            <c:v>% ESPAÑA</c:v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21544181977253E-2"/>
                  <c:y val="-9.003944852088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DA-46EC-AC07-B0AB820BC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'POM-EDAD'!$B$38:$X$38</c:f>
              <c:numCache>
                <c:formatCode>0%</c:formatCode>
                <c:ptCount val="23"/>
                <c:pt idx="0">
                  <c:v>0.11329950108134726</c:v>
                </c:pt>
                <c:pt idx="1">
                  <c:v>5.9489090169375383E-2</c:v>
                </c:pt>
                <c:pt idx="2">
                  <c:v>1.9862529710284575E-2</c:v>
                </c:pt>
                <c:pt idx="3">
                  <c:v>1.4860495492601872E-2</c:v>
                </c:pt>
                <c:pt idx="4">
                  <c:v>3.9917774779983296E-2</c:v>
                </c:pt>
                <c:pt idx="5">
                  <c:v>1.8093830967216975E-2</c:v>
                </c:pt>
                <c:pt idx="6">
                  <c:v>3.7039892079398729E-2</c:v>
                </c:pt>
                <c:pt idx="7">
                  <c:v>2.9712425858118667E-2</c:v>
                </c:pt>
                <c:pt idx="8">
                  <c:v>3.6748677758506237E-2</c:v>
                </c:pt>
                <c:pt idx="9">
                  <c:v>2.7155735423224338E-2</c:v>
                </c:pt>
                <c:pt idx="10">
                  <c:v>1.304040598702383E-2</c:v>
                </c:pt>
                <c:pt idx="11">
                  <c:v>5.9459112224577629E-2</c:v>
                </c:pt>
                <c:pt idx="12">
                  <c:v>2.6838825721076636E-2</c:v>
                </c:pt>
                <c:pt idx="13">
                  <c:v>2.2389242200381146E-2</c:v>
                </c:pt>
                <c:pt idx="14">
                  <c:v>1.6800496777370933E-2</c:v>
                </c:pt>
                <c:pt idx="15">
                  <c:v>4.4855570544527955E-2</c:v>
                </c:pt>
                <c:pt idx="16">
                  <c:v>3.9879231708100468E-2</c:v>
                </c:pt>
                <c:pt idx="17">
                  <c:v>5.2906790004496683E-2</c:v>
                </c:pt>
                <c:pt idx="18">
                  <c:v>5.5150853300785847E-2</c:v>
                </c:pt>
                <c:pt idx="19">
                  <c:v>5.7334960707479489E-2</c:v>
                </c:pt>
                <c:pt idx="20">
                  <c:v>8.4289415644204613E-2</c:v>
                </c:pt>
                <c:pt idx="21">
                  <c:v>8.7668358279265959E-2</c:v>
                </c:pt>
                <c:pt idx="22">
                  <c:v>4.2405944198197043E-2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A-46EC-AC07-B0AB820BC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46544"/>
        <c:axId val="969546000"/>
      </c:lineChart>
      <c:catAx>
        <c:axId val="96954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5456"/>
        <c:crosses val="autoZero"/>
        <c:auto val="1"/>
        <c:lblAlgn val="ctr"/>
        <c:lblOffset val="100"/>
        <c:noMultiLvlLbl val="0"/>
      </c:catAx>
      <c:valAx>
        <c:axId val="96954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8720"/>
        <c:crosses val="autoZero"/>
        <c:crossBetween val="between"/>
      </c:valAx>
      <c:valAx>
        <c:axId val="969546000"/>
        <c:scaling>
          <c:orientation val="minMax"/>
          <c:max val="0.1500000000000000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6544"/>
        <c:crosses val="max"/>
        <c:crossBetween val="between"/>
      </c:valAx>
      <c:catAx>
        <c:axId val="969546544"/>
        <c:scaling>
          <c:orientation val="minMax"/>
        </c:scaling>
        <c:delete val="1"/>
        <c:axPos val="b"/>
        <c:majorTickMark val="out"/>
        <c:minorTickMark val="none"/>
        <c:tickLblPos val="nextTo"/>
        <c:crossAx val="969546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Pomelo: Andalucía, C. Valenciana y Murcia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242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'POM-EDAD'!$B$4:$X$4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'POM-EDAD'!$B$5:$X$5</c:f>
              <c:numCache>
                <c:formatCode>#,##0</c:formatCode>
                <c:ptCount val="23"/>
                <c:pt idx="0">
                  <c:v>129.62</c:v>
                </c:pt>
                <c:pt idx="1">
                  <c:v>19.54</c:v>
                </c:pt>
                <c:pt idx="2">
                  <c:v>19.529999999999998</c:v>
                </c:pt>
                <c:pt idx="3">
                  <c:v>24.220000000000002</c:v>
                </c:pt>
                <c:pt idx="4">
                  <c:v>11.44</c:v>
                </c:pt>
                <c:pt idx="5">
                  <c:v>20.059999999999999</c:v>
                </c:pt>
                <c:pt idx="6">
                  <c:v>42.03</c:v>
                </c:pt>
                <c:pt idx="7">
                  <c:v>49.519999999999996</c:v>
                </c:pt>
                <c:pt idx="8">
                  <c:v>22.07</c:v>
                </c:pt>
                <c:pt idx="9">
                  <c:v>14.86</c:v>
                </c:pt>
                <c:pt idx="10">
                  <c:v>15.55</c:v>
                </c:pt>
                <c:pt idx="11">
                  <c:v>30.27</c:v>
                </c:pt>
                <c:pt idx="12">
                  <c:v>6.1099999999999994</c:v>
                </c:pt>
                <c:pt idx="13">
                  <c:v>4.54</c:v>
                </c:pt>
                <c:pt idx="14">
                  <c:v>5.38</c:v>
                </c:pt>
                <c:pt idx="15">
                  <c:v>11.33</c:v>
                </c:pt>
                <c:pt idx="16">
                  <c:v>8.07</c:v>
                </c:pt>
                <c:pt idx="17">
                  <c:v>50.800000000000004</c:v>
                </c:pt>
                <c:pt idx="18">
                  <c:v>41.72</c:v>
                </c:pt>
                <c:pt idx="19">
                  <c:v>67.63</c:v>
                </c:pt>
                <c:pt idx="20">
                  <c:v>92.81</c:v>
                </c:pt>
                <c:pt idx="21">
                  <c:v>118.98000000000002</c:v>
                </c:pt>
                <c:pt idx="22">
                  <c:v>47.45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5-49CF-9D74-9E6C9E62166F}"/>
            </c:ext>
          </c:extLst>
        </c:ser>
        <c:ser>
          <c:idx val="1"/>
          <c:order val="1"/>
          <c:tx>
            <c:strRef>
              <c:f>'POM-EDAD'!$A$12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'POM-EDAD'!$B$4:$X$4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'POM-EDAD'!$B$12:$X$12</c:f>
              <c:numCache>
                <c:formatCode>#,##0</c:formatCode>
                <c:ptCount val="23"/>
                <c:pt idx="0">
                  <c:v>58.929999999999986</c:v>
                </c:pt>
                <c:pt idx="1">
                  <c:v>8.1</c:v>
                </c:pt>
                <c:pt idx="2">
                  <c:v>14.02</c:v>
                </c:pt>
                <c:pt idx="3">
                  <c:v>0.87000000000000011</c:v>
                </c:pt>
                <c:pt idx="4">
                  <c:v>12.530000000000001</c:v>
                </c:pt>
                <c:pt idx="5">
                  <c:v>9.6900000000000013</c:v>
                </c:pt>
                <c:pt idx="6">
                  <c:v>26.21</c:v>
                </c:pt>
                <c:pt idx="7">
                  <c:v>8.07</c:v>
                </c:pt>
                <c:pt idx="8">
                  <c:v>18.840000000000003</c:v>
                </c:pt>
                <c:pt idx="9">
                  <c:v>6.66</c:v>
                </c:pt>
                <c:pt idx="10">
                  <c:v>11.54</c:v>
                </c:pt>
                <c:pt idx="11">
                  <c:v>77.63000000000001</c:v>
                </c:pt>
                <c:pt idx="12">
                  <c:v>6.7700000000000005</c:v>
                </c:pt>
                <c:pt idx="13">
                  <c:v>6.72</c:v>
                </c:pt>
                <c:pt idx="14">
                  <c:v>11.12</c:v>
                </c:pt>
                <c:pt idx="15">
                  <c:v>8.67</c:v>
                </c:pt>
                <c:pt idx="16">
                  <c:v>51.97</c:v>
                </c:pt>
                <c:pt idx="17">
                  <c:v>18.95</c:v>
                </c:pt>
                <c:pt idx="18">
                  <c:v>26.599999999999998</c:v>
                </c:pt>
                <c:pt idx="19">
                  <c:v>21.67</c:v>
                </c:pt>
                <c:pt idx="20">
                  <c:v>30.86999999999999</c:v>
                </c:pt>
                <c:pt idx="21">
                  <c:v>39.019999999999996</c:v>
                </c:pt>
                <c:pt idx="22">
                  <c:v>14.75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5-49CF-9D74-9E6C9E62166F}"/>
            </c:ext>
          </c:extLst>
        </c:ser>
        <c:ser>
          <c:idx val="2"/>
          <c:order val="2"/>
          <c:tx>
            <c:strRef>
              <c:f>'POM-EDAD'!$A$25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'POM-EDAD'!$B$4:$X$4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'POM-EDAD'!$B$25:$X$25</c:f>
              <c:numCache>
                <c:formatCode>#,##0</c:formatCode>
                <c:ptCount val="23"/>
                <c:pt idx="0">
                  <c:v>75.649999999999991</c:v>
                </c:pt>
                <c:pt idx="1">
                  <c:v>111.27000000000001</c:v>
                </c:pt>
                <c:pt idx="2">
                  <c:v>12.830000000000002</c:v>
                </c:pt>
                <c:pt idx="3">
                  <c:v>9.61</c:v>
                </c:pt>
                <c:pt idx="4">
                  <c:v>69.240000000000009</c:v>
                </c:pt>
                <c:pt idx="5">
                  <c:v>12.5</c:v>
                </c:pt>
                <c:pt idx="6">
                  <c:v>18.25</c:v>
                </c:pt>
                <c:pt idx="7">
                  <c:v>11.79</c:v>
                </c:pt>
                <c:pt idx="8">
                  <c:v>44.900000000000006</c:v>
                </c:pt>
                <c:pt idx="9">
                  <c:v>41.89</c:v>
                </c:pt>
                <c:pt idx="10">
                  <c:v>3.36</c:v>
                </c:pt>
                <c:pt idx="11">
                  <c:v>30.939999999999998</c:v>
                </c:pt>
                <c:pt idx="12">
                  <c:v>49.79</c:v>
                </c:pt>
                <c:pt idx="13">
                  <c:v>40.89</c:v>
                </c:pt>
                <c:pt idx="14">
                  <c:v>22.73</c:v>
                </c:pt>
                <c:pt idx="15">
                  <c:v>84.740000000000009</c:v>
                </c:pt>
                <c:pt idx="16">
                  <c:v>33.08</c:v>
                </c:pt>
                <c:pt idx="17">
                  <c:v>53.76</c:v>
                </c:pt>
                <c:pt idx="18">
                  <c:v>60.36</c:v>
                </c:pt>
                <c:pt idx="19">
                  <c:v>44.440000000000012</c:v>
                </c:pt>
                <c:pt idx="20">
                  <c:v>73.14</c:v>
                </c:pt>
                <c:pt idx="21">
                  <c:v>45.28</c:v>
                </c:pt>
                <c:pt idx="22">
                  <c:v>36.340000000000003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5-49CF-9D74-9E6C9E62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54160"/>
        <c:axId val="969547088"/>
      </c:barChart>
      <c:catAx>
        <c:axId val="96955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7088"/>
        <c:crosses val="autoZero"/>
        <c:auto val="1"/>
        <c:lblAlgn val="ctr"/>
        <c:lblOffset val="100"/>
        <c:noMultiLvlLbl val="0"/>
      </c:catAx>
      <c:valAx>
        <c:axId val="96954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5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Pomelo: Andalucía, C. Valenciana y Murcia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'POM-EDAD'!$A$31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'POM-EDAD'!$B$30:$X$30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'POM-EDAD'!$B$31:$X$31</c:f>
              <c:numCache>
                <c:formatCode>0%</c:formatCode>
                <c:ptCount val="23"/>
                <c:pt idx="0">
                  <c:v>0.15182252623688156</c:v>
                </c:pt>
                <c:pt idx="1">
                  <c:v>2.2886994002998502E-2</c:v>
                </c:pt>
                <c:pt idx="2">
                  <c:v>2.2875281109445273E-2</c:v>
                </c:pt>
                <c:pt idx="3">
                  <c:v>2.836862818590705E-2</c:v>
                </c:pt>
                <c:pt idx="4">
                  <c:v>1.3399550224887556E-2</c:v>
                </c:pt>
                <c:pt idx="5">
                  <c:v>2.3496064467766115E-2</c:v>
                </c:pt>
                <c:pt idx="6">
                  <c:v>4.9229291604197901E-2</c:v>
                </c:pt>
                <c:pt idx="7">
                  <c:v>5.8002248875562212E-2</c:v>
                </c:pt>
                <c:pt idx="8">
                  <c:v>2.5850356071964019E-2</c:v>
                </c:pt>
                <c:pt idx="9">
                  <c:v>1.7405359820089953E-2</c:v>
                </c:pt>
                <c:pt idx="10">
                  <c:v>1.821354947526237E-2</c:v>
                </c:pt>
                <c:pt idx="11">
                  <c:v>3.5454928785607194E-2</c:v>
                </c:pt>
                <c:pt idx="12">
                  <c:v>7.1565779610194896E-3</c:v>
                </c:pt>
                <c:pt idx="13">
                  <c:v>5.3176536731634185E-3</c:v>
                </c:pt>
                <c:pt idx="14">
                  <c:v>6.3015367316341829E-3</c:v>
                </c:pt>
                <c:pt idx="15">
                  <c:v>1.3270708395802099E-2</c:v>
                </c:pt>
                <c:pt idx="16">
                  <c:v>9.4523050974512756E-3</c:v>
                </c:pt>
                <c:pt idx="17">
                  <c:v>5.9501499250374817E-2</c:v>
                </c:pt>
                <c:pt idx="18">
                  <c:v>4.8866191904047979E-2</c:v>
                </c:pt>
                <c:pt idx="19">
                  <c:v>7.9214299100449775E-2</c:v>
                </c:pt>
                <c:pt idx="20">
                  <c:v>0.10870736506746627</c:v>
                </c:pt>
                <c:pt idx="21">
                  <c:v>0.13936000749625191</c:v>
                </c:pt>
                <c:pt idx="22">
                  <c:v>5.5577679910044982E-2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4-495C-815E-15736112EF9A}"/>
            </c:ext>
          </c:extLst>
        </c:ser>
        <c:ser>
          <c:idx val="1"/>
          <c:order val="1"/>
          <c:tx>
            <c:strRef>
              <c:f>'POM-EDAD'!$A$32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'POM-EDAD'!$B$30:$X$30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'POM-EDAD'!$B$32:$X$32</c:f>
              <c:numCache>
                <c:formatCode>0%</c:formatCode>
                <c:ptCount val="23"/>
                <c:pt idx="0">
                  <c:v>0.12005704390343282</c:v>
                </c:pt>
                <c:pt idx="1">
                  <c:v>1.6501986350208823E-2</c:v>
                </c:pt>
                <c:pt idx="2">
                  <c:v>2.8562697361719472E-2</c:v>
                </c:pt>
                <c:pt idx="3">
                  <c:v>1.7724355709483554E-3</c:v>
                </c:pt>
                <c:pt idx="4">
                  <c:v>2.5527146786187234E-2</c:v>
                </c:pt>
                <c:pt idx="5">
                  <c:v>1.9741265152286854E-2</c:v>
                </c:pt>
                <c:pt idx="6">
                  <c:v>5.3397168177651028E-2</c:v>
                </c:pt>
                <c:pt idx="7">
                  <c:v>1.6440867882245087E-2</c:v>
                </c:pt>
                <c:pt idx="8">
                  <c:v>3.8382397881226459E-2</c:v>
                </c:pt>
                <c:pt idx="9">
                  <c:v>1.3568299887949479E-2</c:v>
                </c:pt>
                <c:pt idx="10">
                  <c:v>2.3510237343383929E-2</c:v>
                </c:pt>
                <c:pt idx="11">
                  <c:v>0.1581542222674952</c:v>
                </c:pt>
                <c:pt idx="12">
                  <c:v>1.3792400937149845E-2</c:v>
                </c:pt>
                <c:pt idx="13">
                  <c:v>1.3690536823876951E-2</c:v>
                </c:pt>
                <c:pt idx="14">
                  <c:v>2.265457879189162E-2</c:v>
                </c:pt>
                <c:pt idx="15">
                  <c:v>1.7663237241519816E-2</c:v>
                </c:pt>
                <c:pt idx="16">
                  <c:v>0.105877559335846</c:v>
                </c:pt>
                <c:pt idx="17">
                  <c:v>3.8606498930426815E-2</c:v>
                </c:pt>
                <c:pt idx="18">
                  <c:v>5.419170826117959E-2</c:v>
                </c:pt>
                <c:pt idx="19">
                  <c:v>4.4147906692472254E-2</c:v>
                </c:pt>
                <c:pt idx="20">
                  <c:v>6.2890903534684725E-2</c:v>
                </c:pt>
                <c:pt idx="21">
                  <c:v>7.9494753998166454E-2</c:v>
                </c:pt>
                <c:pt idx="22">
                  <c:v>3.0049913415503723E-2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4-495C-815E-15736112EF9A}"/>
            </c:ext>
          </c:extLst>
        </c:ser>
        <c:ser>
          <c:idx val="2"/>
          <c:order val="2"/>
          <c:tx>
            <c:strRef>
              <c:f>'POM-EDAD'!$A$37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'POM-EDAD'!$B$30:$X$30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'POM-EDAD'!$B$37:$X$37</c:f>
              <c:numCache>
                <c:formatCode>0%</c:formatCode>
                <c:ptCount val="23"/>
                <c:pt idx="0">
                  <c:v>7.6594409063756086E-2</c:v>
                </c:pt>
                <c:pt idx="1">
                  <c:v>0.11265908653700121</c:v>
                </c:pt>
                <c:pt idx="2">
                  <c:v>1.29901687810706E-2</c:v>
                </c:pt>
                <c:pt idx="3">
                  <c:v>9.7299705367177268E-3</c:v>
                </c:pt>
                <c:pt idx="4">
                  <c:v>7.0104387092854895E-2</c:v>
                </c:pt>
                <c:pt idx="5">
                  <c:v>1.265604908522077E-2</c:v>
                </c:pt>
                <c:pt idx="6">
                  <c:v>1.8477831664422323E-2</c:v>
                </c:pt>
                <c:pt idx="7">
                  <c:v>1.1937185497180229E-2</c:v>
                </c:pt>
                <c:pt idx="8">
                  <c:v>4.5460528314113013E-2</c:v>
                </c:pt>
                <c:pt idx="9">
                  <c:v>4.2412951694391847E-2</c:v>
                </c:pt>
                <c:pt idx="10">
                  <c:v>3.4019459941073429E-3</c:v>
                </c:pt>
                <c:pt idx="11">
                  <c:v>3.1326252695738445E-2</c:v>
                </c:pt>
                <c:pt idx="12">
                  <c:v>5.0411574716251371E-2</c:v>
                </c:pt>
                <c:pt idx="13">
                  <c:v>4.1400467767574181E-2</c:v>
                </c:pt>
                <c:pt idx="14">
                  <c:v>2.301375965656545E-2</c:v>
                </c:pt>
                <c:pt idx="15">
                  <c:v>8.5797887958528649E-2</c:v>
                </c:pt>
                <c:pt idx="16">
                  <c:v>3.3492968299128241E-2</c:v>
                </c:pt>
                <c:pt idx="17">
                  <c:v>5.4431135905717486E-2</c:v>
                </c:pt>
                <c:pt idx="18">
                  <c:v>6.1113529822714049E-2</c:v>
                </c:pt>
                <c:pt idx="19">
                  <c:v>4.4994785707776895E-2</c:v>
                </c:pt>
                <c:pt idx="20">
                  <c:v>7.405307440744377E-2</c:v>
                </c:pt>
                <c:pt idx="21">
                  <c:v>4.5845272206303717E-2</c:v>
                </c:pt>
                <c:pt idx="22">
                  <c:v>3.6793665900553822E-2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04-495C-815E-15736112E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549264"/>
        <c:axId val="969549808"/>
      </c:barChart>
      <c:catAx>
        <c:axId val="969549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9808"/>
        <c:crosses val="autoZero"/>
        <c:auto val="1"/>
        <c:lblAlgn val="ctr"/>
        <c:lblOffset val="100"/>
        <c:noMultiLvlLbl val="0"/>
      </c:catAx>
      <c:valAx>
        <c:axId val="969549808"/>
        <c:scaling>
          <c:orientation val="minMax"/>
          <c:max val="0.18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9549264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Pomelo: Andalucía, C. Valenciana y Murcia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242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'POM-EDAD'!$B$4:$X$4</c15:sqref>
                  </c15:fullRef>
                </c:ext>
              </c:extLst>
              <c:f>'POM-EDAD'!$C$4:$X$4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'POM-EDAD'!$B$5:$X$5</c15:sqref>
                  </c15:fullRef>
                </c:ext>
              </c:extLst>
              <c:f>'POM-EDAD'!$C$5:$X$5</c:f>
              <c:numCache>
                <c:formatCode>#,##0</c:formatCode>
                <c:ptCount val="22"/>
                <c:pt idx="0">
                  <c:v>19.54</c:v>
                </c:pt>
                <c:pt idx="1">
                  <c:v>19.529999999999998</c:v>
                </c:pt>
                <c:pt idx="2">
                  <c:v>24.220000000000002</c:v>
                </c:pt>
                <c:pt idx="3">
                  <c:v>11.44</c:v>
                </c:pt>
                <c:pt idx="4">
                  <c:v>20.059999999999999</c:v>
                </c:pt>
                <c:pt idx="5">
                  <c:v>42.03</c:v>
                </c:pt>
                <c:pt idx="6">
                  <c:v>49.519999999999996</c:v>
                </c:pt>
                <c:pt idx="7">
                  <c:v>22.07</c:v>
                </c:pt>
                <c:pt idx="8">
                  <c:v>14.86</c:v>
                </c:pt>
                <c:pt idx="9">
                  <c:v>15.55</c:v>
                </c:pt>
                <c:pt idx="10">
                  <c:v>30.27</c:v>
                </c:pt>
                <c:pt idx="11">
                  <c:v>6.1099999999999994</c:v>
                </c:pt>
                <c:pt idx="12">
                  <c:v>4.54</c:v>
                </c:pt>
                <c:pt idx="13">
                  <c:v>5.38</c:v>
                </c:pt>
                <c:pt idx="14">
                  <c:v>11.33</c:v>
                </c:pt>
                <c:pt idx="15">
                  <c:v>8.07</c:v>
                </c:pt>
                <c:pt idx="16">
                  <c:v>50.800000000000004</c:v>
                </c:pt>
                <c:pt idx="17">
                  <c:v>41.72</c:v>
                </c:pt>
                <c:pt idx="18">
                  <c:v>67.63</c:v>
                </c:pt>
                <c:pt idx="19">
                  <c:v>92.81</c:v>
                </c:pt>
                <c:pt idx="20">
                  <c:v>118.98000000000002</c:v>
                </c:pt>
                <c:pt idx="21">
                  <c:v>47.45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5-49CF-9D74-9E6C9E62166F}"/>
            </c:ext>
          </c:extLst>
        </c:ser>
        <c:ser>
          <c:idx val="1"/>
          <c:order val="1"/>
          <c:tx>
            <c:strRef>
              <c:f>'POM-EDAD'!$A$12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'POM-EDAD'!$B$4:$X$4</c15:sqref>
                  </c15:fullRef>
                </c:ext>
              </c:extLst>
              <c:f>'POM-EDAD'!$C$4:$X$4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'POM-EDAD'!$B$12:$X$12</c15:sqref>
                  </c15:fullRef>
                </c:ext>
              </c:extLst>
              <c:f>'POM-EDAD'!$C$12:$X$12</c:f>
              <c:numCache>
                <c:formatCode>#,##0</c:formatCode>
                <c:ptCount val="22"/>
                <c:pt idx="0">
                  <c:v>8.1</c:v>
                </c:pt>
                <c:pt idx="1">
                  <c:v>14.02</c:v>
                </c:pt>
                <c:pt idx="2">
                  <c:v>0.87000000000000011</c:v>
                </c:pt>
                <c:pt idx="3">
                  <c:v>12.530000000000001</c:v>
                </c:pt>
                <c:pt idx="4">
                  <c:v>9.6900000000000013</c:v>
                </c:pt>
                <c:pt idx="5">
                  <c:v>26.21</c:v>
                </c:pt>
                <c:pt idx="6">
                  <c:v>8.07</c:v>
                </c:pt>
                <c:pt idx="7">
                  <c:v>18.840000000000003</c:v>
                </c:pt>
                <c:pt idx="8">
                  <c:v>6.66</c:v>
                </c:pt>
                <c:pt idx="9">
                  <c:v>11.54</c:v>
                </c:pt>
                <c:pt idx="10">
                  <c:v>77.63000000000001</c:v>
                </c:pt>
                <c:pt idx="11">
                  <c:v>6.7700000000000005</c:v>
                </c:pt>
                <c:pt idx="12">
                  <c:v>6.72</c:v>
                </c:pt>
                <c:pt idx="13">
                  <c:v>11.12</c:v>
                </c:pt>
                <c:pt idx="14">
                  <c:v>8.67</c:v>
                </c:pt>
                <c:pt idx="15">
                  <c:v>51.97</c:v>
                </c:pt>
                <c:pt idx="16">
                  <c:v>18.95</c:v>
                </c:pt>
                <c:pt idx="17">
                  <c:v>26.599999999999998</c:v>
                </c:pt>
                <c:pt idx="18">
                  <c:v>21.67</c:v>
                </c:pt>
                <c:pt idx="19">
                  <c:v>30.86999999999999</c:v>
                </c:pt>
                <c:pt idx="20">
                  <c:v>39.019999999999996</c:v>
                </c:pt>
                <c:pt idx="21">
                  <c:v>14.75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5-49CF-9D74-9E6C9E62166F}"/>
            </c:ext>
          </c:extLst>
        </c:ser>
        <c:ser>
          <c:idx val="2"/>
          <c:order val="2"/>
          <c:tx>
            <c:strRef>
              <c:f>'POM-EDAD'!$A$25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'POM-EDAD'!$B$4:$X$4</c15:sqref>
                  </c15:fullRef>
                </c:ext>
              </c:extLst>
              <c:f>'POM-EDAD'!$C$4:$X$4</c:f>
              <c:strCache>
                <c:ptCount val="22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  <c:pt idx="21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'POM-EDAD'!$B$25:$X$25</c15:sqref>
                  </c15:fullRef>
                </c:ext>
              </c:extLst>
              <c:f>'POM-EDAD'!$C$25:$X$25</c:f>
              <c:numCache>
                <c:formatCode>#,##0</c:formatCode>
                <c:ptCount val="22"/>
                <c:pt idx="0">
                  <c:v>111.27000000000001</c:v>
                </c:pt>
                <c:pt idx="1">
                  <c:v>12.830000000000002</c:v>
                </c:pt>
                <c:pt idx="2">
                  <c:v>9.61</c:v>
                </c:pt>
                <c:pt idx="3">
                  <c:v>69.240000000000009</c:v>
                </c:pt>
                <c:pt idx="4">
                  <c:v>12.5</c:v>
                </c:pt>
                <c:pt idx="5">
                  <c:v>18.25</c:v>
                </c:pt>
                <c:pt idx="6">
                  <c:v>11.79</c:v>
                </c:pt>
                <c:pt idx="7">
                  <c:v>44.900000000000006</c:v>
                </c:pt>
                <c:pt idx="8">
                  <c:v>41.89</c:v>
                </c:pt>
                <c:pt idx="9">
                  <c:v>3.36</c:v>
                </c:pt>
                <c:pt idx="10">
                  <c:v>30.939999999999998</c:v>
                </c:pt>
                <c:pt idx="11">
                  <c:v>49.79</c:v>
                </c:pt>
                <c:pt idx="12">
                  <c:v>40.89</c:v>
                </c:pt>
                <c:pt idx="13">
                  <c:v>22.73</c:v>
                </c:pt>
                <c:pt idx="14">
                  <c:v>84.740000000000009</c:v>
                </c:pt>
                <c:pt idx="15">
                  <c:v>33.08</c:v>
                </c:pt>
                <c:pt idx="16">
                  <c:v>53.76</c:v>
                </c:pt>
                <c:pt idx="17">
                  <c:v>60.36</c:v>
                </c:pt>
                <c:pt idx="18">
                  <c:v>44.440000000000012</c:v>
                </c:pt>
                <c:pt idx="19">
                  <c:v>73.14</c:v>
                </c:pt>
                <c:pt idx="20">
                  <c:v>45.28</c:v>
                </c:pt>
                <c:pt idx="21">
                  <c:v>36.340000000000003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5-49CF-9D74-9E6C9E62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112640"/>
        <c:axId val="970922256"/>
      </c:barChart>
      <c:catAx>
        <c:axId val="968112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22256"/>
        <c:crosses val="autoZero"/>
        <c:auto val="1"/>
        <c:lblAlgn val="ctr"/>
        <c:lblOffset val="100"/>
        <c:noMultiLvlLbl val="0"/>
      </c:catAx>
      <c:valAx>
        <c:axId val="97092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811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NARANJO</a:t>
            </a:r>
            <a:r>
              <a:rPr lang="en-US"/>
              <a:t>: Representatividad de la </a:t>
            </a:r>
          </a:p>
          <a:p>
            <a:pPr>
              <a:defRPr/>
            </a:pPr>
            <a:r>
              <a:rPr lang="en-US"/>
              <a:t>información de</a:t>
            </a:r>
            <a:r>
              <a:rPr lang="en-US" baseline="0"/>
              <a:t> Superficies anuales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053105861767278"/>
          <c:y val="0.32398694954797314"/>
          <c:w val="0.35893788276465444"/>
          <c:h val="0.598229804607757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33-4CE8-82AB-653B1F019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A9-461E-BE9E-462F38EA66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A9-461E-BE9E-462F38EA66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A9-461E-BE9E-462F38EA66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A9-461E-BE9E-462F38EA6618}"/>
              </c:ext>
            </c:extLst>
          </c:dPt>
          <c:dLbls>
            <c:dLbl>
              <c:idx val="0"/>
              <c:layout>
                <c:manualLayout>
                  <c:x val="-0.19040354330708661"/>
                  <c:y val="6.42763925342665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3-4CE8-82AB-653B1F01910B}"/>
                </c:ext>
              </c:extLst>
            </c:dLbl>
            <c:dLbl>
              <c:idx val="1"/>
              <c:layout>
                <c:manualLayout>
                  <c:x val="0.19170406824146982"/>
                  <c:y val="-0.1161045494313210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9-461E-BE9E-462F38EA6618}"/>
                </c:ext>
              </c:extLst>
            </c:dLbl>
            <c:dLbl>
              <c:idx val="4"/>
              <c:layout>
                <c:manualLayout>
                  <c:x val="0.13324578765952944"/>
                  <c:y val="4.10315958819418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A9-461E-BE9E-462F38EA661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('NAR-REPR'!$A$9,'NAR-REPR'!$A$20,'NAR-REPR'!$A$28,'NAR-REPR'!$A$40,'NAR-REPR'!$A$45)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('NAR-REPR'!$CC$8,'NAR-REPR'!$CC$19,'NAR-REPR'!$CC$27,'NAR-REPR'!$CC$39,'NAR-REPR'!$CC$44)</c:f>
              <c:numCache>
                <c:formatCode>0.0%</c:formatCode>
                <c:ptCount val="5"/>
                <c:pt idx="0">
                  <c:v>0.42276825937851409</c:v>
                </c:pt>
                <c:pt idx="1">
                  <c:v>0.49358468426309432</c:v>
                </c:pt>
                <c:pt idx="2">
                  <c:v>1.6015589531545752E-2</c:v>
                </c:pt>
                <c:pt idx="3">
                  <c:v>1.1713102330746719E-2</c:v>
                </c:pt>
                <c:pt idx="4">
                  <c:v>4.8507749366151438E-2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0-4162-8DED-C3CDF9D43D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Pomelo: Andalucía, C. Valenciana y Murcia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242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'POM-EDAD'!$A$5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'POM-EDAD'!$B$4:$X$4</c15:sqref>
                  </c15:fullRef>
                </c:ext>
              </c:extLst>
              <c:f>'POM-EDAD'!$R$4:$X$4</c:f>
              <c:strCache>
                <c:ptCount val="7"/>
                <c:pt idx="0">
                  <c:v>2.015</c:v>
                </c:pt>
                <c:pt idx="1">
                  <c:v>2.016</c:v>
                </c:pt>
                <c:pt idx="2">
                  <c:v>2.017</c:v>
                </c:pt>
                <c:pt idx="3">
                  <c:v>2.018</c:v>
                </c:pt>
                <c:pt idx="4">
                  <c:v>2.019</c:v>
                </c:pt>
                <c:pt idx="5">
                  <c:v>2.020</c:v>
                </c:pt>
                <c:pt idx="6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'POM-EDAD'!$B$5:$X$5</c15:sqref>
                  </c15:fullRef>
                </c:ext>
              </c:extLst>
              <c:f>'POM-EDAD'!$R$5:$X$5</c:f>
              <c:numCache>
                <c:formatCode>#,##0</c:formatCode>
                <c:ptCount val="7"/>
                <c:pt idx="0">
                  <c:v>8.07</c:v>
                </c:pt>
                <c:pt idx="1">
                  <c:v>50.800000000000004</c:v>
                </c:pt>
                <c:pt idx="2">
                  <c:v>41.72</c:v>
                </c:pt>
                <c:pt idx="3">
                  <c:v>67.63</c:v>
                </c:pt>
                <c:pt idx="4">
                  <c:v>92.81</c:v>
                </c:pt>
                <c:pt idx="5">
                  <c:v>118.98000000000002</c:v>
                </c:pt>
                <c:pt idx="6">
                  <c:v>47.45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5-49CF-9D74-9E6C9E62166F}"/>
            </c:ext>
          </c:extLst>
        </c:ser>
        <c:ser>
          <c:idx val="1"/>
          <c:order val="1"/>
          <c:tx>
            <c:strRef>
              <c:f>'POM-EDAD'!$A$12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'POM-EDAD'!$B$4:$X$4</c15:sqref>
                  </c15:fullRef>
                </c:ext>
              </c:extLst>
              <c:f>'POM-EDAD'!$R$4:$X$4</c:f>
              <c:strCache>
                <c:ptCount val="7"/>
                <c:pt idx="0">
                  <c:v>2.015</c:v>
                </c:pt>
                <c:pt idx="1">
                  <c:v>2.016</c:v>
                </c:pt>
                <c:pt idx="2">
                  <c:v>2.017</c:v>
                </c:pt>
                <c:pt idx="3">
                  <c:v>2.018</c:v>
                </c:pt>
                <c:pt idx="4">
                  <c:v>2.019</c:v>
                </c:pt>
                <c:pt idx="5">
                  <c:v>2.020</c:v>
                </c:pt>
                <c:pt idx="6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'POM-EDAD'!$B$12:$X$12</c15:sqref>
                  </c15:fullRef>
                </c:ext>
              </c:extLst>
              <c:f>'POM-EDAD'!$R$12:$X$12</c:f>
              <c:numCache>
                <c:formatCode>#,##0</c:formatCode>
                <c:ptCount val="7"/>
                <c:pt idx="0">
                  <c:v>51.97</c:v>
                </c:pt>
                <c:pt idx="1">
                  <c:v>18.95</c:v>
                </c:pt>
                <c:pt idx="2">
                  <c:v>26.599999999999998</c:v>
                </c:pt>
                <c:pt idx="3">
                  <c:v>21.67</c:v>
                </c:pt>
                <c:pt idx="4">
                  <c:v>30.86999999999999</c:v>
                </c:pt>
                <c:pt idx="5">
                  <c:v>39.019999999999996</c:v>
                </c:pt>
                <c:pt idx="6">
                  <c:v>14.75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5-49CF-9D74-9E6C9E62166F}"/>
            </c:ext>
          </c:extLst>
        </c:ser>
        <c:ser>
          <c:idx val="2"/>
          <c:order val="2"/>
          <c:tx>
            <c:strRef>
              <c:f>'POM-EDAD'!$A$25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'POM-EDAD'!$B$4:$X$4</c15:sqref>
                  </c15:fullRef>
                </c:ext>
              </c:extLst>
              <c:f>'POM-EDAD'!$R$4:$X$4</c:f>
              <c:strCache>
                <c:ptCount val="7"/>
                <c:pt idx="0">
                  <c:v>2.015</c:v>
                </c:pt>
                <c:pt idx="1">
                  <c:v>2.016</c:v>
                </c:pt>
                <c:pt idx="2">
                  <c:v>2.017</c:v>
                </c:pt>
                <c:pt idx="3">
                  <c:v>2.018</c:v>
                </c:pt>
                <c:pt idx="4">
                  <c:v>2.019</c:v>
                </c:pt>
                <c:pt idx="5">
                  <c:v>2.020</c:v>
                </c:pt>
                <c:pt idx="6">
                  <c:v>2.021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'POM-EDAD'!$B$25:$X$25</c15:sqref>
                  </c15:fullRef>
                </c:ext>
              </c:extLst>
              <c:f>'POM-EDAD'!$R$25:$X$25</c:f>
              <c:numCache>
                <c:formatCode>#,##0</c:formatCode>
                <c:ptCount val="7"/>
                <c:pt idx="0">
                  <c:v>33.08</c:v>
                </c:pt>
                <c:pt idx="1">
                  <c:v>53.76</c:v>
                </c:pt>
                <c:pt idx="2">
                  <c:v>60.36</c:v>
                </c:pt>
                <c:pt idx="3">
                  <c:v>44.440000000000012</c:v>
                </c:pt>
                <c:pt idx="4">
                  <c:v>73.14</c:v>
                </c:pt>
                <c:pt idx="5">
                  <c:v>45.28</c:v>
                </c:pt>
                <c:pt idx="6">
                  <c:v>36.340000000000003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5-49CF-9D74-9E6C9E62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924976"/>
        <c:axId val="970922800"/>
      </c:barChart>
      <c:catAx>
        <c:axId val="970924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22800"/>
        <c:crosses val="autoZero"/>
        <c:auto val="1"/>
        <c:lblAlgn val="ctr"/>
        <c:lblOffset val="100"/>
        <c:noMultiLvlLbl val="0"/>
      </c:catAx>
      <c:valAx>
        <c:axId val="97092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2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Pomelo: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'POM-EDAD'!$A$27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'POM-EDAD'!$B$4:$X$4</c:f>
              <c:strCache>
                <c:ptCount val="23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  <c:pt idx="22">
                  <c:v>2.021</c:v>
                </c:pt>
              </c:strCache>
            </c:strRef>
          </c:cat>
          <c:val>
            <c:numRef>
              <c:f>'POM-EDAD'!$B$27:$X$27</c:f>
              <c:numCache>
                <c:formatCode>#,##0</c:formatCode>
                <c:ptCount val="23"/>
                <c:pt idx="0">
                  <c:v>264.55999999999995</c:v>
                </c:pt>
                <c:pt idx="1">
                  <c:v>138.91</c:v>
                </c:pt>
                <c:pt idx="2">
                  <c:v>46.379999999999995</c:v>
                </c:pt>
                <c:pt idx="3">
                  <c:v>34.700000000000003</c:v>
                </c:pt>
                <c:pt idx="4">
                  <c:v>93.210000000000008</c:v>
                </c:pt>
                <c:pt idx="5">
                  <c:v>42.25</c:v>
                </c:pt>
                <c:pt idx="6">
                  <c:v>86.490000000000009</c:v>
                </c:pt>
                <c:pt idx="7">
                  <c:v>69.38</c:v>
                </c:pt>
                <c:pt idx="8">
                  <c:v>85.81</c:v>
                </c:pt>
                <c:pt idx="9">
                  <c:v>63.41</c:v>
                </c:pt>
                <c:pt idx="10">
                  <c:v>30.45</c:v>
                </c:pt>
                <c:pt idx="11">
                  <c:v>138.84</c:v>
                </c:pt>
                <c:pt idx="12">
                  <c:v>62.67</c:v>
                </c:pt>
                <c:pt idx="13">
                  <c:v>52.28</c:v>
                </c:pt>
                <c:pt idx="14">
                  <c:v>39.230000000000004</c:v>
                </c:pt>
                <c:pt idx="15">
                  <c:v>104.74000000000001</c:v>
                </c:pt>
                <c:pt idx="16">
                  <c:v>93.12</c:v>
                </c:pt>
                <c:pt idx="17">
                  <c:v>123.53999999999999</c:v>
                </c:pt>
                <c:pt idx="18">
                  <c:v>128.78</c:v>
                </c:pt>
                <c:pt idx="19">
                  <c:v>133.88</c:v>
                </c:pt>
                <c:pt idx="20">
                  <c:v>196.82</c:v>
                </c:pt>
                <c:pt idx="21">
                  <c:v>204.71</c:v>
                </c:pt>
                <c:pt idx="22">
                  <c:v>99.02000000000001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7-410B-B962-E71832C1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923344"/>
        <c:axId val="970911920"/>
      </c:barChart>
      <c:catAx>
        <c:axId val="97092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11920"/>
        <c:crosses val="autoZero"/>
        <c:auto val="1"/>
        <c:lblAlgn val="ctr"/>
        <c:lblOffset val="100"/>
        <c:noMultiLvlLbl val="0"/>
      </c:catAx>
      <c:valAx>
        <c:axId val="97091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2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sng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NARANJO</a:t>
            </a:r>
            <a:r>
              <a:rPr lang="en-US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: Superficie plantada según tipo de variedades (ha) RSU REGEPA 2021</a:t>
            </a:r>
            <a:endParaRPr lang="es-ES" sz="14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413333333333333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5336A37-0FC1-4805-A3C8-D3EA4915EAA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D4D-4F60-8B0D-03B7900A1CB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56D2C52-D1FD-4970-854F-9742D378DC1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D4D-4F60-8B0D-03B7900A1CB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181A26E-3F7D-4125-A4EC-BADE12BD2AB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D4D-4F60-8B0D-03B7900A1CB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4563B5-E995-44C1-8717-EEB1CECE847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D4D-4F60-8B0D-03B7900A1CB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BCEF7D3-3695-435F-90D2-1E0F1001C46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D4D-4F60-8B0D-03B7900A1CB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F548417-77F7-4007-A9BE-78757F681ED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D4D-4F60-8B0D-03B7900A1C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'NAR-VAR'!$B$6:$C$11</c:f>
              <c:multiLvlStrCache>
                <c:ptCount val="6"/>
                <c:lvl>
                  <c:pt idx="0">
                    <c:v>Media estación</c:v>
                  </c:pt>
                  <c:pt idx="1">
                    <c:v>Tardía</c:v>
                  </c:pt>
                  <c:pt idx="2">
                    <c:v>Media estación</c:v>
                  </c:pt>
                  <c:pt idx="3">
                    <c:v>Tardía</c:v>
                  </c:pt>
                  <c:pt idx="4">
                    <c:v>Temprana</c:v>
                  </c:pt>
                  <c:pt idx="5">
                    <c:v>Media estación</c:v>
                  </c:pt>
                </c:lvl>
                <c:lvl>
                  <c:pt idx="0">
                    <c:v>Blancas</c:v>
                  </c:pt>
                  <c:pt idx="2">
                    <c:v>Navel</c:v>
                  </c:pt>
                  <c:pt idx="5">
                    <c:v>Sanguinas</c:v>
                  </c:pt>
                </c:lvl>
              </c:multiLvlStrCache>
            </c:multiLvlStrRef>
          </c:cat>
          <c:val>
            <c:numRef>
              <c:f>'NAR-VAR'!$D$6:$D$11</c:f>
              <c:numCache>
                <c:formatCode>#,##0</c:formatCode>
                <c:ptCount val="6"/>
                <c:pt idx="0">
                  <c:v>9483.93</c:v>
                </c:pt>
                <c:pt idx="1">
                  <c:v>21061.119999999999</c:v>
                </c:pt>
                <c:pt idx="2">
                  <c:v>4121.6099999999997</c:v>
                </c:pt>
                <c:pt idx="3">
                  <c:v>41575.83</c:v>
                </c:pt>
                <c:pt idx="4">
                  <c:v>30667.94</c:v>
                </c:pt>
                <c:pt idx="5">
                  <c:v>1154.33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'NAR-VAR'!$E$6:$E$11</c15:f>
                <c15:dlblRangeCache>
                  <c:ptCount val="6"/>
                  <c:pt idx="0">
                    <c:v>8,8%</c:v>
                  </c:pt>
                  <c:pt idx="1">
                    <c:v>19,5%</c:v>
                  </c:pt>
                  <c:pt idx="2">
                    <c:v>3,8%</c:v>
                  </c:pt>
                  <c:pt idx="3">
                    <c:v>38,5%</c:v>
                  </c:pt>
                  <c:pt idx="4">
                    <c:v>28,4%</c:v>
                  </c:pt>
                  <c:pt idx="5">
                    <c:v>1,1%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CDC-41D2-8292-8B83D1C43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0927152"/>
        <c:axId val="970915728"/>
      </c:barChart>
      <c:catAx>
        <c:axId val="97092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15728"/>
        <c:crosses val="autoZero"/>
        <c:auto val="1"/>
        <c:lblAlgn val="ctr"/>
        <c:lblOffset val="100"/>
        <c:noMultiLvlLbl val="0"/>
      </c:catAx>
      <c:valAx>
        <c:axId val="97091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2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sng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PEQUEÑOS CÍTRICOS</a:t>
            </a:r>
            <a:r>
              <a:rPr lang="en-US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: Superficie plantada según tipo de variedades (ha) RSU REGEPA 2021</a:t>
            </a:r>
            <a:endParaRPr lang="es-ES" sz="14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8880E31-FDB9-4C13-BAEF-95F1B353026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2F8-4C19-9027-2AE21AD802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DA4F262-53D3-4741-AAB0-D77FE284319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2F8-4C19-9027-2AE21AD802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371E3AA-866D-444F-ACF0-0E5DE8B551A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2F8-4C19-9027-2AE21AD802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E6E7ABA-B725-411A-BBD5-D293F713ECC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2F8-4C19-9027-2AE21AD802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D08C87D-E2BE-4AD0-BEB1-D197711C32F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2F8-4C19-9027-2AE21AD802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48FC4AE-7AD3-4657-B691-785FDC25DC6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2F8-4C19-9027-2AE21AD802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EE2769A-50DE-4F73-B017-4409CDEF66C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2F8-4C19-9027-2AE21AD802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62CCF1A-C3B8-40D5-9419-5DA201FE07C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2F8-4C19-9027-2AE21AD802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D020E54-D4FD-410A-95D7-55CD55A5ED6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2F8-4C19-9027-2AE21AD8021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CB94551-5C96-4039-A5BF-C9D04508700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2F8-4C19-9027-2AE21AD8021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F43177F-D2F8-4C23-903D-37BE7E9BB5B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2F8-4C19-9027-2AE21AD802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'PC-VAR'!$B$7:$C$17</c:f>
              <c:multiLvlStrCache>
                <c:ptCount val="11"/>
                <c:lvl>
                  <c:pt idx="0">
                    <c:v>Extratempranas</c:v>
                  </c:pt>
                  <c:pt idx="1">
                    <c:v>Temprana</c:v>
                  </c:pt>
                  <c:pt idx="2">
                    <c:v>Media estación</c:v>
                  </c:pt>
                  <c:pt idx="3">
                    <c:v>Tardía</c:v>
                  </c:pt>
                  <c:pt idx="4">
                    <c:v>Media estación</c:v>
                  </c:pt>
                  <c:pt idx="5">
                    <c:v>Temprana</c:v>
                  </c:pt>
                  <c:pt idx="6">
                    <c:v>Media estación</c:v>
                  </c:pt>
                  <c:pt idx="7">
                    <c:v>Tardía</c:v>
                  </c:pt>
                  <c:pt idx="8">
                    <c:v>Extratempranas</c:v>
                  </c:pt>
                  <c:pt idx="9">
                    <c:v>Temprana</c:v>
                  </c:pt>
                  <c:pt idx="10">
                    <c:v>Media estación</c:v>
                  </c:pt>
                </c:lvl>
                <c:lvl>
                  <c:pt idx="0">
                    <c:v>Clementinas</c:v>
                  </c:pt>
                  <c:pt idx="4">
                    <c:v>Mandarino</c:v>
                  </c:pt>
                  <c:pt idx="5">
                    <c:v>Mandarinos híbridos</c:v>
                  </c:pt>
                  <c:pt idx="8">
                    <c:v>Satsumas</c:v>
                  </c:pt>
                </c:lvl>
              </c:multiLvlStrCache>
            </c:multiLvlStrRef>
          </c:cat>
          <c:val>
            <c:numRef>
              <c:f>'PC-VAR'!$D$7:$D$17</c:f>
              <c:numCache>
                <c:formatCode>#,##0</c:formatCode>
                <c:ptCount val="11"/>
                <c:pt idx="0">
                  <c:v>2944.3</c:v>
                </c:pt>
                <c:pt idx="1">
                  <c:v>9456.7099999999991</c:v>
                </c:pt>
                <c:pt idx="2">
                  <c:v>27158.38</c:v>
                </c:pt>
                <c:pt idx="3">
                  <c:v>2286.5700000000002</c:v>
                </c:pt>
                <c:pt idx="4">
                  <c:v>9859.4500000000007</c:v>
                </c:pt>
                <c:pt idx="5">
                  <c:v>5.13</c:v>
                </c:pt>
                <c:pt idx="6">
                  <c:v>18681.96</c:v>
                </c:pt>
                <c:pt idx="7">
                  <c:v>3097.47</c:v>
                </c:pt>
                <c:pt idx="8">
                  <c:v>468.68</c:v>
                </c:pt>
                <c:pt idx="9">
                  <c:v>1570.98</c:v>
                </c:pt>
                <c:pt idx="10">
                  <c:v>2099.21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'PC-VAR'!$E$7:$E$18</c15:f>
                <c15:dlblRangeCache>
                  <c:ptCount val="12"/>
                  <c:pt idx="0">
                    <c:v>4%</c:v>
                  </c:pt>
                  <c:pt idx="1">
                    <c:v>12%</c:v>
                  </c:pt>
                  <c:pt idx="2">
                    <c:v>35%</c:v>
                  </c:pt>
                  <c:pt idx="3">
                    <c:v>3%</c:v>
                  </c:pt>
                  <c:pt idx="4">
                    <c:v>13%</c:v>
                  </c:pt>
                  <c:pt idx="5">
                    <c:v>0,01%</c:v>
                  </c:pt>
                  <c:pt idx="6">
                    <c:v>24%</c:v>
                  </c:pt>
                  <c:pt idx="7">
                    <c:v>4%</c:v>
                  </c:pt>
                  <c:pt idx="8">
                    <c:v>1%</c:v>
                  </c:pt>
                  <c:pt idx="9">
                    <c:v>2%</c:v>
                  </c:pt>
                  <c:pt idx="10">
                    <c:v>3%</c:v>
                  </c:pt>
                  <c:pt idx="11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EEF-4DBD-9C72-AF4515E2B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0925520"/>
        <c:axId val="970926064"/>
      </c:barChart>
      <c:catAx>
        <c:axId val="97092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26064"/>
        <c:crosses val="autoZero"/>
        <c:auto val="1"/>
        <c:lblAlgn val="ctr"/>
        <c:lblOffset val="100"/>
        <c:noMultiLvlLbl val="0"/>
      </c:catAx>
      <c:valAx>
        <c:axId val="97092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1">
                    <a:lumMod val="65000"/>
                    <a:lumOff val="35000"/>
                  </a:schemeClr>
                </a:solidFill>
              </a:rPr>
              <a:t>Grupos varietales en pequeños cítricos</a:t>
            </a:r>
          </a:p>
          <a:p>
            <a:pPr>
              <a:defRPr/>
            </a:pPr>
            <a:endParaRPr lang="es-ES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6642891513560807"/>
          <c:y val="0.18499708369787107"/>
          <c:w val="0.47547572178477693"/>
          <c:h val="0.792459536307961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D0-4A12-8E86-A446142713E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D0-4A12-8E86-A446142713E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D0-4A12-8E86-A446142713E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D0-4A12-8E86-A446142713E6}"/>
              </c:ext>
            </c:extLst>
          </c:dPt>
          <c:dLbls>
            <c:dLbl>
              <c:idx val="3"/>
              <c:layout>
                <c:manualLayout>
                  <c:x val="2.3281496062992076E-2"/>
                  <c:y val="3.81944444444444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A12-8E86-A446142713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'PC-VAR'!$B$23:$B$26</c:f>
              <c:strCache>
                <c:ptCount val="4"/>
                <c:pt idx="0">
                  <c:v>Clementinas</c:v>
                </c:pt>
                <c:pt idx="1">
                  <c:v>Mandarino</c:v>
                </c:pt>
                <c:pt idx="2">
                  <c:v>Mandarinos híbridos</c:v>
                </c:pt>
                <c:pt idx="3">
                  <c:v>Satsumas</c:v>
                </c:pt>
              </c:strCache>
            </c:strRef>
          </c:cat>
          <c:val>
            <c:numRef>
              <c:f>'PC-VAR'!$E$23:$E$26</c:f>
              <c:numCache>
                <c:formatCode>0%</c:formatCode>
                <c:ptCount val="4"/>
                <c:pt idx="0">
                  <c:v>0.53131005210418736</c:v>
                </c:pt>
                <c:pt idx="1">
                  <c:v>0.12562951171299341</c:v>
                </c:pt>
                <c:pt idx="2">
                  <c:v>0.25329881978022117</c:v>
                </c:pt>
                <c:pt idx="3">
                  <c:v>5.2621572219519568E-2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3-4025-9A24-77C1B7B47250}"/>
            </c:ext>
          </c:extLst>
        </c:ser>
        <c:ser>
          <c:idx val="1"/>
          <c:order val="1"/>
          <c:tx>
            <c:strRef>
              <c:f>'PC-VAR'!$B$23:$B$26</c:f>
              <c:strCache>
                <c:ptCount val="4"/>
                <c:pt idx="0">
                  <c:v>Clementinas</c:v>
                </c:pt>
                <c:pt idx="1">
                  <c:v>Mandarino</c:v>
                </c:pt>
                <c:pt idx="2">
                  <c:v>Mandarinos híbridos</c:v>
                </c:pt>
                <c:pt idx="3">
                  <c:v>Satsumas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2A-416F-9E0C-19E0926CEC8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2A-416F-9E0C-19E0926CEC8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32A-416F-9E0C-19E0926CEC8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32A-416F-9E0C-19E0926CEC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'PC-VAR'!$B$23:$B$26</c:f>
              <c:strCache>
                <c:ptCount val="4"/>
                <c:pt idx="0">
                  <c:v>Clementinas</c:v>
                </c:pt>
                <c:pt idx="1">
                  <c:v>Mandarino</c:v>
                </c:pt>
                <c:pt idx="2">
                  <c:v>Mandarinos híbridos</c:v>
                </c:pt>
                <c:pt idx="3">
                  <c:v>Satsumas</c:v>
                </c:pt>
              </c:strCache>
            </c:strRef>
          </c:cat>
          <c:val>
            <c:numRef>
              <c:f>'PC-VAR'!$C$23:$C$26</c:f>
              <c:numCache>
                <c:formatCode>#,##0</c:formatCode>
                <c:ptCount val="4"/>
                <c:pt idx="0">
                  <c:v>41845.96</c:v>
                </c:pt>
                <c:pt idx="1">
                  <c:v>9859.4500000000007</c:v>
                </c:pt>
                <c:pt idx="2">
                  <c:v>21784.560000000001</c:v>
                </c:pt>
                <c:pt idx="3">
                  <c:v>4138.87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32A-416F-9E0C-19E0926CEC8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sng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LIMONERO</a:t>
            </a:r>
            <a:r>
              <a:rPr lang="en-US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: </a:t>
            </a:r>
            <a:r>
              <a:rPr lang="en-US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Superficie plantada según tipo de variedades (ha) RSU REGEPA 2021</a:t>
            </a:r>
            <a:endParaRPr lang="es-ES" sz="14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78AD72C-F39A-4D96-B6A0-B5BAF7F0875E}" type="CELLRANGE">
                      <a:rPr lang="en-US"/>
                      <a:pPr>
                        <a:defRPr sz="1200" b="1"/>
                      </a:pPr>
                      <a:t>[CELLRANGE]</a:t>
                    </a:fld>
                    <a:endParaRPr lang="es-E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835-4D4A-8485-67E5756BDA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6CF00E2-A793-47FF-98DA-6BC7B73B92E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835-4D4A-8485-67E5756BDABE}"/>
                </c:ext>
              </c:extLst>
            </c:dLbl>
            <c:numFmt formatCode="#,##0;[Red]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'[1]LIM-VAR'!$B$5:$B$6</c:f>
              <c:strCache>
                <c:ptCount val="2"/>
                <c:pt idx="0">
                  <c:v>Invierno</c:v>
                </c:pt>
                <c:pt idx="1">
                  <c:v>Verano</c:v>
                </c:pt>
              </c:strCache>
            </c:strRef>
          </c:cat>
          <c:val>
            <c:numRef>
              <c:f>'LIM-VAR'!$C$7:$C$8</c:f>
              <c:numCache>
                <c:formatCode>#,##0</c:formatCode>
                <c:ptCount val="2"/>
                <c:pt idx="0">
                  <c:v>18636.919999999998</c:v>
                </c:pt>
                <c:pt idx="1">
                  <c:v>11461.26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'LIM-VAR'!$D$7:$D$8</c15:f>
                <c15:dlblRangeCache>
                  <c:ptCount val="2"/>
                  <c:pt idx="0">
                    <c:v>61,9%</c:v>
                  </c:pt>
                  <c:pt idx="1">
                    <c:v>38,0%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411-4628-BDC8-31393A6C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0926608"/>
        <c:axId val="970913552"/>
      </c:barChart>
      <c:catAx>
        <c:axId val="97092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13552"/>
        <c:crosses val="autoZero"/>
        <c:auto val="1"/>
        <c:lblAlgn val="ctr"/>
        <c:lblOffset val="100"/>
        <c:noMultiLvlLbl val="0"/>
      </c:catAx>
      <c:valAx>
        <c:axId val="970913552"/>
        <c:scaling>
          <c:orientation val="minMax"/>
          <c:max val="19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092660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9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9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3.xml"/><Relationship Id="rId3" Type="http://schemas.openxmlformats.org/officeDocument/2006/relationships/chart" Target="../charts/chart78.xml"/><Relationship Id="rId7" Type="http://schemas.openxmlformats.org/officeDocument/2006/relationships/chart" Target="../charts/chart82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6" Type="http://schemas.openxmlformats.org/officeDocument/2006/relationships/chart" Target="../charts/chart81.xml"/><Relationship Id="rId5" Type="http://schemas.openxmlformats.org/officeDocument/2006/relationships/chart" Target="../charts/chart80.xml"/><Relationship Id="rId4" Type="http://schemas.openxmlformats.org/officeDocument/2006/relationships/chart" Target="../charts/chart79.xml"/><Relationship Id="rId9" Type="http://schemas.openxmlformats.org/officeDocument/2006/relationships/chart" Target="../charts/chart8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4.xml"/><Relationship Id="rId1" Type="http://schemas.openxmlformats.org/officeDocument/2006/relationships/chart" Target="../charts/chart9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7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5" Type="http://schemas.openxmlformats.org/officeDocument/2006/relationships/chart" Target="../charts/chart39.xml"/><Relationship Id="rId10" Type="http://schemas.openxmlformats.org/officeDocument/2006/relationships/chart" Target="../charts/chart44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48683</xdr:colOff>
      <xdr:row>23</xdr:row>
      <xdr:rowOff>82021</xdr:rowOff>
    </xdr:from>
    <xdr:to>
      <xdr:col>17</xdr:col>
      <xdr:colOff>601133</xdr:colOff>
      <xdr:row>37</xdr:row>
      <xdr:rowOff>158221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48683</xdr:colOff>
      <xdr:row>4</xdr:row>
      <xdr:rowOff>169333</xdr:rowOff>
    </xdr:from>
    <xdr:to>
      <xdr:col>18</xdr:col>
      <xdr:colOff>210608</xdr:colOff>
      <xdr:row>20</xdr:row>
      <xdr:rowOff>35455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384969</xdr:colOff>
      <xdr:row>52</xdr:row>
      <xdr:rowOff>156633</xdr:rowOff>
    </xdr:from>
    <xdr:to>
      <xdr:col>8</xdr:col>
      <xdr:colOff>382587</xdr:colOff>
      <xdr:row>69</xdr:row>
      <xdr:rowOff>180446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666749</xdr:colOff>
      <xdr:row>4</xdr:row>
      <xdr:rowOff>216958</xdr:rowOff>
    </xdr:from>
    <xdr:to>
      <xdr:col>26</xdr:col>
      <xdr:colOff>66674</xdr:colOff>
      <xdr:row>20</xdr:row>
      <xdr:rowOff>83080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13</xdr:col>
      <xdr:colOff>735806</xdr:colOff>
      <xdr:row>70</xdr:row>
      <xdr:rowOff>23813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344713</xdr:colOff>
      <xdr:row>3</xdr:row>
      <xdr:rowOff>18143</xdr:rowOff>
    </xdr:from>
    <xdr:to>
      <xdr:col>34</xdr:col>
      <xdr:colOff>81642</xdr:colOff>
      <xdr:row>17</xdr:row>
      <xdr:rowOff>90714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317500</xdr:colOff>
      <xdr:row>33</xdr:row>
      <xdr:rowOff>46028</xdr:rowOff>
    </xdr:from>
    <xdr:to>
      <xdr:col>34</xdr:col>
      <xdr:colOff>57565</xdr:colOff>
      <xdr:row>47</xdr:row>
      <xdr:rowOff>64249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669433</xdr:colOff>
      <xdr:row>18</xdr:row>
      <xdr:rowOff>72926</xdr:rowOff>
    </xdr:from>
    <xdr:to>
      <xdr:col>41</xdr:col>
      <xdr:colOff>390071</xdr:colOff>
      <xdr:row>32</xdr:row>
      <xdr:rowOff>88722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308428</xdr:colOff>
      <xdr:row>18</xdr:row>
      <xdr:rowOff>67031</xdr:rowOff>
    </xdr:from>
    <xdr:to>
      <xdr:col>34</xdr:col>
      <xdr:colOff>36285</xdr:colOff>
      <xdr:row>32</xdr:row>
      <xdr:rowOff>78686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3</xdr:row>
      <xdr:rowOff>0</xdr:rowOff>
    </xdr:from>
    <xdr:to>
      <xdr:col>41</xdr:col>
      <xdr:colOff>498929</xdr:colOff>
      <xdr:row>17</xdr:row>
      <xdr:rowOff>72571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988EAF-131E-4EA8-AAD3-EC76B6075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746124</xdr:colOff>
      <xdr:row>32</xdr:row>
      <xdr:rowOff>150812</xdr:rowOff>
    </xdr:from>
    <xdr:to>
      <xdr:col>34</xdr:col>
      <xdr:colOff>317499</xdr:colOff>
      <xdr:row>47</xdr:row>
      <xdr:rowOff>36513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627063</xdr:colOff>
      <xdr:row>2</xdr:row>
      <xdr:rowOff>230187</xdr:rowOff>
    </xdr:from>
    <xdr:to>
      <xdr:col>34</xdr:col>
      <xdr:colOff>301625</xdr:colOff>
      <xdr:row>16</xdr:row>
      <xdr:rowOff>150812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617537</xdr:colOff>
      <xdr:row>17</xdr:row>
      <xdr:rowOff>129268</xdr:rowOff>
    </xdr:from>
    <xdr:to>
      <xdr:col>41</xdr:col>
      <xdr:colOff>206374</xdr:colOff>
      <xdr:row>32</xdr:row>
      <xdr:rowOff>3175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627063</xdr:colOff>
      <xdr:row>17</xdr:row>
      <xdr:rowOff>154668</xdr:rowOff>
    </xdr:from>
    <xdr:to>
      <xdr:col>34</xdr:col>
      <xdr:colOff>301624</xdr:colOff>
      <xdr:row>32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627063</xdr:colOff>
      <xdr:row>2</xdr:row>
      <xdr:rowOff>222250</xdr:rowOff>
    </xdr:from>
    <xdr:to>
      <xdr:col>41</xdr:col>
      <xdr:colOff>301625</xdr:colOff>
      <xdr:row>16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60F95CE-BE3F-40AB-BAA7-8B8C9C75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390070</xdr:colOff>
      <xdr:row>36</xdr:row>
      <xdr:rowOff>177223</xdr:rowOff>
    </xdr:from>
    <xdr:to>
      <xdr:col>34</xdr:col>
      <xdr:colOff>698499</xdr:colOff>
      <xdr:row>51</xdr:row>
      <xdr:rowOff>172357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281668</xdr:colOff>
      <xdr:row>3</xdr:row>
      <xdr:rowOff>110671</xdr:rowOff>
    </xdr:from>
    <xdr:to>
      <xdr:col>34</xdr:col>
      <xdr:colOff>662214</xdr:colOff>
      <xdr:row>18</xdr:row>
      <xdr:rowOff>127000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318405</xdr:colOff>
      <xdr:row>20</xdr:row>
      <xdr:rowOff>90053</xdr:rowOff>
    </xdr:from>
    <xdr:to>
      <xdr:col>34</xdr:col>
      <xdr:colOff>644070</xdr:colOff>
      <xdr:row>35</xdr:row>
      <xdr:rowOff>54429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160564</xdr:colOff>
      <xdr:row>37</xdr:row>
      <xdr:rowOff>51582</xdr:rowOff>
    </xdr:from>
    <xdr:to>
      <xdr:col>41</xdr:col>
      <xdr:colOff>498928</xdr:colOff>
      <xdr:row>51</xdr:row>
      <xdr:rowOff>145143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725714</xdr:colOff>
      <xdr:row>37</xdr:row>
      <xdr:rowOff>44325</xdr:rowOff>
    </xdr:from>
    <xdr:to>
      <xdr:col>48</xdr:col>
      <xdr:colOff>244927</xdr:colOff>
      <xdr:row>51</xdr:row>
      <xdr:rowOff>163286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136071</xdr:colOff>
      <xdr:row>3</xdr:row>
      <xdr:rowOff>125351</xdr:rowOff>
    </xdr:from>
    <xdr:to>
      <xdr:col>41</xdr:col>
      <xdr:colOff>616857</xdr:colOff>
      <xdr:row>18</xdr:row>
      <xdr:rowOff>81642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191406</xdr:colOff>
      <xdr:row>20</xdr:row>
      <xdr:rowOff>26553</xdr:rowOff>
    </xdr:from>
    <xdr:to>
      <xdr:col>41</xdr:col>
      <xdr:colOff>571499</xdr:colOff>
      <xdr:row>35</xdr:row>
      <xdr:rowOff>117928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136072</xdr:colOff>
      <xdr:row>3</xdr:row>
      <xdr:rowOff>108857</xdr:rowOff>
    </xdr:from>
    <xdr:to>
      <xdr:col>48</xdr:col>
      <xdr:colOff>725714</xdr:colOff>
      <xdr:row>18</xdr:row>
      <xdr:rowOff>72571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607786</xdr:colOff>
      <xdr:row>37</xdr:row>
      <xdr:rowOff>36286</xdr:rowOff>
    </xdr:from>
    <xdr:to>
      <xdr:col>54</xdr:col>
      <xdr:colOff>607786</xdr:colOff>
      <xdr:row>52</xdr:row>
      <xdr:rowOff>9071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</xdr:colOff>
      <xdr:row>31</xdr:row>
      <xdr:rowOff>130381</xdr:rowOff>
    </xdr:from>
    <xdr:to>
      <xdr:col>34</xdr:col>
      <xdr:colOff>4762</xdr:colOff>
      <xdr:row>46</xdr:row>
      <xdr:rowOff>16081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696912</xdr:colOff>
      <xdr:row>3</xdr:row>
      <xdr:rowOff>14288</xdr:rowOff>
    </xdr:from>
    <xdr:to>
      <xdr:col>33</xdr:col>
      <xdr:colOff>696912</xdr:colOff>
      <xdr:row>16</xdr:row>
      <xdr:rowOff>74283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157162</xdr:colOff>
      <xdr:row>3</xdr:row>
      <xdr:rowOff>14288</xdr:rowOff>
    </xdr:from>
    <xdr:to>
      <xdr:col>40</xdr:col>
      <xdr:colOff>157162</xdr:colOff>
      <xdr:row>16</xdr:row>
      <xdr:rowOff>74283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309562</xdr:colOff>
      <xdr:row>3</xdr:row>
      <xdr:rowOff>14288</xdr:rowOff>
    </xdr:from>
    <xdr:to>
      <xdr:col>46</xdr:col>
      <xdr:colOff>309562</xdr:colOff>
      <xdr:row>16</xdr:row>
      <xdr:rowOff>74283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148034</xdr:colOff>
      <xdr:row>18</xdr:row>
      <xdr:rowOff>153658</xdr:rowOff>
    </xdr:from>
    <xdr:to>
      <xdr:col>40</xdr:col>
      <xdr:colOff>148034</xdr:colOff>
      <xdr:row>33</xdr:row>
      <xdr:rowOff>25751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277812</xdr:colOff>
      <xdr:row>18</xdr:row>
      <xdr:rowOff>177800</xdr:rowOff>
    </xdr:from>
    <xdr:to>
      <xdr:col>46</xdr:col>
      <xdr:colOff>277812</xdr:colOff>
      <xdr:row>33</xdr:row>
      <xdr:rowOff>108301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0</xdr:colOff>
      <xdr:row>19</xdr:row>
      <xdr:rowOff>0</xdr:rowOff>
    </xdr:from>
    <xdr:to>
      <xdr:col>34</xdr:col>
      <xdr:colOff>0</xdr:colOff>
      <xdr:row>33</xdr:row>
      <xdr:rowOff>59995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12</xdr:col>
      <xdr:colOff>352425</xdr:colOff>
      <xdr:row>18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11</xdr:row>
      <xdr:rowOff>133350</xdr:rowOff>
    </xdr:from>
    <xdr:to>
      <xdr:col>13</xdr:col>
      <xdr:colOff>257175</xdr:colOff>
      <xdr:row>16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8896350" y="2305050"/>
          <a:ext cx="2228850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• SUPERFICIE</a:t>
          </a:r>
          <a:r>
            <a:rPr lang="es-ES" sz="1100" baseline="0"/>
            <a:t> TOTAL: 108.085 ha.</a:t>
          </a:r>
        </a:p>
        <a:p>
          <a:pPr algn="l"/>
          <a:r>
            <a:rPr lang="es-ES" sz="1100" baseline="0"/>
            <a:t>• SUPERFICIE SIN INFO VARIEDAD + SUPERFICIE INFO DE VARIEDAD SIN CLASIFICAR: 21 ha (0,02%).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104775</xdr:rowOff>
    </xdr:from>
    <xdr:to>
      <xdr:col>14</xdr:col>
      <xdr:colOff>657226</xdr:colOff>
      <xdr:row>27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638175</xdr:colOff>
      <xdr:row>5</xdr:row>
      <xdr:rowOff>47625</xdr:rowOff>
    </xdr:from>
    <xdr:to>
      <xdr:col>14</xdr:col>
      <xdr:colOff>561975</xdr:colOff>
      <xdr:row>8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0267950" y="1076325"/>
          <a:ext cx="22098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• SUPERFICIE</a:t>
          </a:r>
          <a:r>
            <a:rPr lang="es-ES" sz="1100" baseline="0"/>
            <a:t> TOTAL: 78.551 ha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aseline="0"/>
            <a:t>SUPERFICIE SIN CLASIFICAR + SIN INFO VARIEDAD: 517 ha (1%). </a:t>
          </a:r>
        </a:p>
      </xdr:txBody>
    </xdr:sp>
    <xdr:clientData/>
  </xdr:twoCellAnchor>
  <xdr:twoCellAnchor>
    <xdr:from>
      <xdr:col>5</xdr:col>
      <xdr:colOff>752475</xdr:colOff>
      <xdr:row>28</xdr:row>
      <xdr:rowOff>9525</xdr:rowOff>
    </xdr:from>
    <xdr:to>
      <xdr:col>12</xdr:col>
      <xdr:colOff>47625</xdr:colOff>
      <xdr:row>43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180975</xdr:rowOff>
    </xdr:from>
    <xdr:to>
      <xdr:col>11</xdr:col>
      <xdr:colOff>0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752475</xdr:colOff>
      <xdr:row>7</xdr:row>
      <xdr:rowOff>47625</xdr:rowOff>
    </xdr:from>
    <xdr:to>
      <xdr:col>11</xdr:col>
      <xdr:colOff>514350</xdr:colOff>
      <xdr:row>11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7581900" y="1457325"/>
          <a:ext cx="204787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• SUPERFICIE</a:t>
          </a:r>
          <a:r>
            <a:rPr lang="es-ES" sz="1100" baseline="0"/>
            <a:t> TOTAL: 30.125 ha.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es-ES" sz="1100" baseline="0"/>
            <a:t>SUPERFICIE SIN INFO VARIEDAD + SUPERFICIE SIN CLASIFICAR: 27 ha (0,1%)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50</xdr:row>
      <xdr:rowOff>0</xdr:rowOff>
    </xdr:from>
    <xdr:to>
      <xdr:col>11</xdr:col>
      <xdr:colOff>410936</xdr:colOff>
      <xdr:row>63</xdr:row>
      <xdr:rowOff>144236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319768</xdr:colOff>
      <xdr:row>15</xdr:row>
      <xdr:rowOff>30617</xdr:rowOff>
    </xdr:from>
    <xdr:to>
      <xdr:col>33</xdr:col>
      <xdr:colOff>319768</xdr:colOff>
      <xdr:row>29</xdr:row>
      <xdr:rowOff>113620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421254</xdr:colOff>
      <xdr:row>32</xdr:row>
      <xdr:rowOff>162112</xdr:rowOff>
    </xdr:from>
    <xdr:to>
      <xdr:col>32</xdr:col>
      <xdr:colOff>421254</xdr:colOff>
      <xdr:row>49</xdr:row>
      <xdr:rowOff>71436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722878</xdr:colOff>
      <xdr:row>32</xdr:row>
      <xdr:rowOff>134938</xdr:rowOff>
    </xdr:from>
    <xdr:to>
      <xdr:col>18</xdr:col>
      <xdr:colOff>556191</xdr:colOff>
      <xdr:row>50</xdr:row>
      <xdr:rowOff>10206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283482</xdr:colOff>
      <xdr:row>32</xdr:row>
      <xdr:rowOff>150812</xdr:rowOff>
    </xdr:from>
    <xdr:to>
      <xdr:col>25</xdr:col>
      <xdr:colOff>712107</xdr:colOff>
      <xdr:row>49</xdr:row>
      <xdr:rowOff>174398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19277</xdr:colOff>
      <xdr:row>57</xdr:row>
      <xdr:rowOff>124732</xdr:rowOff>
    </xdr:from>
    <xdr:to>
      <xdr:col>6</xdr:col>
      <xdr:colOff>170316</xdr:colOff>
      <xdr:row>74</xdr:row>
      <xdr:rowOff>4082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689634</xdr:colOff>
      <xdr:row>14</xdr:row>
      <xdr:rowOff>127505</xdr:rowOff>
    </xdr:from>
    <xdr:to>
      <xdr:col>19</xdr:col>
      <xdr:colOff>349455</xdr:colOff>
      <xdr:row>30</xdr:row>
      <xdr:rowOff>186016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559593</xdr:colOff>
      <xdr:row>14</xdr:row>
      <xdr:rowOff>35718</xdr:rowOff>
    </xdr:from>
    <xdr:to>
      <xdr:col>26</xdr:col>
      <xdr:colOff>386101</xdr:colOff>
      <xdr:row>30</xdr:row>
      <xdr:rowOff>94229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742949</xdr:colOff>
      <xdr:row>6</xdr:row>
      <xdr:rowOff>330654</xdr:rowOff>
    </xdr:from>
    <xdr:to>
      <xdr:col>18</xdr:col>
      <xdr:colOff>742949</xdr:colOff>
      <xdr:row>21</xdr:row>
      <xdr:rowOff>69397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258536</xdr:colOff>
      <xdr:row>24</xdr:row>
      <xdr:rowOff>0</xdr:rowOff>
    </xdr:from>
    <xdr:to>
      <xdr:col>25</xdr:col>
      <xdr:colOff>258536</xdr:colOff>
      <xdr:row>38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272143</xdr:colOff>
      <xdr:row>6</xdr:row>
      <xdr:rowOff>301739</xdr:rowOff>
    </xdr:from>
    <xdr:to>
      <xdr:col>25</xdr:col>
      <xdr:colOff>272143</xdr:colOff>
      <xdr:row>21</xdr:row>
      <xdr:rowOff>69397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742949</xdr:colOff>
      <xdr:row>24</xdr:row>
      <xdr:rowOff>0</xdr:rowOff>
    </xdr:from>
    <xdr:to>
      <xdr:col>18</xdr:col>
      <xdr:colOff>742949</xdr:colOff>
      <xdr:row>38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742949</xdr:colOff>
      <xdr:row>40</xdr:row>
      <xdr:rowOff>5443</xdr:rowOff>
    </xdr:from>
    <xdr:to>
      <xdr:col>18</xdr:col>
      <xdr:colOff>742949</xdr:colOff>
      <xdr:row>54</xdr:row>
      <xdr:rowOff>81643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340431</xdr:colOff>
      <xdr:row>34</xdr:row>
      <xdr:rowOff>144134</xdr:rowOff>
    </xdr:from>
    <xdr:to>
      <xdr:col>32</xdr:col>
      <xdr:colOff>340431</xdr:colOff>
      <xdr:row>48</xdr:row>
      <xdr:rowOff>162278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51</xdr:row>
      <xdr:rowOff>100054</xdr:rowOff>
    </xdr:from>
    <xdr:to>
      <xdr:col>19</xdr:col>
      <xdr:colOff>0</xdr:colOff>
      <xdr:row>65</xdr:row>
      <xdr:rowOff>179615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82</xdr:row>
      <xdr:rowOff>179295</xdr:rowOff>
    </xdr:from>
    <xdr:to>
      <xdr:col>19</xdr:col>
      <xdr:colOff>0</xdr:colOff>
      <xdr:row>97</xdr:row>
      <xdr:rowOff>68356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19</xdr:col>
      <xdr:colOff>0</xdr:colOff>
      <xdr:row>129</xdr:row>
      <xdr:rowOff>79561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145</xdr:row>
      <xdr:rowOff>0</xdr:rowOff>
    </xdr:from>
    <xdr:to>
      <xdr:col>19</xdr:col>
      <xdr:colOff>0</xdr:colOff>
      <xdr:row>159</xdr:row>
      <xdr:rowOff>79561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264583</xdr:colOff>
      <xdr:row>18</xdr:row>
      <xdr:rowOff>166310</xdr:rowOff>
    </xdr:from>
    <xdr:to>
      <xdr:col>32</xdr:col>
      <xdr:colOff>74084</xdr:colOff>
      <xdr:row>33</xdr:row>
      <xdr:rowOff>78356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2722</xdr:colOff>
      <xdr:row>18</xdr:row>
      <xdr:rowOff>149678</xdr:rowOff>
    </xdr:from>
    <xdr:to>
      <xdr:col>19</xdr:col>
      <xdr:colOff>2722</xdr:colOff>
      <xdr:row>33</xdr:row>
      <xdr:rowOff>35378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658889</xdr:colOff>
      <xdr:row>34</xdr:row>
      <xdr:rowOff>106337</xdr:rowOff>
    </xdr:from>
    <xdr:to>
      <xdr:col>19</xdr:col>
      <xdr:colOff>163589</xdr:colOff>
      <xdr:row>49</xdr:row>
      <xdr:rowOff>51829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474235</xdr:colOff>
      <xdr:row>34</xdr:row>
      <xdr:rowOff>147663</xdr:rowOff>
    </xdr:from>
    <xdr:to>
      <xdr:col>25</xdr:col>
      <xdr:colOff>740935</xdr:colOff>
      <xdr:row>49</xdr:row>
      <xdr:rowOff>28224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465667</xdr:colOff>
      <xdr:row>18</xdr:row>
      <xdr:rowOff>178857</xdr:rowOff>
    </xdr:from>
    <xdr:to>
      <xdr:col>25</xdr:col>
      <xdr:colOff>465667</xdr:colOff>
      <xdr:row>33</xdr:row>
      <xdr:rowOff>77611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412750</xdr:colOff>
      <xdr:row>5</xdr:row>
      <xdr:rowOff>28222</xdr:rowOff>
    </xdr:from>
    <xdr:to>
      <xdr:col>25</xdr:col>
      <xdr:colOff>508000</xdr:colOff>
      <xdr:row>17</xdr:row>
      <xdr:rowOff>179917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690562</xdr:colOff>
      <xdr:row>4</xdr:row>
      <xdr:rowOff>105655</xdr:rowOff>
    </xdr:from>
    <xdr:to>
      <xdr:col>18</xdr:col>
      <xdr:colOff>690562</xdr:colOff>
      <xdr:row>17</xdr:row>
      <xdr:rowOff>180574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154081</xdr:colOff>
      <xdr:row>4</xdr:row>
      <xdr:rowOff>130177</xdr:rowOff>
    </xdr:from>
    <xdr:to>
      <xdr:col>25</xdr:col>
      <xdr:colOff>154081</xdr:colOff>
      <xdr:row>17</xdr:row>
      <xdr:rowOff>115454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358631</xdr:colOff>
      <xdr:row>19</xdr:row>
      <xdr:rowOff>108238</xdr:rowOff>
    </xdr:from>
    <xdr:to>
      <xdr:col>31</xdr:col>
      <xdr:colOff>358630</xdr:colOff>
      <xdr:row>33</xdr:row>
      <xdr:rowOff>184438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177354</xdr:colOff>
      <xdr:row>19</xdr:row>
      <xdr:rowOff>66472</xdr:rowOff>
    </xdr:from>
    <xdr:to>
      <xdr:col>25</xdr:col>
      <xdr:colOff>202968</xdr:colOff>
      <xdr:row>33</xdr:row>
      <xdr:rowOff>158751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704994</xdr:colOff>
      <xdr:row>19</xdr:row>
      <xdr:rowOff>67192</xdr:rowOff>
    </xdr:from>
    <xdr:to>
      <xdr:col>18</xdr:col>
      <xdr:colOff>704994</xdr:colOff>
      <xdr:row>33</xdr:row>
      <xdr:rowOff>143392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254949</xdr:colOff>
      <xdr:row>3</xdr:row>
      <xdr:rowOff>5819</xdr:rowOff>
    </xdr:from>
    <xdr:to>
      <xdr:col>33</xdr:col>
      <xdr:colOff>463176</xdr:colOff>
      <xdr:row>17</xdr:row>
      <xdr:rowOff>89648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652929</xdr:colOff>
      <xdr:row>2</xdr:row>
      <xdr:rowOff>222465</xdr:rowOff>
    </xdr:from>
    <xdr:to>
      <xdr:col>39</xdr:col>
      <xdr:colOff>672353</xdr:colOff>
      <xdr:row>17</xdr:row>
      <xdr:rowOff>59765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215220</xdr:colOff>
      <xdr:row>18</xdr:row>
      <xdr:rowOff>20444</xdr:rowOff>
    </xdr:from>
    <xdr:to>
      <xdr:col>33</xdr:col>
      <xdr:colOff>455706</xdr:colOff>
      <xdr:row>32</xdr:row>
      <xdr:rowOff>171824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680796</xdr:colOff>
      <xdr:row>18</xdr:row>
      <xdr:rowOff>12974</xdr:rowOff>
    </xdr:from>
    <xdr:to>
      <xdr:col>39</xdr:col>
      <xdr:colOff>694765</xdr:colOff>
      <xdr:row>32</xdr:row>
      <xdr:rowOff>156882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148031</xdr:colOff>
      <xdr:row>18</xdr:row>
      <xdr:rowOff>12974</xdr:rowOff>
    </xdr:from>
    <xdr:to>
      <xdr:col>46</xdr:col>
      <xdr:colOff>179295</xdr:colOff>
      <xdr:row>32</xdr:row>
      <xdr:rowOff>67235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284980</xdr:colOff>
      <xdr:row>18</xdr:row>
      <xdr:rowOff>80209</xdr:rowOff>
    </xdr:from>
    <xdr:to>
      <xdr:col>52</xdr:col>
      <xdr:colOff>373530</xdr:colOff>
      <xdr:row>33</xdr:row>
      <xdr:rowOff>59765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745115</xdr:colOff>
      <xdr:row>40</xdr:row>
      <xdr:rowOff>53928</xdr:rowOff>
    </xdr:from>
    <xdr:to>
      <xdr:col>31</xdr:col>
      <xdr:colOff>277524</xdr:colOff>
      <xdr:row>54</xdr:row>
      <xdr:rowOff>120603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760981</xdr:colOff>
      <xdr:row>54</xdr:row>
      <xdr:rowOff>189142</xdr:rowOff>
    </xdr:from>
    <xdr:to>
      <xdr:col>31</xdr:col>
      <xdr:colOff>287804</xdr:colOff>
      <xdr:row>69</xdr:row>
      <xdr:rowOff>71430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443237</xdr:colOff>
      <xdr:row>40</xdr:row>
      <xdr:rowOff>65274</xdr:rowOff>
    </xdr:from>
    <xdr:to>
      <xdr:col>37</xdr:col>
      <xdr:colOff>443237</xdr:colOff>
      <xdr:row>54</xdr:row>
      <xdr:rowOff>139138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523446</xdr:colOff>
      <xdr:row>40</xdr:row>
      <xdr:rowOff>113692</xdr:rowOff>
    </xdr:from>
    <xdr:to>
      <xdr:col>43</xdr:col>
      <xdr:colOff>523446</xdr:colOff>
      <xdr:row>54</xdr:row>
      <xdr:rowOff>180368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44</xdr:col>
      <xdr:colOff>43080</xdr:colOff>
      <xdr:row>40</xdr:row>
      <xdr:rowOff>67013</xdr:rowOff>
    </xdr:from>
    <xdr:to>
      <xdr:col>50</xdr:col>
      <xdr:colOff>43080</xdr:colOff>
      <xdr:row>54</xdr:row>
      <xdr:rowOff>137400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50</xdr:col>
      <xdr:colOff>377290</xdr:colOff>
      <xdr:row>40</xdr:row>
      <xdr:rowOff>52072</xdr:rowOff>
    </xdr:from>
    <xdr:to>
      <xdr:col>56</xdr:col>
      <xdr:colOff>377290</xdr:colOff>
      <xdr:row>54</xdr:row>
      <xdr:rowOff>122459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451970</xdr:colOff>
      <xdr:row>55</xdr:row>
      <xdr:rowOff>17318</xdr:rowOff>
    </xdr:from>
    <xdr:to>
      <xdr:col>37</xdr:col>
      <xdr:colOff>451970</xdr:colOff>
      <xdr:row>69</xdr:row>
      <xdr:rowOff>89647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3</xdr:row>
      <xdr:rowOff>0</xdr:rowOff>
    </xdr:from>
    <xdr:to>
      <xdr:col>34</xdr:col>
      <xdr:colOff>526142</xdr:colOff>
      <xdr:row>18</xdr:row>
      <xdr:rowOff>54428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121690</xdr:colOff>
      <xdr:row>3</xdr:row>
      <xdr:rowOff>0</xdr:rowOff>
    </xdr:from>
    <xdr:to>
      <xdr:col>41</xdr:col>
      <xdr:colOff>190500</xdr:colOff>
      <xdr:row>17</xdr:row>
      <xdr:rowOff>172357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190499</xdr:colOff>
      <xdr:row>19</xdr:row>
      <xdr:rowOff>105842</xdr:rowOff>
    </xdr:from>
    <xdr:to>
      <xdr:col>34</xdr:col>
      <xdr:colOff>580570</xdr:colOff>
      <xdr:row>34</xdr:row>
      <xdr:rowOff>90714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30975</xdr:colOff>
      <xdr:row>19</xdr:row>
      <xdr:rowOff>103986</xdr:rowOff>
    </xdr:from>
    <xdr:to>
      <xdr:col>41</xdr:col>
      <xdr:colOff>272142</xdr:colOff>
      <xdr:row>34</xdr:row>
      <xdr:rowOff>117927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525317</xdr:colOff>
      <xdr:row>19</xdr:row>
      <xdr:rowOff>72572</xdr:rowOff>
    </xdr:from>
    <xdr:to>
      <xdr:col>47</xdr:col>
      <xdr:colOff>607784</xdr:colOff>
      <xdr:row>34</xdr:row>
      <xdr:rowOff>72571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311728</xdr:colOff>
      <xdr:row>19</xdr:row>
      <xdr:rowOff>69272</xdr:rowOff>
    </xdr:from>
    <xdr:to>
      <xdr:col>54</xdr:col>
      <xdr:colOff>471714</xdr:colOff>
      <xdr:row>34</xdr:row>
      <xdr:rowOff>154214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54</xdr:col>
      <xdr:colOff>727362</xdr:colOff>
      <xdr:row>19</xdr:row>
      <xdr:rowOff>69272</xdr:rowOff>
    </xdr:from>
    <xdr:to>
      <xdr:col>61</xdr:col>
      <xdr:colOff>181427</xdr:colOff>
      <xdr:row>34</xdr:row>
      <xdr:rowOff>172357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-1</xdr:colOff>
      <xdr:row>36</xdr:row>
      <xdr:rowOff>63499</xdr:rowOff>
    </xdr:from>
    <xdr:to>
      <xdr:col>34</xdr:col>
      <xdr:colOff>616857</xdr:colOff>
      <xdr:row>52</xdr:row>
      <xdr:rowOff>63500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474436</xdr:colOff>
      <xdr:row>37</xdr:row>
      <xdr:rowOff>178377</xdr:rowOff>
    </xdr:from>
    <xdr:to>
      <xdr:col>33</xdr:col>
      <xdr:colOff>644072</xdr:colOff>
      <xdr:row>52</xdr:row>
      <xdr:rowOff>73148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405946</xdr:colOff>
      <xdr:row>20</xdr:row>
      <xdr:rowOff>117928</xdr:rowOff>
    </xdr:from>
    <xdr:to>
      <xdr:col>40</xdr:col>
      <xdr:colOff>743857</xdr:colOff>
      <xdr:row>35</xdr:row>
      <xdr:rowOff>163286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347434</xdr:colOff>
      <xdr:row>3</xdr:row>
      <xdr:rowOff>154214</xdr:rowOff>
    </xdr:from>
    <xdr:to>
      <xdr:col>41</xdr:col>
      <xdr:colOff>99786</xdr:colOff>
      <xdr:row>20</xdr:row>
      <xdr:rowOff>18142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447221</xdr:colOff>
      <xdr:row>20</xdr:row>
      <xdr:rowOff>131804</xdr:rowOff>
    </xdr:from>
    <xdr:to>
      <xdr:col>33</xdr:col>
      <xdr:colOff>716643</xdr:colOff>
      <xdr:row>35</xdr:row>
      <xdr:rowOff>163286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471714</xdr:colOff>
      <xdr:row>3</xdr:row>
      <xdr:rowOff>117928</xdr:rowOff>
    </xdr:from>
    <xdr:to>
      <xdr:col>34</xdr:col>
      <xdr:colOff>224066</xdr:colOff>
      <xdr:row>19</xdr:row>
      <xdr:rowOff>163285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A1E5B5-53D0-4FAF-8393-ED177D028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126999</xdr:colOff>
      <xdr:row>3</xdr:row>
      <xdr:rowOff>32988</xdr:rowOff>
    </xdr:from>
    <xdr:to>
      <xdr:col>34</xdr:col>
      <xdr:colOff>517070</xdr:colOff>
      <xdr:row>18</xdr:row>
      <xdr:rowOff>18142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47624</xdr:colOff>
      <xdr:row>35</xdr:row>
      <xdr:rowOff>47625</xdr:rowOff>
    </xdr:from>
    <xdr:to>
      <xdr:col>35</xdr:col>
      <xdr:colOff>290285</xdr:colOff>
      <xdr:row>50</xdr:row>
      <xdr:rowOff>36285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20</xdr:row>
      <xdr:rowOff>9525</xdr:rowOff>
    </xdr:from>
    <xdr:to>
      <xdr:col>35</xdr:col>
      <xdr:colOff>0</xdr:colOff>
      <xdr:row>34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190500</xdr:colOff>
      <xdr:row>20</xdr:row>
      <xdr:rowOff>-1</xdr:rowOff>
    </xdr:from>
    <xdr:to>
      <xdr:col>41</xdr:col>
      <xdr:colOff>190500</xdr:colOff>
      <xdr:row>34</xdr:row>
      <xdr:rowOff>99784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335643</xdr:colOff>
      <xdr:row>3</xdr:row>
      <xdr:rowOff>45357</xdr:rowOff>
    </xdr:from>
    <xdr:to>
      <xdr:col>41</xdr:col>
      <xdr:colOff>725714</xdr:colOff>
      <xdr:row>18</xdr:row>
      <xdr:rowOff>30511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468821-AC1E-4FB6-BC36-9E31EF8DA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0%20REALIDAD%20PRODUCTIVA%20-%20RESULTADOS%20FINALES%20(PR&#193;CTICAS%20IRENE)\C&#205;TRICOS\EXCEL%20An&#225;lisis%20de%20la%20Realidad%20productiva%202020_C&#237;tr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ítricos"/>
      <sheetName val="NAR-REPR"/>
      <sheetName val="PC-REPR"/>
      <sheetName val="LIM-REPR"/>
      <sheetName val="POM-REPR"/>
      <sheetName val="NAR-EDAD"/>
      <sheetName val="PC-EDAD"/>
      <sheetName val="CLE-EDAD"/>
      <sheetName val="MAN-EDAD"/>
      <sheetName val="MH-EDAD"/>
      <sheetName val="SAT-EDAD"/>
      <sheetName val="LIM-EDAD"/>
      <sheetName val="POM-EDAD"/>
      <sheetName val="NAR-PEND"/>
      <sheetName val="PC-PEND"/>
      <sheetName val="CLE-PEND"/>
      <sheetName val="MAN-PEND"/>
      <sheetName val="MH-PEND"/>
      <sheetName val="SAT-PEND"/>
      <sheetName val="LIM-PEND"/>
      <sheetName val="POM-PEND"/>
      <sheetName val="NAR-EXPL"/>
      <sheetName val="PC-EXPL"/>
      <sheetName val="CLE-EXPL"/>
      <sheetName val="MAN-EXPL"/>
      <sheetName val="MH-EXPL"/>
      <sheetName val="SAT-EXPL"/>
      <sheetName val="LIM-EXPL"/>
      <sheetName val="POM-EXPL"/>
      <sheetName val="NAR-VAR"/>
      <sheetName val="PC-VAR"/>
      <sheetName val="LIM-VAR"/>
    </sheetNames>
    <sheetDataSet>
      <sheetData sheetId="0" refreshError="1"/>
      <sheetData sheetId="1">
        <row r="5">
          <cell r="B5" t="str">
            <v>ANDALUCÍA</v>
          </cell>
        </row>
        <row r="16">
          <cell r="B16" t="str">
            <v>C. VALENCIANA</v>
          </cell>
        </row>
        <row r="24">
          <cell r="B24" t="str">
            <v>CATALUÑA</v>
          </cell>
        </row>
        <row r="37">
          <cell r="B37" t="str">
            <v>I. BALEARES</v>
          </cell>
        </row>
        <row r="42">
          <cell r="B42" t="str">
            <v>MURCIA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4" t="str">
            <v>ANDALUCÍA</v>
          </cell>
          <cell r="B4">
            <v>1679.9999999999998</v>
          </cell>
          <cell r="C4">
            <v>241.84999999999997</v>
          </cell>
          <cell r="D4">
            <v>64.150000000000006</v>
          </cell>
          <cell r="E4">
            <v>88.210000000000008</v>
          </cell>
          <cell r="F4">
            <v>47.83</v>
          </cell>
          <cell r="G4">
            <v>50.39</v>
          </cell>
          <cell r="H4">
            <v>30.4</v>
          </cell>
          <cell r="I4">
            <v>7.5</v>
          </cell>
          <cell r="J4">
            <v>2.7300000000000004</v>
          </cell>
          <cell r="K4">
            <v>23.72</v>
          </cell>
          <cell r="L4">
            <v>21.35</v>
          </cell>
          <cell r="M4">
            <v>62.429999999999993</v>
          </cell>
          <cell r="N4">
            <v>14.66</v>
          </cell>
          <cell r="O4">
            <v>60.59</v>
          </cell>
          <cell r="P4">
            <v>62.839999999999989</v>
          </cell>
          <cell r="Q4">
            <v>147.6</v>
          </cell>
          <cell r="R4">
            <v>139.89000000000001</v>
          </cell>
          <cell r="S4">
            <v>88.81</v>
          </cell>
          <cell r="T4">
            <v>139.72</v>
          </cell>
          <cell r="U4">
            <v>111.3</v>
          </cell>
          <cell r="V4">
            <v>129.87</v>
          </cell>
          <cell r="W4">
            <v>65.760000000000005</v>
          </cell>
        </row>
        <row r="16">
          <cell r="A16" t="str">
            <v>C. VALENCIANA</v>
          </cell>
          <cell r="B16">
            <v>2948.8099999999995</v>
          </cell>
          <cell r="C16">
            <v>804.87999999999988</v>
          </cell>
          <cell r="D16">
            <v>82.160000000000011</v>
          </cell>
          <cell r="E16">
            <v>122.25</v>
          </cell>
          <cell r="F16">
            <v>74.759999999999991</v>
          </cell>
          <cell r="G16">
            <v>111.29999999999998</v>
          </cell>
          <cell r="H16">
            <v>439</v>
          </cell>
          <cell r="I16">
            <v>67.009999999999991</v>
          </cell>
          <cell r="J16">
            <v>170.04999999999998</v>
          </cell>
          <cell r="K16">
            <v>227.51000000000002</v>
          </cell>
          <cell r="L16">
            <v>89.3</v>
          </cell>
          <cell r="M16">
            <v>591.16</v>
          </cell>
          <cell r="N16">
            <v>158.01999999999998</v>
          </cell>
          <cell r="O16">
            <v>226.04999999999998</v>
          </cell>
          <cell r="P16">
            <v>317.58999999999997</v>
          </cell>
          <cell r="Q16">
            <v>375.18999999999994</v>
          </cell>
          <cell r="R16">
            <v>466.89000000000004</v>
          </cell>
          <cell r="S16">
            <v>391.31</v>
          </cell>
          <cell r="T16">
            <v>436.87</v>
          </cell>
          <cell r="U16">
            <v>604.07000000000005</v>
          </cell>
          <cell r="V16">
            <v>315.30999999999995</v>
          </cell>
          <cell r="W16">
            <v>103.06</v>
          </cell>
        </row>
        <row r="37">
          <cell r="A37" t="str">
            <v>MURCIA</v>
          </cell>
          <cell r="B37">
            <v>5108.78</v>
          </cell>
          <cell r="C37">
            <v>1335.46</v>
          </cell>
          <cell r="D37">
            <v>406.90000000000003</v>
          </cell>
          <cell r="E37">
            <v>228.71</v>
          </cell>
          <cell r="F37">
            <v>273.84000000000003</v>
          </cell>
          <cell r="G37">
            <v>261.94</v>
          </cell>
          <cell r="H37">
            <v>386.01</v>
          </cell>
          <cell r="I37">
            <v>124.32</v>
          </cell>
          <cell r="J37">
            <v>123.17999999999999</v>
          </cell>
          <cell r="K37">
            <v>57.16</v>
          </cell>
          <cell r="L37">
            <v>189.84</v>
          </cell>
          <cell r="M37">
            <v>387.58000000000004</v>
          </cell>
          <cell r="N37">
            <v>366.42</v>
          </cell>
          <cell r="O37">
            <v>281.23</v>
          </cell>
          <cell r="P37">
            <v>461.18999999999994</v>
          </cell>
          <cell r="Q37">
            <v>682.15000000000009</v>
          </cell>
          <cell r="R37">
            <v>867.4</v>
          </cell>
          <cell r="S37">
            <v>650.33000000000004</v>
          </cell>
          <cell r="T37">
            <v>675.44</v>
          </cell>
          <cell r="U37">
            <v>680.93</v>
          </cell>
          <cell r="V37">
            <v>581.5100000000001</v>
          </cell>
          <cell r="W37">
            <v>140.56</v>
          </cell>
        </row>
        <row r="43">
          <cell r="B43" t="str">
            <v>&lt;2.000</v>
          </cell>
          <cell r="C43">
            <v>2000</v>
          </cell>
          <cell r="D43">
            <v>2001</v>
          </cell>
          <cell r="E43">
            <v>2002</v>
          </cell>
          <cell r="F43">
            <v>2003</v>
          </cell>
          <cell r="G43">
            <v>2004</v>
          </cell>
          <cell r="H43">
            <v>2005</v>
          </cell>
          <cell r="I43">
            <v>2006</v>
          </cell>
          <cell r="J43">
            <v>2007</v>
          </cell>
          <cell r="K43">
            <v>2008</v>
          </cell>
          <cell r="L43">
            <v>2009</v>
          </cell>
          <cell r="M43">
            <v>2010</v>
          </cell>
          <cell r="N43">
            <v>2011</v>
          </cell>
          <cell r="O43">
            <v>2012</v>
          </cell>
          <cell r="P43">
            <v>2013</v>
          </cell>
          <cell r="Q43">
            <v>2014</v>
          </cell>
          <cell r="R43">
            <v>2015</v>
          </cell>
          <cell r="S43">
            <v>2016</v>
          </cell>
          <cell r="T43">
            <v>2017</v>
          </cell>
          <cell r="U43">
            <v>2018</v>
          </cell>
          <cell r="V43">
            <v>2019</v>
          </cell>
          <cell r="W43">
            <v>2020</v>
          </cell>
        </row>
        <row r="44">
          <cell r="B44">
            <v>0.51172396147449595</v>
          </cell>
          <cell r="C44">
            <v>7.3666928620599315E-2</v>
          </cell>
          <cell r="D44">
            <v>1.9539935790826742E-2</v>
          </cell>
          <cell r="E44">
            <v>2.6868553953372204E-2</v>
          </cell>
          <cell r="F44">
            <v>1.4568903022217349E-2</v>
          </cell>
          <cell r="G44">
            <v>1.5348672868273724E-2</v>
          </cell>
          <cell r="H44">
            <v>9.2597669219194514E-3</v>
          </cell>
          <cell r="I44">
            <v>2.284481970868286E-3</v>
          </cell>
          <cell r="J44">
            <v>8.3155143739605626E-4</v>
          </cell>
          <cell r="K44">
            <v>7.2250549798660987E-3</v>
          </cell>
          <cell r="L44">
            <v>6.5031586770717209E-3</v>
          </cell>
          <cell r="M44">
            <v>1.9016027925507609E-2</v>
          </cell>
          <cell r="N44">
            <v>4.4654007590572099E-3</v>
          </cell>
          <cell r="O44">
            <v>1.8455568348654593E-2</v>
          </cell>
          <cell r="P44">
            <v>1.9140912939915076E-2</v>
          </cell>
          <cell r="Q44">
            <v>4.4958605186687865E-2</v>
          </cell>
          <cell r="R44">
            <v>4.2610157720635276E-2</v>
          </cell>
          <cell r="S44">
            <v>2.7051312511041665E-2</v>
          </cell>
          <cell r="T44">
            <v>4.255837612929559E-2</v>
          </cell>
          <cell r="U44">
            <v>3.3901712447685362E-2</v>
          </cell>
          <cell r="V44">
            <v>3.9558089807555243E-2</v>
          </cell>
          <cell r="W44">
            <v>2.0030337920573134E-2</v>
          </cell>
        </row>
        <row r="47">
          <cell r="B47">
            <v>0.31881680961550307</v>
          </cell>
          <cell r="C47">
            <v>8.70212979891299E-2</v>
          </cell>
          <cell r="D47">
            <v>8.8829016037010669E-3</v>
          </cell>
          <cell r="E47">
            <v>1.3217316468506027E-2</v>
          </cell>
          <cell r="F47">
            <v>8.0828350035624576E-3</v>
          </cell>
          <cell r="G47">
            <v>1.2033434134517143E-2</v>
          </cell>
          <cell r="H47">
            <v>4.7463410467682175E-2</v>
          </cell>
          <cell r="I47">
            <v>7.2449274155794588E-3</v>
          </cell>
          <cell r="J47">
            <v>1.8385314236968913E-2</v>
          </cell>
          <cell r="K47">
            <v>2.4597723269937068E-2</v>
          </cell>
          <cell r="L47">
            <v>9.6548577557266924E-3</v>
          </cell>
          <cell r="M47">
            <v>6.3914509640261949E-2</v>
          </cell>
          <cell r="N47">
            <v>1.7084665426203044E-2</v>
          </cell>
          <cell r="O47">
            <v>2.4439872292071878E-2</v>
          </cell>
          <cell r="P47">
            <v>3.4336912370002692E-2</v>
          </cell>
          <cell r="Q47">
            <v>4.0564457798108598E-2</v>
          </cell>
          <cell r="R47">
            <v>5.0478796613339712E-2</v>
          </cell>
          <cell r="S47">
            <v>4.2307305581113244E-2</v>
          </cell>
          <cell r="T47">
            <v>4.723312102737201E-2</v>
          </cell>
          <cell r="U47">
            <v>6.5310301506179447E-2</v>
          </cell>
          <cell r="V47">
            <v>3.4090405363473499E-2</v>
          </cell>
          <cell r="W47">
            <v>1.1142549163551993E-2</v>
          </cell>
        </row>
        <row r="55">
          <cell r="B55">
            <v>0.3526984074383977</v>
          </cell>
          <cell r="C55">
            <v>9.2197083295362608E-2</v>
          </cell>
          <cell r="D55">
            <v>2.8091439049378528E-2</v>
          </cell>
          <cell r="E55">
            <v>1.5789611759605218E-2</v>
          </cell>
          <cell r="F55">
            <v>1.8905283040751578E-2</v>
          </cell>
          <cell r="G55">
            <v>1.8083734442354907E-2</v>
          </cell>
          <cell r="H55">
            <v>2.6649241551856977E-2</v>
          </cell>
          <cell r="I55">
            <v>8.5827665338381372E-3</v>
          </cell>
          <cell r="J55">
            <v>8.5040635588656838E-3</v>
          </cell>
          <cell r="K55">
            <v>3.9461947801977797E-3</v>
          </cell>
          <cell r="L55">
            <v>1.3106116463833913E-2</v>
          </cell>
          <cell r="M55">
            <v>2.6757630736687466E-2</v>
          </cell>
          <cell r="N55">
            <v>2.529679306088297E-2</v>
          </cell>
          <cell r="O55">
            <v>1.941547162412564E-2</v>
          </cell>
          <cell r="P55">
            <v>3.1839495638198281E-2</v>
          </cell>
          <cell r="Q55">
            <v>4.7094065243385511E-2</v>
          </cell>
          <cell r="R55">
            <v>5.988329867640927E-2</v>
          </cell>
          <cell r="S55">
            <v>4.4897285713891219E-2</v>
          </cell>
          <cell r="T55">
            <v>4.6630822294205537E-2</v>
          </cell>
          <cell r="U55">
            <v>4.7009839252625508E-2</v>
          </cell>
          <cell r="V55">
            <v>4.0146111382659402E-2</v>
          </cell>
          <cell r="W55">
            <v>9.7039387387088862E-3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">
          <cell r="B5" t="str">
            <v>Invierno</v>
          </cell>
        </row>
        <row r="6">
          <cell r="B6" t="str">
            <v>Verano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11:A21" totalsRowShown="0" headerRowDxfId="339" dataDxfId="337" headerRowBorderDxfId="338" tableBorderDxfId="336">
  <autoFilter ref="A11:A21" xr:uid="{00000000-0009-0000-0100-000005000000}">
    <filterColumn colId="0" hiddenButton="1"/>
  </autoFilter>
  <tableColumns count="1">
    <tableColumn id="1" xr3:uid="{00000000-0010-0000-0000-000001000000}" name="CA" dataDxfId="335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1" displayName="Tabla1" ref="B11:D22" totalsRowCount="1" headerRowDxfId="334" headerRowBorderDxfId="333" tableBorderDxfId="332">
  <autoFilter ref="B11:D2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100-000001000000}" name="2020" dataDxfId="331" totalsRowDxfId="330"/>
    <tableColumn id="2" xr3:uid="{00000000-0010-0000-0100-000002000000}" name="2021" totalsRowFunction="sum" dataDxfId="329" totalsRowDxfId="328"/>
    <tableColumn id="3" xr3:uid="{00000000-0010-0000-0100-000003000000}" name="Relativo" dataDxfId="327" totalsRowDxfId="326" dataCellStyle="Porcentaje">
      <calculatedColumnFormula>(C12/B12)-1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2" displayName="Tabla2" ref="E11:G22" totalsRowCount="1" headerRowDxfId="325" totalsRowDxfId="322" headerRowBorderDxfId="324" tableBorderDxfId="323">
  <autoFilter ref="E11:G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200-000001000000}" name="2020" dataDxfId="321" totalsRowDxfId="320"/>
    <tableColumn id="2" xr3:uid="{00000000-0010-0000-0200-000002000000}" name="2021" totalsRowFunction="sum" dataDxfId="319" totalsRowDxfId="318"/>
    <tableColumn id="3" xr3:uid="{00000000-0010-0000-0200-000003000000}" name="Relativo" dataDxfId="317" totalsRowDxfId="316" dataCellStyle="Porcentaje">
      <calculatedColumnFormula>(F12/E12)-1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3" displayName="Tabla3" ref="H11:J22" totalsRowCount="1" headerRowDxfId="315" totalsRowDxfId="312" headerRowBorderDxfId="314" tableBorderDxfId="313">
  <autoFilter ref="H11:J21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300-000001000000}" name="2020" dataDxfId="311" totalsRowDxfId="310"/>
    <tableColumn id="2" xr3:uid="{00000000-0010-0000-0300-000002000000}" name="2021" totalsRowFunction="sum" dataDxfId="309" totalsRowDxfId="308"/>
    <tableColumn id="3" xr3:uid="{00000000-0010-0000-0300-000003000000}" name="Relativo" dataDxfId="307" totalsRowDxfId="306" dataCellStyle="Porcentaje">
      <calculatedColumnFormula>(I12/H12)-1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a6" displayName="Tabla6" ref="K11:M22" totalsRowCount="1" headerRowDxfId="305" totalsRowDxfId="302" headerRowBorderDxfId="304" tableBorderDxfId="303">
  <autoFilter ref="K11:M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2020" dataDxfId="301" totalsRowDxfId="300"/>
    <tableColumn id="2" xr3:uid="{00000000-0010-0000-0400-000002000000}" name="2021" totalsRowFunction="sum" dataDxfId="299" totalsRowDxfId="298"/>
    <tableColumn id="3" xr3:uid="{00000000-0010-0000-0400-000003000000}" name="Relativo" dataDxfId="297" totalsRowDxfId="296" dataCellStyle="Porcentaje">
      <calculatedColumnFormula>(L12/K12)-1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a7" displayName="Tabla7" ref="N11:P22" totalsRowCount="1" headerRowDxfId="295" totalsRowDxfId="292" headerRowBorderDxfId="294" tableBorderDxfId="293">
  <autoFilter ref="N11:P21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2020" dataDxfId="291" totalsRowDxfId="290"/>
    <tableColumn id="2" xr3:uid="{00000000-0010-0000-0500-000002000000}" name="2021" totalsRowFunction="sum" dataDxfId="289" totalsRowDxfId="288"/>
    <tableColumn id="3" xr3:uid="{00000000-0010-0000-0500-000003000000}" name="Relativo" dataDxfId="287" totalsRowDxfId="286" dataCellStyle="Porcentaje"/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la16" displayName="Tabla16" ref="Q11:S22" totalsRowCount="1" headerRowDxfId="285" totalsRowDxfId="282" headerRowBorderDxfId="284" tableBorderDxfId="283">
  <autoFilter ref="Q11:S21" xr:uid="{00000000-0009-0000-0100-000010000000}">
    <filterColumn colId="0" hiddenButton="1"/>
    <filterColumn colId="1" hiddenButton="1"/>
    <filterColumn colId="2" hiddenButton="1"/>
  </autoFilter>
  <tableColumns count="3">
    <tableColumn id="1" xr3:uid="{00000000-0010-0000-0600-000001000000}" name="2020" dataDxfId="281" totalsRowDxfId="280"/>
    <tableColumn id="2" xr3:uid="{00000000-0010-0000-0600-000002000000}" name="2021" totalsRowFunction="sum" dataDxfId="279" totalsRowDxfId="278"/>
    <tableColumn id="3" xr3:uid="{00000000-0010-0000-0600-000003000000}" name="Relativo" dataDxfId="277" totalsRowDxfId="276" dataCellStyle="Porcentaje">
      <calculatedColumnFormula>(R12/Q12)-1</calculatedColumnFormula>
    </tableColumn>
  </tableColumns>
  <tableStyleInfo name="Estilo de tabla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T11:V22" totalsRowCount="1" headerRowDxfId="275" headerRowBorderDxfId="274" tableBorderDxfId="273">
  <autoFilter ref="T11:V21" xr:uid="{00000000-0009-0000-0100-000011000000}">
    <filterColumn colId="0" hiddenButton="1"/>
    <filterColumn colId="1" hiddenButton="1"/>
    <filterColumn colId="2" hiddenButton="1"/>
  </autoFilter>
  <tableColumns count="3">
    <tableColumn id="1" xr3:uid="{00000000-0010-0000-0700-000001000000}" name="2020" dataDxfId="272" totalsRowDxfId="271"/>
    <tableColumn id="2" xr3:uid="{00000000-0010-0000-0700-000002000000}" name="2021" totalsRowFunction="sum" dataDxfId="270" totalsRowDxfId="269"/>
    <tableColumn id="3" xr3:uid="{00000000-0010-0000-0700-000003000000}" name="Relativo" dataDxfId="268" totalsRowDxfId="267" dataCellStyle="Porcentaje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ajimenezs\AppData\Local\Microsoft\Windows\INetCache\Content.Outlook\YVBP3FE5\BDA_C&#237;tricos_A&#241;o_Plantacion_RSU_REGEPA_2021_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ajimenezs\AppData\Local\Microsoft\Windows\INetCache\Content.Outlook\YVBP3FE5\BDA_C&#237;tricos_A&#241;o_Plantacion_RSU_REGEPA_2021_.xlsx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G24"/>
  <sheetViews>
    <sheetView tabSelected="1" workbookViewId="0">
      <selection activeCell="B2" sqref="B2"/>
    </sheetView>
  </sheetViews>
  <sheetFormatPr baseColWidth="10" defaultRowHeight="14.5" x14ac:dyDescent="0.35"/>
  <cols>
    <col min="1" max="1" width="9.7265625" bestFit="1" customWidth="1"/>
    <col min="6" max="6" width="17.26953125" customWidth="1"/>
  </cols>
  <sheetData>
    <row r="1" spans="1:7" x14ac:dyDescent="0.35">
      <c r="A1" s="3" t="s">
        <v>72</v>
      </c>
      <c r="B1" s="48" t="s">
        <v>149</v>
      </c>
    </row>
    <row r="3" spans="1:7" ht="20.149999999999999" customHeight="1" x14ac:dyDescent="0.35">
      <c r="A3" s="297" t="s">
        <v>71</v>
      </c>
      <c r="B3" s="297"/>
      <c r="C3" s="297"/>
      <c r="D3" s="297"/>
      <c r="E3" s="297"/>
      <c r="F3" s="298"/>
    </row>
    <row r="4" spans="1:7" ht="20.149999999999999" customHeight="1" x14ac:dyDescent="0.35">
      <c r="A4" s="299" t="s">
        <v>141</v>
      </c>
      <c r="B4" s="299"/>
      <c r="C4" s="299"/>
      <c r="D4" s="299"/>
      <c r="E4" s="299"/>
      <c r="F4" s="299"/>
      <c r="G4" s="289"/>
    </row>
    <row r="5" spans="1:7" ht="20.149999999999999" customHeight="1" x14ac:dyDescent="0.35">
      <c r="A5" s="116" t="s">
        <v>64</v>
      </c>
      <c r="B5" s="116"/>
      <c r="C5" s="116"/>
      <c r="D5" s="116"/>
      <c r="E5" s="116"/>
      <c r="F5" s="263"/>
    </row>
    <row r="6" spans="1:7" ht="20.149999999999999" customHeight="1" x14ac:dyDescent="0.35">
      <c r="A6" s="302" t="s">
        <v>105</v>
      </c>
      <c r="B6" s="302"/>
      <c r="C6" s="302"/>
      <c r="D6" s="302"/>
      <c r="E6" s="302"/>
      <c r="F6" s="303"/>
      <c r="G6" s="55"/>
    </row>
    <row r="7" spans="1:7" ht="20.149999999999999" customHeight="1" x14ac:dyDescent="0.35">
      <c r="A7" s="302" t="s">
        <v>48</v>
      </c>
      <c r="B7" s="302"/>
      <c r="C7" s="302"/>
      <c r="D7" s="302"/>
      <c r="E7" s="302"/>
      <c r="F7" s="303"/>
    </row>
    <row r="8" spans="1:7" ht="20.149999999999999" customHeight="1" x14ac:dyDescent="0.35">
      <c r="A8" s="302" t="s">
        <v>53</v>
      </c>
      <c r="B8" s="302"/>
      <c r="C8" s="302"/>
      <c r="D8" s="302"/>
      <c r="E8" s="302"/>
      <c r="F8" s="303"/>
      <c r="G8" s="13"/>
    </row>
    <row r="9" spans="1:7" ht="20.149999999999999" customHeight="1" x14ac:dyDescent="0.35">
      <c r="A9" s="302" t="s">
        <v>132</v>
      </c>
      <c r="B9" s="302"/>
      <c r="C9" s="302"/>
      <c r="D9" s="302"/>
      <c r="E9" s="302"/>
      <c r="F9" s="303"/>
      <c r="G9" s="13"/>
    </row>
    <row r="10" spans="1:7" ht="20.149999999999999" customHeight="1" x14ac:dyDescent="0.35">
      <c r="A10" s="300" t="s">
        <v>106</v>
      </c>
      <c r="B10" s="300"/>
      <c r="C10" s="300"/>
      <c r="D10" s="300"/>
      <c r="E10" s="300"/>
      <c r="F10" s="301"/>
      <c r="G10" s="289"/>
    </row>
    <row r="11" spans="1:7" ht="20.149999999999999" customHeight="1" x14ac:dyDescent="0.35">
      <c r="A11" s="304" t="s">
        <v>64</v>
      </c>
      <c r="B11" s="304"/>
      <c r="C11" s="304"/>
      <c r="D11" s="304"/>
      <c r="E11" s="304"/>
      <c r="F11" s="305"/>
    </row>
    <row r="12" spans="1:7" ht="20.149999999999999" customHeight="1" x14ac:dyDescent="0.35">
      <c r="A12" s="307" t="s">
        <v>70</v>
      </c>
      <c r="B12" s="307"/>
      <c r="C12" s="307"/>
      <c r="D12" s="307"/>
      <c r="E12" s="307"/>
      <c r="F12" s="308"/>
    </row>
    <row r="13" spans="1:7" ht="20.149999999999999" customHeight="1" x14ac:dyDescent="0.35">
      <c r="A13" s="309" t="s">
        <v>65</v>
      </c>
      <c r="B13" s="309"/>
      <c r="C13" s="309"/>
      <c r="D13" s="309"/>
      <c r="E13" s="309"/>
      <c r="F13" s="310"/>
    </row>
    <row r="14" spans="1:7" ht="20.149999999999999" customHeight="1" x14ac:dyDescent="0.35">
      <c r="A14" s="309" t="s">
        <v>66</v>
      </c>
      <c r="B14" s="309"/>
      <c r="C14" s="309"/>
      <c r="D14" s="309"/>
      <c r="E14" s="309"/>
      <c r="F14" s="310"/>
    </row>
    <row r="15" spans="1:7" ht="20.149999999999999" customHeight="1" x14ac:dyDescent="0.35">
      <c r="A15" s="309" t="s">
        <v>67</v>
      </c>
      <c r="B15" s="309"/>
      <c r="C15" s="309"/>
      <c r="D15" s="309"/>
      <c r="E15" s="309"/>
      <c r="F15" s="310"/>
    </row>
    <row r="16" spans="1:7" ht="20.149999999999999" customHeight="1" x14ac:dyDescent="0.35">
      <c r="A16" s="311" t="s">
        <v>68</v>
      </c>
      <c r="B16" s="311"/>
      <c r="C16" s="311"/>
      <c r="D16" s="311"/>
      <c r="E16" s="311"/>
      <c r="F16" s="312"/>
    </row>
    <row r="17" spans="1:6" ht="20.149999999999999" customHeight="1" x14ac:dyDescent="0.35">
      <c r="A17" s="304" t="s">
        <v>48</v>
      </c>
      <c r="B17" s="304"/>
      <c r="C17" s="304"/>
      <c r="D17" s="304"/>
      <c r="E17" s="304"/>
      <c r="F17" s="305"/>
    </row>
    <row r="18" spans="1:6" ht="20.149999999999999" customHeight="1" x14ac:dyDescent="0.35">
      <c r="A18" s="313" t="s">
        <v>53</v>
      </c>
      <c r="B18" s="313"/>
      <c r="C18" s="313"/>
      <c r="D18" s="313"/>
      <c r="E18" s="313"/>
      <c r="F18" s="314"/>
    </row>
    <row r="19" spans="1:6" ht="20.149999999999999" customHeight="1" x14ac:dyDescent="0.35">
      <c r="A19" s="299" t="s">
        <v>137</v>
      </c>
      <c r="B19" s="299"/>
      <c r="C19" s="299"/>
      <c r="D19" s="299"/>
      <c r="E19" s="299"/>
      <c r="F19" s="306"/>
    </row>
    <row r="20" spans="1:6" ht="20.149999999999999" customHeight="1" x14ac:dyDescent="0.35">
      <c r="A20" s="304" t="s">
        <v>64</v>
      </c>
      <c r="B20" s="304"/>
      <c r="C20" s="304"/>
      <c r="D20" s="304"/>
      <c r="E20" s="304"/>
      <c r="F20" s="305"/>
    </row>
    <row r="21" spans="1:6" ht="20.149999999999999" customHeight="1" x14ac:dyDescent="0.35">
      <c r="A21" s="304" t="s">
        <v>105</v>
      </c>
      <c r="B21" s="304"/>
      <c r="C21" s="304"/>
      <c r="D21" s="304"/>
      <c r="E21" s="304"/>
      <c r="F21" s="305"/>
    </row>
    <row r="22" spans="1:6" ht="20.149999999999999" customHeight="1" x14ac:dyDescent="0.35">
      <c r="A22" s="304" t="s">
        <v>48</v>
      </c>
      <c r="B22" s="304"/>
      <c r="C22" s="304"/>
      <c r="D22" s="304"/>
      <c r="E22" s="304"/>
      <c r="F22" s="305"/>
    </row>
    <row r="23" spans="1:6" ht="20.149999999999999" customHeight="1" x14ac:dyDescent="0.35"/>
    <row r="24" spans="1:6" ht="20.149999999999999" customHeight="1" x14ac:dyDescent="0.35"/>
  </sheetData>
  <mergeCells count="19">
    <mergeCell ref="A11:F11"/>
    <mergeCell ref="A20:F20"/>
    <mergeCell ref="A21:F21"/>
    <mergeCell ref="A22:F22"/>
    <mergeCell ref="A19:F19"/>
    <mergeCell ref="A12:F12"/>
    <mergeCell ref="A13:F13"/>
    <mergeCell ref="A14:F14"/>
    <mergeCell ref="A15:F15"/>
    <mergeCell ref="A16:F16"/>
    <mergeCell ref="A17:F17"/>
    <mergeCell ref="A18:F18"/>
    <mergeCell ref="A3:F3"/>
    <mergeCell ref="A4:F4"/>
    <mergeCell ref="A10:F10"/>
    <mergeCell ref="A6:F6"/>
    <mergeCell ref="A7:F7"/>
    <mergeCell ref="A8:F8"/>
    <mergeCell ref="A9:F9"/>
  </mergeCells>
  <hyperlinks>
    <hyperlink ref="A5" location="'NAR-REPR'!A1" display="NARANJO" xr:uid="{00000000-0004-0000-0000-000000000000}"/>
    <hyperlink ref="A6" location="PC!A1" display="PC!A1" xr:uid="{00000000-0004-0000-0000-000001000000}"/>
    <hyperlink ref="A7" location="LIM!A1" display="LIM!A1" xr:uid="{00000000-0004-0000-0000-000002000000}"/>
    <hyperlink ref="A8" location="POM!A1" display="POM!A1" xr:uid="{00000000-0004-0000-0000-000003000000}"/>
    <hyperlink ref="A11" location="'NAR-EDAD'!A1" display="'NAR-EDAD'!A1" xr:uid="{00000000-0004-0000-0000-000005000000}"/>
    <hyperlink ref="A12" location="'PC-EDAD'!A1" display="'PC-EDAD'!A1" xr:uid="{00000000-0004-0000-0000-000006000000}"/>
    <hyperlink ref="A13" location="'CLE-EDAD'!A1" display="'CLE-EDAD'!A1" xr:uid="{00000000-0004-0000-0000-000007000000}"/>
    <hyperlink ref="A14" location="'MAN-EDAD'!A1" display="'MAN-EDAD'!A1" xr:uid="{00000000-0004-0000-0000-000008000000}"/>
    <hyperlink ref="A15" location="'MH-EDAD'!A1" display="'MH-EDAD'!A1" xr:uid="{00000000-0004-0000-0000-000009000000}"/>
    <hyperlink ref="A16" location="'SAT-EDAD'!A1" display="'SAT-EDAD'!A1" xr:uid="{00000000-0004-0000-0000-00000A000000}"/>
    <hyperlink ref="A17" location="'LIM-EDAD'!A1" display="'LIM-EDAD'!A1" xr:uid="{00000000-0004-0000-0000-00000B000000}"/>
    <hyperlink ref="A18" location="'POM-EDAD'!A1" display="'POM-EDAD'!A1" xr:uid="{00000000-0004-0000-0000-00000C000000}"/>
    <hyperlink ref="A20" location="'NAR-VAR'!A1" display="NARANJO" xr:uid="{00000000-0004-0000-0000-00000D000000}"/>
    <hyperlink ref="A21" location="'PC-VAR'!A1" display="PEQUEÑOS CÍTRICOS (clementinas, mandarinos, mandarinos híbridos y satsumas)" xr:uid="{00000000-0004-0000-0000-00000E000000}"/>
    <hyperlink ref="A22" location="'LIM-VAR'!A1" display="LIMONERO" xr:uid="{00000000-0004-0000-0000-00000F000000}"/>
    <hyperlink ref="A9" location="CÍTRICOS!A1" display="CÍTRICOS TOTAL" xr:uid="{00000000-0004-0000-0000-000010000000}"/>
    <hyperlink ref="A6:F6" location="'PC-REPR'!A1" display="PEQUEÑOS CÍTRICOS (clementinas, mandarinos, mandarinos híbridos y satsumas)" xr:uid="{00000000-0004-0000-0000-000011000000}"/>
    <hyperlink ref="A7:F7" location="'LIM-REPR'!A1" display="LIMONERO" xr:uid="{00000000-0004-0000-0000-000012000000}"/>
    <hyperlink ref="A8:F8" location="'POM-REPR'!A1" display="POMELO" xr:uid="{00000000-0004-0000-0000-000013000000}"/>
    <hyperlink ref="B1" r:id="rId1" display="BDA_Cítricos_Año_Plantacion_RSU_REGEPA_2021_.xlsx" xr:uid="{9C535356-4112-4CA2-B3A8-3C8E3D4A9104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autoPageBreaks="0"/>
  </sheetPr>
  <dimension ref="A1:AA36"/>
  <sheetViews>
    <sheetView topLeftCell="A3" zoomScale="70" zoomScaleNormal="70" workbookViewId="0">
      <pane xSplit="1" topLeftCell="X1" activePane="topRight" state="frozen"/>
      <selection pane="topRight" activeCell="AC4" sqref="AC4"/>
    </sheetView>
  </sheetViews>
  <sheetFormatPr baseColWidth="10" defaultRowHeight="14.5" x14ac:dyDescent="0.35"/>
  <cols>
    <col min="1" max="1" width="20.453125" customWidth="1"/>
    <col min="2" max="24" width="10.26953125" customWidth="1"/>
    <col min="25" max="25" width="19.81640625" customWidth="1"/>
    <col min="26" max="26" width="15.7265625" customWidth="1"/>
    <col min="27" max="27" width="14.453125" customWidth="1"/>
  </cols>
  <sheetData>
    <row r="1" spans="1:27" ht="21" x14ac:dyDescent="0.5">
      <c r="A1" s="337" t="s">
        <v>80</v>
      </c>
      <c r="B1" s="338" t="s">
        <v>79</v>
      </c>
      <c r="F1" s="337"/>
      <c r="G1" s="338"/>
    </row>
    <row r="3" spans="1:27" ht="18.5" x14ac:dyDescent="0.45">
      <c r="A3" s="53" t="s">
        <v>45</v>
      </c>
      <c r="B3" s="54"/>
      <c r="C3" s="54"/>
      <c r="D3" s="54"/>
      <c r="E3" s="54"/>
      <c r="F3" s="54"/>
      <c r="G3" s="54"/>
      <c r="H3" s="54"/>
      <c r="K3" s="50"/>
      <c r="L3" s="48"/>
    </row>
    <row r="4" spans="1:27" ht="31" x14ac:dyDescent="0.35">
      <c r="A4" s="268" t="s">
        <v>134</v>
      </c>
      <c r="B4" s="177" t="s">
        <v>74</v>
      </c>
      <c r="C4" s="177">
        <v>2000</v>
      </c>
      <c r="D4" s="177">
        <v>2001</v>
      </c>
      <c r="E4" s="177">
        <v>2002</v>
      </c>
      <c r="F4" s="177">
        <v>2003</v>
      </c>
      <c r="G4" s="177">
        <v>2004</v>
      </c>
      <c r="H4" s="177">
        <v>2005</v>
      </c>
      <c r="I4" s="177">
        <v>2006</v>
      </c>
      <c r="J4" s="177">
        <v>2007</v>
      </c>
      <c r="K4" s="177">
        <v>2008</v>
      </c>
      <c r="L4" s="177">
        <v>2009</v>
      </c>
      <c r="M4" s="177">
        <v>2010</v>
      </c>
      <c r="N4" s="177">
        <v>2011</v>
      </c>
      <c r="O4" s="177">
        <v>2012</v>
      </c>
      <c r="P4" s="177">
        <v>2013</v>
      </c>
      <c r="Q4" s="177">
        <v>2014</v>
      </c>
      <c r="R4" s="177">
        <v>2015</v>
      </c>
      <c r="S4" s="177">
        <v>2016</v>
      </c>
      <c r="T4" s="177">
        <v>2017</v>
      </c>
      <c r="U4" s="177">
        <v>2018</v>
      </c>
      <c r="V4" s="177">
        <v>2019</v>
      </c>
      <c r="W4" s="177">
        <v>2020</v>
      </c>
      <c r="X4" s="177">
        <v>2021</v>
      </c>
      <c r="Y4" s="264" t="s">
        <v>75</v>
      </c>
      <c r="Z4" s="264" t="s">
        <v>73</v>
      </c>
      <c r="AA4" s="178" t="s">
        <v>76</v>
      </c>
    </row>
    <row r="5" spans="1:27" x14ac:dyDescent="0.35">
      <c r="A5" s="188" t="s">
        <v>6</v>
      </c>
      <c r="B5" s="180">
        <f>SUM(B6:B12)</f>
        <v>768.18999999999994</v>
      </c>
      <c r="C5" s="180">
        <f t="shared" ref="C5:Z5" si="0">SUM(C6:C12)</f>
        <v>149.01</v>
      </c>
      <c r="D5" s="180">
        <f t="shared" si="0"/>
        <v>55.44</v>
      </c>
      <c r="E5" s="180">
        <f t="shared" si="0"/>
        <v>165.72000000000003</v>
      </c>
      <c r="F5" s="180">
        <f t="shared" si="0"/>
        <v>36.99</v>
      </c>
      <c r="G5" s="180">
        <f t="shared" si="0"/>
        <v>77.399999999999991</v>
      </c>
      <c r="H5" s="180">
        <f t="shared" si="0"/>
        <v>77.55</v>
      </c>
      <c r="I5" s="180">
        <f t="shared" si="0"/>
        <v>50.67</v>
      </c>
      <c r="J5" s="180">
        <f t="shared" si="0"/>
        <v>59.98</v>
      </c>
      <c r="K5" s="180">
        <f t="shared" si="0"/>
        <v>41.27</v>
      </c>
      <c r="L5" s="180">
        <f t="shared" si="0"/>
        <v>11.57</v>
      </c>
      <c r="M5" s="180">
        <f t="shared" si="0"/>
        <v>80.349999999999994</v>
      </c>
      <c r="N5" s="180">
        <f t="shared" si="0"/>
        <v>67.039999999999992</v>
      </c>
      <c r="O5" s="180">
        <f t="shared" si="0"/>
        <v>51.39</v>
      </c>
      <c r="P5" s="180">
        <f t="shared" si="0"/>
        <v>78.52000000000001</v>
      </c>
      <c r="Q5" s="180">
        <f t="shared" si="0"/>
        <v>142.69</v>
      </c>
      <c r="R5" s="180">
        <f t="shared" si="0"/>
        <v>260.82999999999993</v>
      </c>
      <c r="S5" s="180">
        <f t="shared" si="0"/>
        <v>109.4</v>
      </c>
      <c r="T5" s="180">
        <f t="shared" si="0"/>
        <v>52.680000000000007</v>
      </c>
      <c r="U5" s="180">
        <f t="shared" si="0"/>
        <v>91.65</v>
      </c>
      <c r="V5" s="180">
        <f t="shared" si="0"/>
        <v>20.669999999999998</v>
      </c>
      <c r="W5" s="180">
        <f t="shared" si="0"/>
        <v>39.9</v>
      </c>
      <c r="X5" s="180">
        <f t="shared" si="0"/>
        <v>9.41</v>
      </c>
      <c r="Y5" s="180">
        <f t="shared" si="0"/>
        <v>0.09</v>
      </c>
      <c r="Z5" s="180">
        <f t="shared" si="0"/>
        <v>2498.41</v>
      </c>
      <c r="AA5" s="186">
        <f>Z5/$Z$26</f>
        <v>5.9175912866043505E-2</v>
      </c>
    </row>
    <row r="6" spans="1:27" x14ac:dyDescent="0.35">
      <c r="A6" s="193" t="s">
        <v>7</v>
      </c>
      <c r="B6" s="156">
        <v>37.330000000000005</v>
      </c>
      <c r="C6" s="156">
        <v>16.5</v>
      </c>
      <c r="D6" s="156">
        <v>1.54</v>
      </c>
      <c r="E6" s="156">
        <v>10.829999999999998</v>
      </c>
      <c r="F6" s="156"/>
      <c r="G6" s="156">
        <v>24.03</v>
      </c>
      <c r="H6" s="156">
        <v>17.52</v>
      </c>
      <c r="I6" s="156"/>
      <c r="J6" s="156">
        <v>1.65</v>
      </c>
      <c r="K6" s="156">
        <v>11.010000000000002</v>
      </c>
      <c r="L6" s="156"/>
      <c r="M6" s="156">
        <v>22.78</v>
      </c>
      <c r="N6" s="156">
        <v>41.319999999999993</v>
      </c>
      <c r="O6" s="156">
        <v>4.34</v>
      </c>
      <c r="P6" s="156">
        <v>6.7</v>
      </c>
      <c r="Q6" s="156">
        <v>28.01</v>
      </c>
      <c r="R6" s="156">
        <v>15.09</v>
      </c>
      <c r="S6" s="156">
        <v>27.700000000000003</v>
      </c>
      <c r="T6" s="156"/>
      <c r="U6" s="156">
        <v>12.61</v>
      </c>
      <c r="V6" s="156">
        <v>1.88</v>
      </c>
      <c r="W6" s="156">
        <v>0.01</v>
      </c>
      <c r="X6" s="156"/>
      <c r="Y6" s="156">
        <v>0.09</v>
      </c>
      <c r="Z6" s="156">
        <v>280.93999999999994</v>
      </c>
      <c r="AA6" s="174">
        <f>Z6/$Z$26</f>
        <v>6.6541844455418686E-3</v>
      </c>
    </row>
    <row r="7" spans="1:27" x14ac:dyDescent="0.35">
      <c r="A7" s="193" t="s">
        <v>8</v>
      </c>
      <c r="B7" s="156">
        <v>18.14</v>
      </c>
      <c r="C7" s="156">
        <v>4.1899999999999995</v>
      </c>
      <c r="D7" s="156">
        <v>2.96</v>
      </c>
      <c r="E7" s="156">
        <v>1.72</v>
      </c>
      <c r="F7" s="156">
        <v>2.4500000000000002</v>
      </c>
      <c r="G7" s="156"/>
      <c r="H7" s="156">
        <v>0.77</v>
      </c>
      <c r="I7" s="156"/>
      <c r="J7" s="156"/>
      <c r="K7" s="156"/>
      <c r="L7" s="156">
        <v>0.14000000000000001</v>
      </c>
      <c r="M7" s="156">
        <v>1.92</v>
      </c>
      <c r="N7" s="156"/>
      <c r="O7" s="156">
        <v>0.79</v>
      </c>
      <c r="P7" s="156">
        <v>2.2199999999999998</v>
      </c>
      <c r="Q7" s="156"/>
      <c r="R7" s="156"/>
      <c r="S7" s="156"/>
      <c r="T7" s="156">
        <v>1.29</v>
      </c>
      <c r="U7" s="156"/>
      <c r="V7" s="156"/>
      <c r="W7" s="156"/>
      <c r="X7" s="156"/>
      <c r="Y7" s="156"/>
      <c r="Z7" s="156">
        <v>36.589999999999996</v>
      </c>
      <c r="AA7" s="174">
        <f t="shared" ref="AA7:AA25" si="1">Z7/$Z$26</f>
        <v>8.6664985001202034E-4</v>
      </c>
    </row>
    <row r="8" spans="1:27" x14ac:dyDescent="0.35">
      <c r="A8" s="193" t="s">
        <v>9</v>
      </c>
      <c r="B8" s="156"/>
      <c r="C8" s="156"/>
      <c r="D8" s="156">
        <v>6.75</v>
      </c>
      <c r="E8" s="156"/>
      <c r="F8" s="156"/>
      <c r="G8" s="156">
        <v>8.24</v>
      </c>
      <c r="H8" s="156"/>
      <c r="I8" s="156"/>
      <c r="J8" s="156"/>
      <c r="K8" s="156"/>
      <c r="L8" s="156"/>
      <c r="M8" s="156">
        <v>0.28999999999999998</v>
      </c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>
        <v>15.28</v>
      </c>
      <c r="AA8" s="174">
        <f t="shared" si="1"/>
        <v>3.6191335633188501E-4</v>
      </c>
    </row>
    <row r="9" spans="1:27" x14ac:dyDescent="0.35">
      <c r="A9" s="193" t="s">
        <v>10</v>
      </c>
      <c r="B9" s="156">
        <v>9.9999999999999992E-2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>
        <v>9.9999999999999992E-2</v>
      </c>
      <c r="AA9" s="174">
        <f t="shared" si="1"/>
        <v>2.3685429079311846E-6</v>
      </c>
    </row>
    <row r="10" spans="1:27" x14ac:dyDescent="0.35">
      <c r="A10" s="193" t="s">
        <v>11</v>
      </c>
      <c r="B10" s="156">
        <v>573.92999999999984</v>
      </c>
      <c r="C10" s="156">
        <v>98.16</v>
      </c>
      <c r="D10" s="156">
        <v>44.19</v>
      </c>
      <c r="E10" s="156">
        <v>127.62</v>
      </c>
      <c r="F10" s="156">
        <v>5.69</v>
      </c>
      <c r="G10" s="156">
        <v>29.299999999999997</v>
      </c>
      <c r="H10" s="156">
        <v>44.27</v>
      </c>
      <c r="I10" s="156">
        <v>26.1</v>
      </c>
      <c r="J10" s="156">
        <v>26.04</v>
      </c>
      <c r="K10" s="156">
        <v>26.189999999999998</v>
      </c>
      <c r="L10" s="156">
        <v>4.7</v>
      </c>
      <c r="M10" s="156">
        <v>55.199999999999996</v>
      </c>
      <c r="N10" s="156">
        <v>20.25</v>
      </c>
      <c r="O10" s="156">
        <v>35.24</v>
      </c>
      <c r="P10" s="156">
        <v>69.600000000000009</v>
      </c>
      <c r="Q10" s="156">
        <v>90.95</v>
      </c>
      <c r="R10" s="156">
        <v>235.09999999999994</v>
      </c>
      <c r="S10" s="156">
        <v>65.55</v>
      </c>
      <c r="T10" s="156">
        <v>38.690000000000005</v>
      </c>
      <c r="U10" s="156">
        <v>72.160000000000011</v>
      </c>
      <c r="V10" s="156">
        <v>18.79</v>
      </c>
      <c r="W10" s="156">
        <v>39.89</v>
      </c>
      <c r="X10" s="156">
        <v>9.41</v>
      </c>
      <c r="Y10" s="156"/>
      <c r="Z10" s="156">
        <v>1757.02</v>
      </c>
      <c r="AA10" s="174">
        <f t="shared" si="1"/>
        <v>4.16157726009325E-2</v>
      </c>
    </row>
    <row r="11" spans="1:27" x14ac:dyDescent="0.35">
      <c r="A11" s="193" t="s">
        <v>13</v>
      </c>
      <c r="B11" s="156">
        <v>103.88000000000005</v>
      </c>
      <c r="C11" s="156">
        <v>19.209999999999997</v>
      </c>
      <c r="D11" s="156"/>
      <c r="E11" s="156">
        <v>0.22</v>
      </c>
      <c r="F11" s="156">
        <v>8.23</v>
      </c>
      <c r="G11" s="156">
        <v>10.450000000000001</v>
      </c>
      <c r="H11" s="156">
        <v>7.08</v>
      </c>
      <c r="I11" s="156">
        <v>1.51</v>
      </c>
      <c r="J11" s="156"/>
      <c r="K11" s="156"/>
      <c r="L11" s="156"/>
      <c r="M11" s="156">
        <v>0.16</v>
      </c>
      <c r="N11" s="156">
        <v>1.98</v>
      </c>
      <c r="O11" s="156">
        <v>6.77</v>
      </c>
      <c r="P11" s="156"/>
      <c r="Q11" s="156">
        <v>2.76</v>
      </c>
      <c r="R11" s="156">
        <v>10.639999999999999</v>
      </c>
      <c r="S11" s="156">
        <v>9.1199999999999992</v>
      </c>
      <c r="T11" s="156"/>
      <c r="U11" s="156"/>
      <c r="V11" s="156"/>
      <c r="W11" s="156"/>
      <c r="X11" s="156"/>
      <c r="Y11" s="156"/>
      <c r="Z11" s="156">
        <v>182.01000000000002</v>
      </c>
      <c r="AA11" s="174">
        <f t="shared" si="1"/>
        <v>4.3109849467255499E-3</v>
      </c>
    </row>
    <row r="12" spans="1:27" x14ac:dyDescent="0.35">
      <c r="A12" s="193" t="s">
        <v>14</v>
      </c>
      <c r="B12" s="156">
        <v>34.810000000000009</v>
      </c>
      <c r="C12" s="156">
        <v>10.95</v>
      </c>
      <c r="D12" s="156"/>
      <c r="E12" s="156">
        <v>25.33</v>
      </c>
      <c r="F12" s="156">
        <v>20.62</v>
      </c>
      <c r="G12" s="156">
        <v>5.3800000000000008</v>
      </c>
      <c r="H12" s="156">
        <v>7.91</v>
      </c>
      <c r="I12" s="156">
        <v>23.06</v>
      </c>
      <c r="J12" s="156">
        <v>32.29</v>
      </c>
      <c r="K12" s="156">
        <v>4.07</v>
      </c>
      <c r="L12" s="156">
        <v>6.73</v>
      </c>
      <c r="M12" s="156"/>
      <c r="N12" s="156">
        <v>3.49</v>
      </c>
      <c r="O12" s="156">
        <v>4.25</v>
      </c>
      <c r="P12" s="156"/>
      <c r="Q12" s="156">
        <v>20.97</v>
      </c>
      <c r="R12" s="156"/>
      <c r="S12" s="156">
        <v>7.03</v>
      </c>
      <c r="T12" s="156">
        <v>12.7</v>
      </c>
      <c r="U12" s="156">
        <v>6.88</v>
      </c>
      <c r="V12" s="156"/>
      <c r="W12" s="156"/>
      <c r="X12" s="156"/>
      <c r="Y12" s="156"/>
      <c r="Z12" s="156">
        <v>226.46999999999997</v>
      </c>
      <c r="AA12" s="174">
        <f t="shared" si="1"/>
        <v>5.3640391235917533E-3</v>
      </c>
    </row>
    <row r="13" spans="1:27" x14ac:dyDescent="0.35">
      <c r="A13" s="188" t="s">
        <v>16</v>
      </c>
      <c r="B13" s="180">
        <f>SUM(B14:B16)</f>
        <v>14778.670000000006</v>
      </c>
      <c r="C13" s="180">
        <f t="shared" ref="C13:Z13" si="2">SUM(C14:C16)</f>
        <v>4575.7000000000007</v>
      </c>
      <c r="D13" s="180">
        <f t="shared" si="2"/>
        <v>1179.7499999999991</v>
      </c>
      <c r="E13" s="180">
        <f t="shared" si="2"/>
        <v>1212.6399999999994</v>
      </c>
      <c r="F13" s="180">
        <f t="shared" si="2"/>
        <v>1041.4499999999996</v>
      </c>
      <c r="G13" s="180">
        <f t="shared" si="2"/>
        <v>1443.0899999999997</v>
      </c>
      <c r="H13" s="180">
        <f t="shared" si="2"/>
        <v>1284.9399999999996</v>
      </c>
      <c r="I13" s="180">
        <f t="shared" si="2"/>
        <v>424.23</v>
      </c>
      <c r="J13" s="180">
        <f t="shared" si="2"/>
        <v>633.57999999999981</v>
      </c>
      <c r="K13" s="180">
        <f t="shared" si="2"/>
        <v>430.96999999999991</v>
      </c>
      <c r="L13" s="180">
        <f t="shared" si="2"/>
        <v>546.32999999999993</v>
      </c>
      <c r="M13" s="180">
        <f t="shared" si="2"/>
        <v>755.35</v>
      </c>
      <c r="N13" s="180">
        <f t="shared" si="2"/>
        <v>361.68999999999994</v>
      </c>
      <c r="O13" s="180">
        <f t="shared" si="2"/>
        <v>523.99999999999977</v>
      </c>
      <c r="P13" s="180">
        <f t="shared" si="2"/>
        <v>449.84999999999997</v>
      </c>
      <c r="Q13" s="180">
        <f t="shared" si="2"/>
        <v>553.77</v>
      </c>
      <c r="R13" s="180">
        <f t="shared" si="2"/>
        <v>802.34000000000015</v>
      </c>
      <c r="S13" s="180">
        <f t="shared" si="2"/>
        <v>475.53</v>
      </c>
      <c r="T13" s="180">
        <f t="shared" si="2"/>
        <v>336.40999999999991</v>
      </c>
      <c r="U13" s="180">
        <f t="shared" si="2"/>
        <v>286.07</v>
      </c>
      <c r="V13" s="180">
        <f t="shared" si="2"/>
        <v>202.90000000000006</v>
      </c>
      <c r="W13" s="180">
        <f t="shared" si="2"/>
        <v>142.08000000000001</v>
      </c>
      <c r="X13" s="180">
        <f t="shared" si="2"/>
        <v>138.15</v>
      </c>
      <c r="Y13" s="180">
        <f t="shared" si="2"/>
        <v>27.789999999999992</v>
      </c>
      <c r="Z13" s="180">
        <f t="shared" si="2"/>
        <v>32607.280000000002</v>
      </c>
      <c r="AA13" s="186">
        <f>Z13/$Z$26</f>
        <v>0.77231741790926367</v>
      </c>
    </row>
    <row r="14" spans="1:27" x14ac:dyDescent="0.35">
      <c r="A14" s="193" t="s">
        <v>17</v>
      </c>
      <c r="B14" s="156">
        <v>447.88999999999982</v>
      </c>
      <c r="C14" s="156">
        <v>130.03999999999994</v>
      </c>
      <c r="D14" s="156">
        <v>11.23</v>
      </c>
      <c r="E14" s="156">
        <v>37.68</v>
      </c>
      <c r="F14" s="156">
        <v>27.279999999999998</v>
      </c>
      <c r="G14" s="156">
        <v>45.930000000000007</v>
      </c>
      <c r="H14" s="156">
        <v>118.43</v>
      </c>
      <c r="I14" s="156">
        <v>42.48</v>
      </c>
      <c r="J14" s="156">
        <v>16.559999999999999</v>
      </c>
      <c r="K14" s="156">
        <v>64.589999999999989</v>
      </c>
      <c r="L14" s="156">
        <v>31.189999999999987</v>
      </c>
      <c r="M14" s="156">
        <v>207.54000000000005</v>
      </c>
      <c r="N14" s="156">
        <v>37.289999999999992</v>
      </c>
      <c r="O14" s="156">
        <v>161.93999999999997</v>
      </c>
      <c r="P14" s="156">
        <v>109.98</v>
      </c>
      <c r="Q14" s="156">
        <v>63.7</v>
      </c>
      <c r="R14" s="156">
        <v>187.88000000000008</v>
      </c>
      <c r="S14" s="156">
        <v>92.719999999999985</v>
      </c>
      <c r="T14" s="156">
        <v>36.61</v>
      </c>
      <c r="U14" s="156">
        <v>15.250000000000002</v>
      </c>
      <c r="V14" s="156">
        <v>21.89</v>
      </c>
      <c r="W14" s="156">
        <v>0.36000000000000004</v>
      </c>
      <c r="X14" s="156">
        <v>12.739999999999998</v>
      </c>
      <c r="Y14" s="156">
        <v>1.86</v>
      </c>
      <c r="Z14" s="156">
        <v>1923.0599999999997</v>
      </c>
      <c r="AA14" s="174">
        <f t="shared" si="1"/>
        <v>4.5548501245261434E-2</v>
      </c>
    </row>
    <row r="15" spans="1:27" x14ac:dyDescent="0.35">
      <c r="A15" s="193" t="s">
        <v>18</v>
      </c>
      <c r="B15" s="156">
        <v>8236.3499999999858</v>
      </c>
      <c r="C15" s="156">
        <v>2770.7399999999989</v>
      </c>
      <c r="D15" s="156">
        <v>634.10999999999945</v>
      </c>
      <c r="E15" s="156">
        <v>632.74999999999932</v>
      </c>
      <c r="F15" s="156">
        <v>465.20999999999981</v>
      </c>
      <c r="G15" s="156">
        <v>691.97999999999968</v>
      </c>
      <c r="H15" s="156">
        <v>598.89</v>
      </c>
      <c r="I15" s="156">
        <v>134.70999999999995</v>
      </c>
      <c r="J15" s="156">
        <v>342.21</v>
      </c>
      <c r="K15" s="156">
        <v>140.22999999999999</v>
      </c>
      <c r="L15" s="156">
        <v>217.41000000000008</v>
      </c>
      <c r="M15" s="156">
        <v>273.69999999999993</v>
      </c>
      <c r="N15" s="156">
        <v>98.130000000000038</v>
      </c>
      <c r="O15" s="156">
        <v>127.70000000000002</v>
      </c>
      <c r="P15" s="156">
        <v>122.13</v>
      </c>
      <c r="Q15" s="156">
        <v>178.71</v>
      </c>
      <c r="R15" s="156">
        <v>288.71000000000004</v>
      </c>
      <c r="S15" s="156">
        <v>167.27000000000004</v>
      </c>
      <c r="T15" s="156">
        <v>139.83999999999997</v>
      </c>
      <c r="U15" s="156">
        <v>108.74000000000004</v>
      </c>
      <c r="V15" s="156">
        <v>82.44000000000004</v>
      </c>
      <c r="W15" s="156">
        <v>52.06</v>
      </c>
      <c r="X15" s="156">
        <v>35.849999999999994</v>
      </c>
      <c r="Y15" s="156">
        <v>10.479999999999997</v>
      </c>
      <c r="Z15" s="156">
        <v>16550.34999999998</v>
      </c>
      <c r="AA15" s="174">
        <f t="shared" si="1"/>
        <v>0.39200214116278836</v>
      </c>
    </row>
    <row r="16" spans="1:27" x14ac:dyDescent="0.35">
      <c r="A16" s="193" t="s">
        <v>19</v>
      </c>
      <c r="B16" s="156">
        <v>6094.4300000000194</v>
      </c>
      <c r="C16" s="156">
        <v>1674.9200000000019</v>
      </c>
      <c r="D16" s="156">
        <v>534.40999999999974</v>
      </c>
      <c r="E16" s="156">
        <v>542.21000000000026</v>
      </c>
      <c r="F16" s="156">
        <v>548.95999999999981</v>
      </c>
      <c r="G16" s="156">
        <v>705.18000000000006</v>
      </c>
      <c r="H16" s="156">
        <v>567.61999999999966</v>
      </c>
      <c r="I16" s="156">
        <v>247.04000000000011</v>
      </c>
      <c r="J16" s="156">
        <v>274.80999999999983</v>
      </c>
      <c r="K16" s="156">
        <v>226.14999999999995</v>
      </c>
      <c r="L16" s="156">
        <v>297.7299999999999</v>
      </c>
      <c r="M16" s="156">
        <v>274.11</v>
      </c>
      <c r="N16" s="156">
        <v>226.2699999999999</v>
      </c>
      <c r="O16" s="156">
        <v>234.35999999999984</v>
      </c>
      <c r="P16" s="156">
        <v>217.73999999999995</v>
      </c>
      <c r="Q16" s="156">
        <v>311.3599999999999</v>
      </c>
      <c r="R16" s="156">
        <v>325.75000000000006</v>
      </c>
      <c r="S16" s="156">
        <v>215.54</v>
      </c>
      <c r="T16" s="156">
        <v>159.95999999999992</v>
      </c>
      <c r="U16" s="156">
        <v>162.07999999999996</v>
      </c>
      <c r="V16" s="156">
        <v>98.570000000000022</v>
      </c>
      <c r="W16" s="156">
        <v>89.660000000000011</v>
      </c>
      <c r="X16" s="156">
        <v>89.560000000000016</v>
      </c>
      <c r="Y16" s="156">
        <v>15.449999999999998</v>
      </c>
      <c r="Z16" s="156">
        <v>14133.870000000021</v>
      </c>
      <c r="AA16" s="174">
        <f t="shared" si="1"/>
        <v>0.33476677550121381</v>
      </c>
    </row>
    <row r="17" spans="1:27" x14ac:dyDescent="0.35">
      <c r="A17" s="188" t="s">
        <v>23</v>
      </c>
      <c r="B17" s="180">
        <f>SUM(B18:B19)</f>
        <v>2118.9999999999968</v>
      </c>
      <c r="C17" s="180">
        <f t="shared" ref="C17:Z17" si="3">SUM(C18:C19)</f>
        <v>854.1899999999996</v>
      </c>
      <c r="D17" s="180">
        <f t="shared" si="3"/>
        <v>308.19</v>
      </c>
      <c r="E17" s="180">
        <f t="shared" si="3"/>
        <v>415.65999999999991</v>
      </c>
      <c r="F17" s="180">
        <f t="shared" si="3"/>
        <v>323.96999999999997</v>
      </c>
      <c r="G17" s="180">
        <f t="shared" si="3"/>
        <v>267.64999999999992</v>
      </c>
      <c r="H17" s="180">
        <f t="shared" si="3"/>
        <v>257.39</v>
      </c>
      <c r="I17" s="180">
        <f t="shared" si="3"/>
        <v>76.760000000000019</v>
      </c>
      <c r="J17" s="180">
        <f t="shared" si="3"/>
        <v>35.94</v>
      </c>
      <c r="K17" s="180">
        <f t="shared" si="3"/>
        <v>37.339999999999996</v>
      </c>
      <c r="L17" s="180">
        <f t="shared" si="3"/>
        <v>45.019999999999996</v>
      </c>
      <c r="M17" s="180">
        <f t="shared" si="3"/>
        <v>110.98000000000002</v>
      </c>
      <c r="N17" s="180">
        <f t="shared" si="3"/>
        <v>33.54</v>
      </c>
      <c r="O17" s="180">
        <f t="shared" si="3"/>
        <v>28.980000000000004</v>
      </c>
      <c r="P17" s="180">
        <f t="shared" si="3"/>
        <v>50.260000000000005</v>
      </c>
      <c r="Q17" s="180">
        <f t="shared" si="3"/>
        <v>62.190000000000005</v>
      </c>
      <c r="R17" s="180">
        <f t="shared" si="3"/>
        <v>59.589999999999982</v>
      </c>
      <c r="S17" s="180">
        <f t="shared" si="3"/>
        <v>134.58000000000001</v>
      </c>
      <c r="T17" s="180">
        <f t="shared" si="3"/>
        <v>48.460000000000008</v>
      </c>
      <c r="U17" s="180">
        <f t="shared" si="3"/>
        <v>39.470000000000006</v>
      </c>
      <c r="V17" s="180">
        <f t="shared" si="3"/>
        <v>36.19</v>
      </c>
      <c r="W17" s="180">
        <f t="shared" si="3"/>
        <v>22.31</v>
      </c>
      <c r="X17" s="180">
        <f t="shared" si="3"/>
        <v>10.210000000000001</v>
      </c>
      <c r="Y17" s="180">
        <f t="shared" si="3"/>
        <v>7.0000000000000007E-2</v>
      </c>
      <c r="Z17" s="180">
        <f t="shared" si="3"/>
        <v>5377.9399999999951</v>
      </c>
      <c r="AA17" s="186">
        <f>Z17/$Z$26</f>
        <v>0.12737881646279423</v>
      </c>
    </row>
    <row r="18" spans="1:27" x14ac:dyDescent="0.35">
      <c r="A18" s="193" t="s">
        <v>24</v>
      </c>
      <c r="B18" s="156"/>
      <c r="C18" s="156"/>
      <c r="D18" s="156"/>
      <c r="E18" s="156">
        <v>1.1399999999999999</v>
      </c>
      <c r="F18" s="156"/>
      <c r="G18" s="156">
        <v>0.04</v>
      </c>
      <c r="H18" s="156"/>
      <c r="I18" s="156"/>
      <c r="J18" s="156"/>
      <c r="K18" s="156"/>
      <c r="L18" s="156"/>
      <c r="M18" s="156"/>
      <c r="N18" s="156">
        <v>0.01</v>
      </c>
      <c r="O18" s="156">
        <v>0.34</v>
      </c>
      <c r="P18" s="156">
        <v>7.0000000000000007E-2</v>
      </c>
      <c r="Q18" s="156"/>
      <c r="R18" s="156">
        <v>0.01</v>
      </c>
      <c r="S18" s="156"/>
      <c r="T18" s="156"/>
      <c r="U18" s="156"/>
      <c r="V18" s="156"/>
      <c r="W18" s="156"/>
      <c r="X18" s="156"/>
      <c r="Y18" s="156"/>
      <c r="Z18" s="156">
        <v>1.61</v>
      </c>
      <c r="AA18" s="174">
        <f t="shared" si="1"/>
        <v>3.8133540817692071E-5</v>
      </c>
    </row>
    <row r="19" spans="1:27" x14ac:dyDescent="0.35">
      <c r="A19" s="193" t="s">
        <v>26</v>
      </c>
      <c r="B19" s="156">
        <v>2118.9999999999968</v>
      </c>
      <c r="C19" s="156">
        <v>854.1899999999996</v>
      </c>
      <c r="D19" s="156">
        <v>308.19</v>
      </c>
      <c r="E19" s="156">
        <v>414.51999999999992</v>
      </c>
      <c r="F19" s="156">
        <v>323.96999999999997</v>
      </c>
      <c r="G19" s="156">
        <v>267.6099999999999</v>
      </c>
      <c r="H19" s="156">
        <v>257.39</v>
      </c>
      <c r="I19" s="156">
        <v>76.760000000000019</v>
      </c>
      <c r="J19" s="156">
        <v>35.94</v>
      </c>
      <c r="K19" s="156">
        <v>37.339999999999996</v>
      </c>
      <c r="L19" s="156">
        <v>45.019999999999996</v>
      </c>
      <c r="M19" s="156">
        <v>110.98000000000002</v>
      </c>
      <c r="N19" s="156">
        <v>33.53</v>
      </c>
      <c r="O19" s="156">
        <v>28.640000000000004</v>
      </c>
      <c r="P19" s="156">
        <v>50.190000000000005</v>
      </c>
      <c r="Q19" s="156">
        <v>62.190000000000005</v>
      </c>
      <c r="R19" s="156">
        <v>59.579999999999984</v>
      </c>
      <c r="S19" s="156">
        <v>134.58000000000001</v>
      </c>
      <c r="T19" s="156">
        <v>48.460000000000008</v>
      </c>
      <c r="U19" s="156">
        <v>39.470000000000006</v>
      </c>
      <c r="V19" s="156">
        <v>36.19</v>
      </c>
      <c r="W19" s="156">
        <v>22.31</v>
      </c>
      <c r="X19" s="156">
        <v>10.210000000000001</v>
      </c>
      <c r="Y19" s="156">
        <v>7.0000000000000007E-2</v>
      </c>
      <c r="Z19" s="156">
        <v>5376.3299999999954</v>
      </c>
      <c r="AA19" s="174">
        <f t="shared" si="1"/>
        <v>0.12734068292197656</v>
      </c>
    </row>
    <row r="20" spans="1:27" x14ac:dyDescent="0.35">
      <c r="A20" s="188" t="s">
        <v>27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>
        <v>0.1</v>
      </c>
      <c r="V20" s="180"/>
      <c r="W20" s="180"/>
      <c r="X20" s="180"/>
      <c r="Y20" s="180"/>
      <c r="Z20" s="180">
        <v>0.1</v>
      </c>
      <c r="AA20" s="186">
        <f>Z20/$Z$26</f>
        <v>2.3685429079311846E-6</v>
      </c>
    </row>
    <row r="21" spans="1:27" x14ac:dyDescent="0.35">
      <c r="A21" s="193" t="s">
        <v>29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>
        <v>0.1</v>
      </c>
      <c r="V21" s="156"/>
      <c r="W21" s="156"/>
      <c r="X21" s="156"/>
      <c r="Y21" s="156"/>
      <c r="Z21" s="156">
        <v>0.1</v>
      </c>
      <c r="AA21" s="174">
        <f t="shared" si="1"/>
        <v>2.3685429079311846E-6</v>
      </c>
    </row>
    <row r="22" spans="1:27" x14ac:dyDescent="0.35">
      <c r="A22" s="188" t="s">
        <v>35</v>
      </c>
      <c r="B22" s="180">
        <v>23.07</v>
      </c>
      <c r="C22" s="180"/>
      <c r="D22" s="180">
        <v>2.75</v>
      </c>
      <c r="E22" s="180"/>
      <c r="F22" s="180"/>
      <c r="G22" s="180"/>
      <c r="H22" s="180"/>
      <c r="I22" s="180"/>
      <c r="J22" s="180"/>
      <c r="K22" s="180">
        <v>2.06</v>
      </c>
      <c r="L22" s="180"/>
      <c r="M22" s="180">
        <v>1.24</v>
      </c>
      <c r="N22" s="180"/>
      <c r="O22" s="180"/>
      <c r="P22" s="180">
        <v>4.84</v>
      </c>
      <c r="Q22" s="180">
        <v>3.11</v>
      </c>
      <c r="R22" s="180"/>
      <c r="S22" s="180"/>
      <c r="T22" s="180">
        <v>0.34</v>
      </c>
      <c r="U22" s="180"/>
      <c r="V22" s="180">
        <v>1.39</v>
      </c>
      <c r="W22" s="180"/>
      <c r="X22" s="180">
        <v>3.4400000000000004</v>
      </c>
      <c r="Y22" s="180">
        <v>9.9999999999999992E-2</v>
      </c>
      <c r="Z22" s="180">
        <v>42.339999999999996</v>
      </c>
      <c r="AA22" s="186">
        <f>Z22/$Z$26</f>
        <v>1.0028410672180636E-3</v>
      </c>
    </row>
    <row r="23" spans="1:27" x14ac:dyDescent="0.35">
      <c r="A23" s="193" t="s">
        <v>35</v>
      </c>
      <c r="B23" s="156">
        <v>23.07</v>
      </c>
      <c r="C23" s="156"/>
      <c r="D23" s="156">
        <v>2.75</v>
      </c>
      <c r="E23" s="156"/>
      <c r="F23" s="156"/>
      <c r="G23" s="156"/>
      <c r="H23" s="156"/>
      <c r="I23" s="156"/>
      <c r="J23" s="156"/>
      <c r="K23" s="156">
        <v>2.06</v>
      </c>
      <c r="L23" s="156"/>
      <c r="M23" s="156">
        <v>1.24</v>
      </c>
      <c r="N23" s="156"/>
      <c r="O23" s="156"/>
      <c r="P23" s="156">
        <v>4.84</v>
      </c>
      <c r="Q23" s="156">
        <v>3.11</v>
      </c>
      <c r="R23" s="156"/>
      <c r="S23" s="156"/>
      <c r="T23" s="156">
        <v>0.34</v>
      </c>
      <c r="U23" s="156"/>
      <c r="V23" s="156">
        <v>1.39</v>
      </c>
      <c r="W23" s="156"/>
      <c r="X23" s="156">
        <v>3.4400000000000004</v>
      </c>
      <c r="Y23" s="156">
        <v>9.9999999999999992E-2</v>
      </c>
      <c r="Z23" s="156">
        <v>42.339999999999996</v>
      </c>
      <c r="AA23" s="174">
        <f t="shared" si="1"/>
        <v>1.0028410672180636E-3</v>
      </c>
    </row>
    <row r="24" spans="1:27" x14ac:dyDescent="0.35">
      <c r="A24" s="188" t="s">
        <v>39</v>
      </c>
      <c r="B24" s="180">
        <v>235.56</v>
      </c>
      <c r="C24" s="180">
        <v>89.77</v>
      </c>
      <c r="D24" s="180">
        <v>54.160000000000011</v>
      </c>
      <c r="E24" s="180">
        <v>74.39</v>
      </c>
      <c r="F24" s="180">
        <v>62.8</v>
      </c>
      <c r="G24" s="180">
        <v>53.46</v>
      </c>
      <c r="H24" s="180">
        <v>50.92</v>
      </c>
      <c r="I24" s="180">
        <v>26.869999999999997</v>
      </c>
      <c r="J24" s="180">
        <v>2.77</v>
      </c>
      <c r="K24" s="180">
        <v>25.060000000000002</v>
      </c>
      <c r="L24" s="180">
        <v>34.110000000000007</v>
      </c>
      <c r="M24" s="180">
        <v>65.669999999999987</v>
      </c>
      <c r="N24" s="180">
        <v>66.67</v>
      </c>
      <c r="O24" s="180">
        <v>66.47</v>
      </c>
      <c r="P24" s="180">
        <v>90.39</v>
      </c>
      <c r="Q24" s="180">
        <v>85.24</v>
      </c>
      <c r="R24" s="180">
        <v>211.56</v>
      </c>
      <c r="S24" s="180">
        <v>172.10999999999999</v>
      </c>
      <c r="T24" s="180">
        <v>67</v>
      </c>
      <c r="U24" s="180">
        <v>45.8</v>
      </c>
      <c r="V24" s="180">
        <v>29.470000000000002</v>
      </c>
      <c r="W24" s="180">
        <v>25.240000000000002</v>
      </c>
      <c r="X24" s="180">
        <v>45.519999999999996</v>
      </c>
      <c r="Y24" s="180">
        <v>12.969999999999999</v>
      </c>
      <c r="Z24" s="180">
        <v>1693.98</v>
      </c>
      <c r="AA24" s="186">
        <f>Z24/$Z$26</f>
        <v>4.0122643151772684E-2</v>
      </c>
    </row>
    <row r="25" spans="1:27" x14ac:dyDescent="0.35">
      <c r="A25" s="193" t="s">
        <v>39</v>
      </c>
      <c r="B25" s="156">
        <v>235.56</v>
      </c>
      <c r="C25" s="156">
        <v>89.77</v>
      </c>
      <c r="D25" s="156">
        <v>54.160000000000011</v>
      </c>
      <c r="E25" s="156">
        <v>74.39</v>
      </c>
      <c r="F25" s="156">
        <v>62.8</v>
      </c>
      <c r="G25" s="156">
        <v>53.46</v>
      </c>
      <c r="H25" s="156">
        <v>50.92</v>
      </c>
      <c r="I25" s="156">
        <v>26.869999999999997</v>
      </c>
      <c r="J25" s="156">
        <v>2.77</v>
      </c>
      <c r="K25" s="156">
        <v>25.060000000000002</v>
      </c>
      <c r="L25" s="156">
        <v>34.110000000000007</v>
      </c>
      <c r="M25" s="156">
        <v>65.669999999999987</v>
      </c>
      <c r="N25" s="156">
        <v>66.67</v>
      </c>
      <c r="O25" s="156">
        <v>66.47</v>
      </c>
      <c r="P25" s="156">
        <v>90.39</v>
      </c>
      <c r="Q25" s="156">
        <v>85.24</v>
      </c>
      <c r="R25" s="156">
        <v>211.56</v>
      </c>
      <c r="S25" s="156">
        <v>172.10999999999999</v>
      </c>
      <c r="T25" s="156">
        <v>67</v>
      </c>
      <c r="U25" s="156">
        <v>45.8</v>
      </c>
      <c r="V25" s="156">
        <v>29.470000000000002</v>
      </c>
      <c r="W25" s="156">
        <v>25.240000000000002</v>
      </c>
      <c r="X25" s="156">
        <v>45.519999999999996</v>
      </c>
      <c r="Y25" s="156">
        <v>12.969999999999999</v>
      </c>
      <c r="Z25" s="156">
        <v>1693.98</v>
      </c>
      <c r="AA25" s="174">
        <f t="shared" si="1"/>
        <v>4.0122643151772684E-2</v>
      </c>
    </row>
    <row r="26" spans="1:27" x14ac:dyDescent="0.35">
      <c r="A26" s="194" t="s">
        <v>40</v>
      </c>
      <c r="B26" s="184">
        <f>SUM(B5,B13,B17,B20,B22,B24)</f>
        <v>17924.490000000005</v>
      </c>
      <c r="C26" s="184">
        <f t="shared" ref="C26:Y26" si="4">SUM(C5,C13,C17,C20,C22,C24)</f>
        <v>5668.670000000001</v>
      </c>
      <c r="D26" s="184">
        <f t="shared" si="4"/>
        <v>1600.2899999999993</v>
      </c>
      <c r="E26" s="184">
        <f t="shared" si="4"/>
        <v>1868.4099999999994</v>
      </c>
      <c r="F26" s="184">
        <f t="shared" si="4"/>
        <v>1465.2099999999996</v>
      </c>
      <c r="G26" s="184">
        <f t="shared" si="4"/>
        <v>1841.5999999999997</v>
      </c>
      <c r="H26" s="184">
        <f t="shared" si="4"/>
        <v>1670.7999999999997</v>
      </c>
      <c r="I26" s="184">
        <f t="shared" si="4"/>
        <v>578.53000000000009</v>
      </c>
      <c r="J26" s="184">
        <f t="shared" si="4"/>
        <v>732.26999999999975</v>
      </c>
      <c r="K26" s="184">
        <f t="shared" si="4"/>
        <v>536.69999999999982</v>
      </c>
      <c r="L26" s="184">
        <f t="shared" si="4"/>
        <v>637.03</v>
      </c>
      <c r="M26" s="184">
        <f t="shared" si="4"/>
        <v>1013.59</v>
      </c>
      <c r="N26" s="184">
        <f t="shared" si="4"/>
        <v>528.93999999999994</v>
      </c>
      <c r="O26" s="184">
        <f t="shared" si="4"/>
        <v>670.8399999999998</v>
      </c>
      <c r="P26" s="184">
        <f t="shared" si="4"/>
        <v>673.86</v>
      </c>
      <c r="Q26" s="184">
        <f t="shared" si="4"/>
        <v>847.00000000000011</v>
      </c>
      <c r="R26" s="184">
        <f t="shared" si="4"/>
        <v>1334.32</v>
      </c>
      <c r="S26" s="184">
        <f t="shared" si="4"/>
        <v>891.62</v>
      </c>
      <c r="T26" s="184">
        <f t="shared" si="4"/>
        <v>504.88999999999993</v>
      </c>
      <c r="U26" s="184">
        <f t="shared" si="4"/>
        <v>463.09000000000009</v>
      </c>
      <c r="V26" s="184">
        <f t="shared" si="4"/>
        <v>290.62000000000006</v>
      </c>
      <c r="W26" s="184">
        <f t="shared" si="4"/>
        <v>229.53000000000003</v>
      </c>
      <c r="X26" s="184">
        <f t="shared" si="4"/>
        <v>206.73000000000002</v>
      </c>
      <c r="Y26" s="184">
        <f t="shared" si="4"/>
        <v>41.019999999999996</v>
      </c>
      <c r="Z26" s="184">
        <f>SUM(Z5,Z13,Z17,Z20,Z22,Z24)</f>
        <v>42220.049999999996</v>
      </c>
      <c r="AA26" s="187">
        <v>1</v>
      </c>
    </row>
    <row r="29" spans="1:27" ht="15.5" x14ac:dyDescent="0.35">
      <c r="A29" s="108" t="s">
        <v>110</v>
      </c>
      <c r="B29" s="189" t="s">
        <v>74</v>
      </c>
      <c r="C29" s="189">
        <v>2000</v>
      </c>
      <c r="D29" s="189">
        <v>2001</v>
      </c>
      <c r="E29" s="189">
        <v>2002</v>
      </c>
      <c r="F29" s="189">
        <v>2003</v>
      </c>
      <c r="G29" s="189">
        <v>2004</v>
      </c>
      <c r="H29" s="189">
        <v>2005</v>
      </c>
      <c r="I29" s="189">
        <v>2006</v>
      </c>
      <c r="J29" s="189">
        <v>2007</v>
      </c>
      <c r="K29" s="189">
        <v>2008</v>
      </c>
      <c r="L29" s="189">
        <v>2009</v>
      </c>
      <c r="M29" s="189">
        <v>2010</v>
      </c>
      <c r="N29" s="189">
        <v>2011</v>
      </c>
      <c r="O29" s="189">
        <v>2012</v>
      </c>
      <c r="P29" s="189">
        <v>2013</v>
      </c>
      <c r="Q29" s="189">
        <v>2014</v>
      </c>
      <c r="R29" s="189">
        <v>2015</v>
      </c>
      <c r="S29" s="189">
        <v>2016</v>
      </c>
      <c r="T29" s="189">
        <v>2017</v>
      </c>
      <c r="U29" s="189">
        <v>2018</v>
      </c>
      <c r="V29" s="189">
        <v>2019</v>
      </c>
      <c r="W29" s="189">
        <v>2020</v>
      </c>
      <c r="X29" s="189">
        <v>2021</v>
      </c>
      <c r="Y29" s="190" t="s">
        <v>75</v>
      </c>
    </row>
    <row r="30" spans="1:27" x14ac:dyDescent="0.35">
      <c r="A30" s="188" t="s">
        <v>6</v>
      </c>
      <c r="B30" s="174">
        <f>B5/$Z$5</f>
        <v>0.30747155190701286</v>
      </c>
      <c r="C30" s="174">
        <f t="shared" ref="C30:Y30" si="5">C5/$Z$5</f>
        <v>5.9641932268923038E-2</v>
      </c>
      <c r="D30" s="174">
        <f t="shared" si="5"/>
        <v>2.2190112911811912E-2</v>
      </c>
      <c r="E30" s="174">
        <f t="shared" si="5"/>
        <v>6.6330185998294933E-2</v>
      </c>
      <c r="F30" s="174">
        <f t="shared" si="5"/>
        <v>1.4805416244731652E-2</v>
      </c>
      <c r="G30" s="174">
        <f t="shared" si="5"/>
        <v>3.0979703091165978E-2</v>
      </c>
      <c r="H30" s="174">
        <f t="shared" si="5"/>
        <v>3.1039741275451189E-2</v>
      </c>
      <c r="I30" s="174">
        <f t="shared" si="5"/>
        <v>2.0280898651542381E-2</v>
      </c>
      <c r="J30" s="174">
        <f t="shared" si="5"/>
        <v>2.4007268622844129E-2</v>
      </c>
      <c r="K30" s="174">
        <f t="shared" si="5"/>
        <v>1.6518505769669511E-2</v>
      </c>
      <c r="L30" s="174">
        <f t="shared" si="5"/>
        <v>4.6309452811988429E-3</v>
      </c>
      <c r="M30" s="174">
        <f t="shared" si="5"/>
        <v>3.2160454048775024E-2</v>
      </c>
      <c r="N30" s="174">
        <f t="shared" si="5"/>
        <v>2.6833065829867796E-2</v>
      </c>
      <c r="O30" s="174">
        <f t="shared" si="5"/>
        <v>2.0569081936111368E-2</v>
      </c>
      <c r="P30" s="174">
        <f t="shared" si="5"/>
        <v>3.142798820049552E-2</v>
      </c>
      <c r="Q30" s="174">
        <f t="shared" si="5"/>
        <v>5.7112323437706385E-2</v>
      </c>
      <c r="R30" s="174">
        <f t="shared" si="5"/>
        <v>0.10439839738073413</v>
      </c>
      <c r="S30" s="174">
        <f t="shared" si="5"/>
        <v>4.3787849072009805E-2</v>
      </c>
      <c r="T30" s="174">
        <f t="shared" si="5"/>
        <v>2.1085410320964136E-2</v>
      </c>
      <c r="U30" s="174">
        <f t="shared" si="5"/>
        <v>3.6683330598260497E-2</v>
      </c>
      <c r="V30" s="174">
        <f t="shared" si="5"/>
        <v>8.2732617945013021E-3</v>
      </c>
      <c r="W30" s="174">
        <f t="shared" si="5"/>
        <v>1.5970157019864633E-2</v>
      </c>
      <c r="X30" s="174">
        <f t="shared" si="5"/>
        <v>3.7663954274918853E-3</v>
      </c>
      <c r="Y30" s="191">
        <f t="shared" si="5"/>
        <v>3.6022910571123238E-5</v>
      </c>
    </row>
    <row r="31" spans="1:27" x14ac:dyDescent="0.35">
      <c r="A31" s="188" t="s">
        <v>16</v>
      </c>
      <c r="B31" s="174">
        <f>B13/$Z$13</f>
        <v>0.45323222298824078</v>
      </c>
      <c r="C31" s="174">
        <f t="shared" ref="C31:Y31" si="6">C13/$Z$13</f>
        <v>0.14032755875375072</v>
      </c>
      <c r="D31" s="174">
        <f t="shared" si="6"/>
        <v>3.618057071917679E-2</v>
      </c>
      <c r="E31" s="174">
        <f t="shared" si="6"/>
        <v>3.7189241175590214E-2</v>
      </c>
      <c r="F31" s="174">
        <f t="shared" si="6"/>
        <v>3.1939186586553661E-2</v>
      </c>
      <c r="G31" s="174">
        <f t="shared" si="6"/>
        <v>4.4256681330058799E-2</v>
      </c>
      <c r="H31" s="174">
        <f t="shared" si="6"/>
        <v>3.9406537435811864E-2</v>
      </c>
      <c r="I31" s="174">
        <f t="shared" si="6"/>
        <v>1.3010284819831644E-2</v>
      </c>
      <c r="J31" s="174">
        <f t="shared" si="6"/>
        <v>1.9430630215093066E-2</v>
      </c>
      <c r="K31" s="174">
        <f t="shared" si="6"/>
        <v>1.3216987126801128E-2</v>
      </c>
      <c r="L31" s="174">
        <f t="shared" si="6"/>
        <v>1.6754847383774418E-2</v>
      </c>
      <c r="M31" s="174">
        <f t="shared" si="6"/>
        <v>2.3165072339673839E-2</v>
      </c>
      <c r="N31" s="174">
        <f t="shared" si="6"/>
        <v>1.1092308220740888E-2</v>
      </c>
      <c r="O31" s="174">
        <f t="shared" si="6"/>
        <v>1.607003098694524E-2</v>
      </c>
      <c r="P31" s="174">
        <f t="shared" si="6"/>
        <v>1.3795998930300226E-2</v>
      </c>
      <c r="Q31" s="174">
        <f t="shared" si="6"/>
        <v>1.6983017289390587E-2</v>
      </c>
      <c r="R31" s="174">
        <f t="shared" si="6"/>
        <v>2.4606161568827577E-2</v>
      </c>
      <c r="S31" s="174">
        <f t="shared" si="6"/>
        <v>1.458355312065281E-2</v>
      </c>
      <c r="T31" s="174">
        <f t="shared" si="6"/>
        <v>1.0317021229614979E-2</v>
      </c>
      <c r="U31" s="174">
        <f t="shared" si="6"/>
        <v>8.7731942069378364E-3</v>
      </c>
      <c r="V31" s="174">
        <f t="shared" si="6"/>
        <v>6.222536807731281E-3</v>
      </c>
      <c r="W31" s="174">
        <f t="shared" si="6"/>
        <v>4.3573091653152304E-3</v>
      </c>
      <c r="X31" s="174">
        <f t="shared" si="6"/>
        <v>4.2367839329131409E-3</v>
      </c>
      <c r="Y31" s="196">
        <f t="shared" si="6"/>
        <v>8.5226366627329817E-4</v>
      </c>
    </row>
    <row r="32" spans="1:27" x14ac:dyDescent="0.35">
      <c r="A32" s="188" t="s">
        <v>23</v>
      </c>
      <c r="B32" s="174">
        <f>B17/$Z$17</f>
        <v>0.39401703998185156</v>
      </c>
      <c r="C32" s="174">
        <f t="shared" ref="C32:Y32" si="7">C17/$Z$17</f>
        <v>0.15883219225205197</v>
      </c>
      <c r="D32" s="174">
        <f t="shared" si="7"/>
        <v>5.730632918924352E-2</v>
      </c>
      <c r="E32" s="174">
        <f t="shared" si="7"/>
        <v>7.7289817290635499E-2</v>
      </c>
      <c r="F32" s="174">
        <f t="shared" si="7"/>
        <v>6.0240538198641162E-2</v>
      </c>
      <c r="G32" s="174">
        <f t="shared" si="7"/>
        <v>4.976812682923204E-2</v>
      </c>
      <c r="H32" s="174">
        <f t="shared" si="7"/>
        <v>4.7860333138711145E-2</v>
      </c>
      <c r="I32" s="174">
        <f t="shared" si="7"/>
        <v>1.4273123166119386E-2</v>
      </c>
      <c r="J32" s="174">
        <f t="shared" si="7"/>
        <v>6.6828562609475058E-3</v>
      </c>
      <c r="K32" s="174">
        <f t="shared" si="7"/>
        <v>6.9431789867495791E-3</v>
      </c>
      <c r="L32" s="174">
        <f t="shared" si="7"/>
        <v>8.3712350825780948E-3</v>
      </c>
      <c r="M32" s="174">
        <f t="shared" si="7"/>
        <v>2.063615436393863E-2</v>
      </c>
      <c r="N32" s="174">
        <f t="shared" si="7"/>
        <v>6.2365887310010951E-3</v>
      </c>
      <c r="O32" s="174">
        <f t="shared" si="7"/>
        <v>5.388680424102915E-3</v>
      </c>
      <c r="P32" s="174">
        <f t="shared" si="7"/>
        <v>9.3455858562944277E-3</v>
      </c>
      <c r="Q32" s="174">
        <f t="shared" si="7"/>
        <v>1.1563907369736379E-2</v>
      </c>
      <c r="R32" s="174">
        <f t="shared" si="7"/>
        <v>1.1080450878961095E-2</v>
      </c>
      <c r="S32" s="174">
        <f t="shared" si="7"/>
        <v>2.5024451741745005E-2</v>
      </c>
      <c r="T32" s="174">
        <f t="shared" si="7"/>
        <v>9.0108852088346195E-3</v>
      </c>
      <c r="U32" s="174">
        <f t="shared" si="7"/>
        <v>7.3392414195770205E-3</v>
      </c>
      <c r="V32" s="174">
        <f t="shared" si="7"/>
        <v>6.7293424619835904E-3</v>
      </c>
      <c r="W32" s="174">
        <f t="shared" si="7"/>
        <v>4.1484285804601799E-3</v>
      </c>
      <c r="X32" s="174">
        <f t="shared" si="7"/>
        <v>1.8984964503136908E-3</v>
      </c>
      <c r="Y32" s="191">
        <f t="shared" si="7"/>
        <v>1.3016136290103659E-5</v>
      </c>
    </row>
    <row r="33" spans="1:25" x14ac:dyDescent="0.35">
      <c r="A33" s="188" t="s">
        <v>27</v>
      </c>
      <c r="B33" s="174">
        <f>B20/$Z$20</f>
        <v>0</v>
      </c>
      <c r="C33" s="174">
        <f t="shared" ref="C33:Y33" si="8">C20/$Z$20</f>
        <v>0</v>
      </c>
      <c r="D33" s="174">
        <f t="shared" si="8"/>
        <v>0</v>
      </c>
      <c r="E33" s="174">
        <f t="shared" si="8"/>
        <v>0</v>
      </c>
      <c r="F33" s="174">
        <f t="shared" si="8"/>
        <v>0</v>
      </c>
      <c r="G33" s="174">
        <f t="shared" si="8"/>
        <v>0</v>
      </c>
      <c r="H33" s="174">
        <f t="shared" si="8"/>
        <v>0</v>
      </c>
      <c r="I33" s="174">
        <f t="shared" si="8"/>
        <v>0</v>
      </c>
      <c r="J33" s="174">
        <f t="shared" si="8"/>
        <v>0</v>
      </c>
      <c r="K33" s="174">
        <f t="shared" si="8"/>
        <v>0</v>
      </c>
      <c r="L33" s="174">
        <f t="shared" si="8"/>
        <v>0</v>
      </c>
      <c r="M33" s="174">
        <f t="shared" si="8"/>
        <v>0</v>
      </c>
      <c r="N33" s="174">
        <f t="shared" si="8"/>
        <v>0</v>
      </c>
      <c r="O33" s="174">
        <f t="shared" si="8"/>
        <v>0</v>
      </c>
      <c r="P33" s="174">
        <f t="shared" si="8"/>
        <v>0</v>
      </c>
      <c r="Q33" s="174">
        <f t="shared" si="8"/>
        <v>0</v>
      </c>
      <c r="R33" s="174">
        <f t="shared" si="8"/>
        <v>0</v>
      </c>
      <c r="S33" s="174">
        <f t="shared" si="8"/>
        <v>0</v>
      </c>
      <c r="T33" s="174">
        <f t="shared" si="8"/>
        <v>0</v>
      </c>
      <c r="U33" s="174">
        <f t="shared" si="8"/>
        <v>1</v>
      </c>
      <c r="V33" s="174">
        <f t="shared" si="8"/>
        <v>0</v>
      </c>
      <c r="W33" s="174">
        <f t="shared" si="8"/>
        <v>0</v>
      </c>
      <c r="X33" s="174">
        <f t="shared" si="8"/>
        <v>0</v>
      </c>
      <c r="Y33" s="191">
        <f t="shared" si="8"/>
        <v>0</v>
      </c>
    </row>
    <row r="34" spans="1:25" x14ac:dyDescent="0.35">
      <c r="A34" s="188" t="s">
        <v>35</v>
      </c>
      <c r="B34" s="174">
        <f>B22/$Z$22</f>
        <v>0.54487482286254141</v>
      </c>
      <c r="C34" s="174">
        <f t="shared" ref="C34:Y34" si="9">C22/$Z$22</f>
        <v>0</v>
      </c>
      <c r="D34" s="174">
        <f t="shared" si="9"/>
        <v>6.4950401511572983E-2</v>
      </c>
      <c r="E34" s="174">
        <f t="shared" si="9"/>
        <v>0</v>
      </c>
      <c r="F34" s="174">
        <f t="shared" si="9"/>
        <v>0</v>
      </c>
      <c r="G34" s="174">
        <f t="shared" si="9"/>
        <v>0</v>
      </c>
      <c r="H34" s="174">
        <f t="shared" si="9"/>
        <v>0</v>
      </c>
      <c r="I34" s="174">
        <f t="shared" si="9"/>
        <v>0</v>
      </c>
      <c r="J34" s="174">
        <f t="shared" si="9"/>
        <v>0</v>
      </c>
      <c r="K34" s="174">
        <f t="shared" si="9"/>
        <v>4.8653755314123769E-2</v>
      </c>
      <c r="L34" s="174">
        <f t="shared" si="9"/>
        <v>0</v>
      </c>
      <c r="M34" s="174">
        <f t="shared" si="9"/>
        <v>2.928672649976382E-2</v>
      </c>
      <c r="N34" s="174">
        <f t="shared" si="9"/>
        <v>0</v>
      </c>
      <c r="O34" s="174">
        <f t="shared" si="9"/>
        <v>0</v>
      </c>
      <c r="P34" s="174">
        <f t="shared" si="9"/>
        <v>0.11431270666036845</v>
      </c>
      <c r="Q34" s="174">
        <f t="shared" si="9"/>
        <v>7.3452999527633442E-2</v>
      </c>
      <c r="R34" s="174">
        <f t="shared" si="9"/>
        <v>0</v>
      </c>
      <c r="S34" s="174">
        <f t="shared" si="9"/>
        <v>0</v>
      </c>
      <c r="T34" s="174">
        <f t="shared" si="9"/>
        <v>8.030231459612661E-3</v>
      </c>
      <c r="U34" s="174">
        <f t="shared" si="9"/>
        <v>0</v>
      </c>
      <c r="V34" s="174">
        <f t="shared" si="9"/>
        <v>3.2829475673122346E-2</v>
      </c>
      <c r="W34" s="174">
        <f t="shared" si="9"/>
        <v>0</v>
      </c>
      <c r="X34" s="174">
        <f t="shared" si="9"/>
        <v>8.1247047709022219E-2</v>
      </c>
      <c r="Y34" s="196">
        <f t="shared" si="9"/>
        <v>2.3618327822390174E-3</v>
      </c>
    </row>
    <row r="35" spans="1:25" x14ac:dyDescent="0.35">
      <c r="A35" s="188" t="s">
        <v>39</v>
      </c>
      <c r="B35" s="174">
        <f>B24/$Z$24</f>
        <v>0.13905713172528603</v>
      </c>
      <c r="C35" s="174">
        <f t="shared" ref="C35:Y35" si="10">C24/$Z$24</f>
        <v>5.2993541836385313E-2</v>
      </c>
      <c r="D35" s="174">
        <f t="shared" si="10"/>
        <v>3.1972042172870994E-2</v>
      </c>
      <c r="E35" s="174">
        <f t="shared" si="10"/>
        <v>4.3914331928358065E-2</v>
      </c>
      <c r="F35" s="174">
        <f t="shared" si="10"/>
        <v>3.7072456581541693E-2</v>
      </c>
      <c r="G35" s="174">
        <f t="shared" si="10"/>
        <v>3.1558814153649986E-2</v>
      </c>
      <c r="H35" s="174">
        <f t="shared" si="10"/>
        <v>3.0059386769619476E-2</v>
      </c>
      <c r="I35" s="174">
        <f t="shared" si="10"/>
        <v>1.5862052680669193E-2</v>
      </c>
      <c r="J35" s="174">
        <f t="shared" si="10"/>
        <v>1.6352023046316958E-3</v>
      </c>
      <c r="K35" s="174">
        <f t="shared" si="10"/>
        <v>1.4793563088112022E-2</v>
      </c>
      <c r="L35" s="174">
        <f t="shared" si="10"/>
        <v>2.0136011050897889E-2</v>
      </c>
      <c r="M35" s="174">
        <f t="shared" si="10"/>
        <v>3.8766691460347814E-2</v>
      </c>
      <c r="N35" s="174">
        <f t="shared" si="10"/>
        <v>3.9357017202092115E-2</v>
      </c>
      <c r="O35" s="174">
        <f t="shared" si="10"/>
        <v>3.9238952053743253E-2</v>
      </c>
      <c r="P35" s="174">
        <f t="shared" si="10"/>
        <v>5.3359543796266777E-2</v>
      </c>
      <c r="Q35" s="174">
        <f t="shared" si="10"/>
        <v>5.0319366226283663E-2</v>
      </c>
      <c r="R35" s="174">
        <f t="shared" si="10"/>
        <v>0.12488931392342295</v>
      </c>
      <c r="S35" s="174">
        <f t="shared" si="10"/>
        <v>0.10160096341161051</v>
      </c>
      <c r="T35" s="174">
        <f t="shared" si="10"/>
        <v>3.955182469686773E-2</v>
      </c>
      <c r="U35" s="174">
        <f t="shared" si="10"/>
        <v>2.7036918971888688E-2</v>
      </c>
      <c r="V35" s="174">
        <f t="shared" si="10"/>
        <v>1.7396899609204361E-2</v>
      </c>
      <c r="W35" s="174">
        <f t="shared" si="10"/>
        <v>1.4899821721625994E-2</v>
      </c>
      <c r="X35" s="174">
        <f t="shared" si="10"/>
        <v>2.6871627764200282E-2</v>
      </c>
      <c r="Y35" s="196">
        <f t="shared" si="10"/>
        <v>7.6565248704234985E-3</v>
      </c>
    </row>
    <row r="36" spans="1:25" x14ac:dyDescent="0.35">
      <c r="A36" s="188" t="s">
        <v>40</v>
      </c>
      <c r="B36" s="174">
        <f>B26/$Z$26</f>
        <v>0.42454923667783451</v>
      </c>
      <c r="C36" s="174">
        <f t="shared" ref="C36:Y36" si="11">C26/$Z$26</f>
        <v>0.13426488125902269</v>
      </c>
      <c r="D36" s="174">
        <f t="shared" si="11"/>
        <v>3.7903555301331937E-2</v>
      </c>
      <c r="E36" s="174">
        <f t="shared" si="11"/>
        <v>4.4254092546077033E-2</v>
      </c>
      <c r="F36" s="174">
        <f t="shared" si="11"/>
        <v>3.47041275412985E-2</v>
      </c>
      <c r="G36" s="174">
        <f t="shared" si="11"/>
        <v>4.3619086192460688E-2</v>
      </c>
      <c r="H36" s="174">
        <f t="shared" si="11"/>
        <v>3.9573614905714226E-2</v>
      </c>
      <c r="I36" s="174">
        <f t="shared" si="11"/>
        <v>1.3702731285254285E-2</v>
      </c>
      <c r="J36" s="174">
        <f t="shared" si="11"/>
        <v>1.7344129151907681E-2</v>
      </c>
      <c r="K36" s="174">
        <f t="shared" si="11"/>
        <v>1.2711969786866664E-2</v>
      </c>
      <c r="L36" s="174">
        <f t="shared" si="11"/>
        <v>1.5088328886394024E-2</v>
      </c>
      <c r="M36" s="174">
        <f t="shared" si="11"/>
        <v>2.4007314060499694E-2</v>
      </c>
      <c r="N36" s="174">
        <f t="shared" si="11"/>
        <v>1.2528170857211206E-2</v>
      </c>
      <c r="O36" s="174">
        <f t="shared" si="11"/>
        <v>1.5889133243565553E-2</v>
      </c>
      <c r="P36" s="174">
        <f t="shared" si="11"/>
        <v>1.5960663239385081E-2</v>
      </c>
      <c r="Q36" s="174">
        <f t="shared" si="11"/>
        <v>2.0061558430177137E-2</v>
      </c>
      <c r="R36" s="174">
        <f t="shared" si="11"/>
        <v>3.1603941729107382E-2</v>
      </c>
      <c r="S36" s="174">
        <f t="shared" si="11"/>
        <v>2.111840227569603E-2</v>
      </c>
      <c r="T36" s="174">
        <f t="shared" si="11"/>
        <v>1.1958536287853757E-2</v>
      </c>
      <c r="U36" s="174">
        <f t="shared" si="11"/>
        <v>1.0968485352338525E-2</v>
      </c>
      <c r="V36" s="174">
        <f t="shared" si="11"/>
        <v>6.8834593990296103E-3</v>
      </c>
      <c r="W36" s="174">
        <f t="shared" si="11"/>
        <v>5.4365165365744487E-3</v>
      </c>
      <c r="X36" s="174">
        <f t="shared" si="11"/>
        <v>4.8964887535661384E-3</v>
      </c>
      <c r="Y36" s="196">
        <f t="shared" si="11"/>
        <v>9.7157630083337181E-4</v>
      </c>
    </row>
  </sheetData>
  <hyperlinks>
    <hyperlink ref="B1" location="ÍNDICE!A1" display="ÍNDICE!A1" xr:uid="{E573E0DF-5DC2-43B6-87C2-9E7420DC7A3A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pageSetUpPr autoPageBreaks="0"/>
  </sheetPr>
  <dimension ref="A1:AA46"/>
  <sheetViews>
    <sheetView topLeftCell="Y27" zoomScale="70" zoomScaleNormal="70" workbookViewId="0">
      <selection activeCell="AK47" sqref="AK47"/>
    </sheetView>
  </sheetViews>
  <sheetFormatPr baseColWidth="10" defaultRowHeight="14.5" x14ac:dyDescent="0.35"/>
  <cols>
    <col min="1" max="1" width="25.1796875" customWidth="1"/>
    <col min="2" max="24" width="10.26953125" customWidth="1"/>
    <col min="25" max="25" width="17.453125" customWidth="1"/>
    <col min="26" max="26" width="16.1796875" customWidth="1"/>
    <col min="27" max="27" width="15.1796875" customWidth="1"/>
  </cols>
  <sheetData>
    <row r="1" spans="1:27" ht="21" x14ac:dyDescent="0.5">
      <c r="A1" s="337" t="s">
        <v>80</v>
      </c>
      <c r="B1" s="338" t="s">
        <v>79</v>
      </c>
      <c r="F1" s="337"/>
      <c r="G1" s="338"/>
    </row>
    <row r="3" spans="1:27" ht="18.5" x14ac:dyDescent="0.45">
      <c r="A3" s="53" t="s">
        <v>46</v>
      </c>
      <c r="B3" s="54"/>
      <c r="C3" s="54"/>
      <c r="D3" s="54"/>
      <c r="E3" s="54"/>
      <c r="F3" s="54"/>
      <c r="G3" s="54"/>
      <c r="H3" s="54"/>
      <c r="K3" s="50"/>
      <c r="L3" s="48"/>
    </row>
    <row r="4" spans="1:27" ht="31" x14ac:dyDescent="0.35">
      <c r="A4" s="268" t="s">
        <v>134</v>
      </c>
      <c r="B4" s="177" t="s">
        <v>74</v>
      </c>
      <c r="C4" s="177">
        <v>2000</v>
      </c>
      <c r="D4" s="177">
        <v>2001</v>
      </c>
      <c r="E4" s="177">
        <v>2002</v>
      </c>
      <c r="F4" s="177">
        <v>2003</v>
      </c>
      <c r="G4" s="177">
        <v>2004</v>
      </c>
      <c r="H4" s="177">
        <v>2005</v>
      </c>
      <c r="I4" s="177">
        <v>2006</v>
      </c>
      <c r="J4" s="177">
        <v>2007</v>
      </c>
      <c r="K4" s="177">
        <v>2008</v>
      </c>
      <c r="L4" s="177">
        <v>2009</v>
      </c>
      <c r="M4" s="177">
        <v>2010</v>
      </c>
      <c r="N4" s="177">
        <v>2011</v>
      </c>
      <c r="O4" s="177">
        <v>2012</v>
      </c>
      <c r="P4" s="177">
        <v>2013</v>
      </c>
      <c r="Q4" s="177">
        <v>2014</v>
      </c>
      <c r="R4" s="177">
        <v>2015</v>
      </c>
      <c r="S4" s="177">
        <v>2016</v>
      </c>
      <c r="T4" s="177">
        <v>2017</v>
      </c>
      <c r="U4" s="177">
        <v>2018</v>
      </c>
      <c r="V4" s="177">
        <v>2019</v>
      </c>
      <c r="W4" s="177">
        <v>2020</v>
      </c>
      <c r="X4" s="177">
        <v>2021</v>
      </c>
      <c r="Y4" s="264" t="s">
        <v>75</v>
      </c>
      <c r="Z4" s="264" t="s">
        <v>73</v>
      </c>
      <c r="AA4" s="178" t="s">
        <v>76</v>
      </c>
    </row>
    <row r="5" spans="1:27" x14ac:dyDescent="0.35">
      <c r="A5" s="188" t="s">
        <v>6</v>
      </c>
      <c r="B5" s="180">
        <f>SUM(B6:B12)</f>
        <v>1609.6099999999997</v>
      </c>
      <c r="C5" s="180">
        <f t="shared" ref="C5:Y5" si="0">SUM(C6:C12)</f>
        <v>402.1</v>
      </c>
      <c r="D5" s="180">
        <f t="shared" si="0"/>
        <v>159.74</v>
      </c>
      <c r="E5" s="180">
        <f t="shared" si="0"/>
        <v>284.46000000000004</v>
      </c>
      <c r="F5" s="180">
        <f t="shared" si="0"/>
        <v>199.83</v>
      </c>
      <c r="G5" s="180">
        <f t="shared" si="0"/>
        <v>524.23</v>
      </c>
      <c r="H5" s="180">
        <f t="shared" si="0"/>
        <v>198.45999999999998</v>
      </c>
      <c r="I5" s="180">
        <f t="shared" si="0"/>
        <v>297.17</v>
      </c>
      <c r="J5" s="180">
        <f t="shared" si="0"/>
        <v>153.48000000000002</v>
      </c>
      <c r="K5" s="180">
        <f t="shared" si="0"/>
        <v>195.51999999999998</v>
      </c>
      <c r="L5" s="180">
        <f t="shared" si="0"/>
        <v>76.350000000000009</v>
      </c>
      <c r="M5" s="180">
        <f t="shared" si="0"/>
        <v>392.50000000000006</v>
      </c>
      <c r="N5" s="180">
        <f t="shared" si="0"/>
        <v>132.38</v>
      </c>
      <c r="O5" s="180">
        <f t="shared" si="0"/>
        <v>140.43</v>
      </c>
      <c r="P5" s="180">
        <f t="shared" si="0"/>
        <v>193.35</v>
      </c>
      <c r="Q5" s="180">
        <f t="shared" si="0"/>
        <v>132.94999999999999</v>
      </c>
      <c r="R5" s="180">
        <f t="shared" si="0"/>
        <v>298.73</v>
      </c>
      <c r="S5" s="180">
        <f t="shared" si="0"/>
        <v>215.81</v>
      </c>
      <c r="T5" s="180">
        <f t="shared" si="0"/>
        <v>138.35</v>
      </c>
      <c r="U5" s="180">
        <f t="shared" si="0"/>
        <v>162.04</v>
      </c>
      <c r="V5" s="180">
        <f t="shared" si="0"/>
        <v>277.87</v>
      </c>
      <c r="W5" s="180">
        <f t="shared" si="0"/>
        <v>117.86</v>
      </c>
      <c r="X5" s="180">
        <f t="shared" si="0"/>
        <v>51.79</v>
      </c>
      <c r="Y5" s="180">
        <f t="shared" si="0"/>
        <v>13.879999999999999</v>
      </c>
      <c r="Z5" s="180">
        <f>SUM(Z6:Z12)</f>
        <v>6368.8900000000012</v>
      </c>
      <c r="AA5" s="186">
        <f t="shared" ref="AA5:AA27" si="1">Z5/$Z$33</f>
        <v>0.64596808138385009</v>
      </c>
    </row>
    <row r="6" spans="1:27" x14ac:dyDescent="0.35">
      <c r="A6" s="193" t="s">
        <v>7</v>
      </c>
      <c r="B6" s="156">
        <v>333.30999999999983</v>
      </c>
      <c r="C6" s="156">
        <v>92.549999999999969</v>
      </c>
      <c r="D6" s="156">
        <v>53.43</v>
      </c>
      <c r="E6" s="156">
        <v>45.53</v>
      </c>
      <c r="F6" s="156">
        <v>20.82</v>
      </c>
      <c r="G6" s="156">
        <v>105.46000000000001</v>
      </c>
      <c r="H6" s="156">
        <v>73.25</v>
      </c>
      <c r="I6" s="156">
        <v>2.33</v>
      </c>
      <c r="J6" s="156">
        <v>11.95</v>
      </c>
      <c r="K6" s="156">
        <v>17.290000000000003</v>
      </c>
      <c r="L6" s="156">
        <v>9.26</v>
      </c>
      <c r="M6" s="156">
        <v>128.39000000000001</v>
      </c>
      <c r="N6" s="156">
        <v>49.940000000000005</v>
      </c>
      <c r="O6" s="156">
        <v>48.609999999999992</v>
      </c>
      <c r="P6" s="156">
        <v>73.929999999999993</v>
      </c>
      <c r="Q6" s="156">
        <v>67.09</v>
      </c>
      <c r="R6" s="156">
        <v>71.319999999999993</v>
      </c>
      <c r="S6" s="156">
        <v>80.299999999999983</v>
      </c>
      <c r="T6" s="156">
        <v>31.58</v>
      </c>
      <c r="U6" s="156">
        <v>53.239999999999995</v>
      </c>
      <c r="V6" s="156">
        <v>3.77</v>
      </c>
      <c r="W6" s="156">
        <v>5.67</v>
      </c>
      <c r="X6" s="156"/>
      <c r="Y6" s="156">
        <v>0.66</v>
      </c>
      <c r="Z6" s="156">
        <v>1379.6799999999998</v>
      </c>
      <c r="AA6" s="174">
        <f t="shared" si="1"/>
        <v>0.13993478338041165</v>
      </c>
    </row>
    <row r="7" spans="1:27" x14ac:dyDescent="0.35">
      <c r="A7" s="193" t="s">
        <v>8</v>
      </c>
      <c r="B7" s="156">
        <v>16.009999999999998</v>
      </c>
      <c r="C7" s="156">
        <v>1.47</v>
      </c>
      <c r="D7" s="156"/>
      <c r="E7" s="156">
        <v>8.3500000000000014</v>
      </c>
      <c r="F7" s="156">
        <v>48.160000000000004</v>
      </c>
      <c r="G7" s="156">
        <v>7.41</v>
      </c>
      <c r="H7" s="156">
        <v>11.44</v>
      </c>
      <c r="I7" s="156"/>
      <c r="J7" s="156">
        <v>0.79</v>
      </c>
      <c r="K7" s="156">
        <v>27.93</v>
      </c>
      <c r="L7" s="156"/>
      <c r="M7" s="156">
        <v>3.3400000000000003</v>
      </c>
      <c r="N7" s="156"/>
      <c r="O7" s="156">
        <v>5.49</v>
      </c>
      <c r="P7" s="156">
        <v>1.21</v>
      </c>
      <c r="Q7" s="156"/>
      <c r="R7" s="156"/>
      <c r="S7" s="156">
        <v>2.9099999999999997</v>
      </c>
      <c r="T7" s="156">
        <v>1.93</v>
      </c>
      <c r="U7" s="156"/>
      <c r="V7" s="156"/>
      <c r="W7" s="156"/>
      <c r="X7" s="156">
        <v>19.399999999999999</v>
      </c>
      <c r="Y7" s="156"/>
      <c r="Z7" s="156">
        <v>155.84000000000003</v>
      </c>
      <c r="AA7" s="174">
        <f t="shared" si="1"/>
        <v>1.5806155515774207E-2</v>
      </c>
    </row>
    <row r="8" spans="1:27" x14ac:dyDescent="0.35">
      <c r="A8" s="193" t="s">
        <v>9</v>
      </c>
      <c r="B8" s="156">
        <v>12.02</v>
      </c>
      <c r="C8" s="156"/>
      <c r="D8" s="156"/>
      <c r="E8" s="156"/>
      <c r="F8" s="156"/>
      <c r="G8" s="156"/>
      <c r="H8" s="156">
        <v>8.6999999999999993</v>
      </c>
      <c r="I8" s="156">
        <v>23.86</v>
      </c>
      <c r="J8" s="156"/>
      <c r="K8" s="156"/>
      <c r="L8" s="156"/>
      <c r="M8" s="156">
        <v>4</v>
      </c>
      <c r="N8" s="156">
        <v>1.41</v>
      </c>
      <c r="O8" s="156"/>
      <c r="P8" s="156"/>
      <c r="Q8" s="156"/>
      <c r="R8" s="156">
        <v>10.71</v>
      </c>
      <c r="S8" s="156"/>
      <c r="T8" s="156"/>
      <c r="U8" s="156"/>
      <c r="V8" s="156">
        <v>5.64</v>
      </c>
      <c r="W8" s="156"/>
      <c r="X8" s="156"/>
      <c r="Y8" s="156"/>
      <c r="Z8" s="156">
        <v>66.339999999999989</v>
      </c>
      <c r="AA8" s="174">
        <f t="shared" si="1"/>
        <v>6.7285700520820111E-3</v>
      </c>
    </row>
    <row r="9" spans="1:27" x14ac:dyDescent="0.35">
      <c r="A9" s="193" t="s">
        <v>10</v>
      </c>
      <c r="B9" s="156">
        <v>0.63000000000000012</v>
      </c>
      <c r="C9" s="156">
        <v>0.8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>
        <v>0.05</v>
      </c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>
        <v>0.03</v>
      </c>
      <c r="Z9" s="156">
        <v>1.5100000000000002</v>
      </c>
      <c r="AA9" s="174">
        <f t="shared" si="1"/>
        <v>1.5315255921983479E-4</v>
      </c>
    </row>
    <row r="10" spans="1:27" x14ac:dyDescent="0.35">
      <c r="A10" s="193" t="s">
        <v>11</v>
      </c>
      <c r="B10" s="156">
        <v>1014.9899999999997</v>
      </c>
      <c r="C10" s="156">
        <v>158.76</v>
      </c>
      <c r="D10" s="156">
        <v>96.43</v>
      </c>
      <c r="E10" s="156">
        <v>202.53</v>
      </c>
      <c r="F10" s="156">
        <v>83</v>
      </c>
      <c r="G10" s="156">
        <v>347.51000000000005</v>
      </c>
      <c r="H10" s="156">
        <v>68.48</v>
      </c>
      <c r="I10" s="156">
        <v>114.03</v>
      </c>
      <c r="J10" s="156">
        <v>87.300000000000011</v>
      </c>
      <c r="K10" s="156">
        <v>92.53</v>
      </c>
      <c r="L10" s="156">
        <v>49.010000000000005</v>
      </c>
      <c r="M10" s="156">
        <v>217.19</v>
      </c>
      <c r="N10" s="156">
        <v>71.78</v>
      </c>
      <c r="O10" s="156">
        <v>76.510000000000019</v>
      </c>
      <c r="P10" s="156">
        <v>101.4</v>
      </c>
      <c r="Q10" s="156">
        <v>32.349999999999994</v>
      </c>
      <c r="R10" s="156">
        <v>119.12</v>
      </c>
      <c r="S10" s="156">
        <v>103.73</v>
      </c>
      <c r="T10" s="156">
        <v>41.63</v>
      </c>
      <c r="U10" s="156">
        <v>44</v>
      </c>
      <c r="V10" s="156">
        <v>102.41999999999999</v>
      </c>
      <c r="W10" s="156">
        <v>32.049999999999997</v>
      </c>
      <c r="X10" s="156"/>
      <c r="Y10" s="156">
        <v>12.99</v>
      </c>
      <c r="Z10" s="156">
        <v>3269.7400000000007</v>
      </c>
      <c r="AA10" s="174">
        <f t="shared" si="1"/>
        <v>0.33163513177712756</v>
      </c>
    </row>
    <row r="11" spans="1:27" x14ac:dyDescent="0.35">
      <c r="A11" s="193" t="s">
        <v>13</v>
      </c>
      <c r="B11" s="156">
        <v>109.90000000000002</v>
      </c>
      <c r="C11" s="156">
        <v>11.32</v>
      </c>
      <c r="D11" s="156">
        <v>1.5</v>
      </c>
      <c r="E11" s="156"/>
      <c r="F11" s="156"/>
      <c r="G11" s="156"/>
      <c r="H11" s="156">
        <v>2.04</v>
      </c>
      <c r="I11" s="156">
        <v>1.81</v>
      </c>
      <c r="J11" s="156">
        <v>3.78</v>
      </c>
      <c r="K11" s="156">
        <v>1.97</v>
      </c>
      <c r="L11" s="156">
        <v>8.4599999999999991</v>
      </c>
      <c r="M11" s="156">
        <v>5.54</v>
      </c>
      <c r="N11" s="156"/>
      <c r="O11" s="156">
        <v>1</v>
      </c>
      <c r="P11" s="156">
        <v>1.71</v>
      </c>
      <c r="Q11" s="156">
        <v>10.620000000000001</v>
      </c>
      <c r="R11" s="156">
        <v>0.12</v>
      </c>
      <c r="S11" s="156">
        <v>2.5399999999999996</v>
      </c>
      <c r="T11" s="156">
        <v>1.2999999999999998</v>
      </c>
      <c r="U11" s="156">
        <v>6.43</v>
      </c>
      <c r="V11" s="156">
        <v>4.41</v>
      </c>
      <c r="W11" s="156">
        <v>10.050000000000001</v>
      </c>
      <c r="X11" s="156">
        <v>1.9</v>
      </c>
      <c r="Y11" s="156">
        <v>0.04</v>
      </c>
      <c r="Z11" s="156">
        <v>186.44000000000005</v>
      </c>
      <c r="AA11" s="174">
        <f t="shared" si="1"/>
        <v>1.8909776914533775E-2</v>
      </c>
    </row>
    <row r="12" spans="1:27" x14ac:dyDescent="0.35">
      <c r="A12" s="193" t="s">
        <v>14</v>
      </c>
      <c r="B12" s="156">
        <v>122.75</v>
      </c>
      <c r="C12" s="156">
        <v>137.20000000000002</v>
      </c>
      <c r="D12" s="156">
        <v>8.379999999999999</v>
      </c>
      <c r="E12" s="156">
        <v>28.050000000000004</v>
      </c>
      <c r="F12" s="156">
        <v>47.85</v>
      </c>
      <c r="G12" s="156">
        <v>63.849999999999994</v>
      </c>
      <c r="H12" s="156">
        <v>34.549999999999997</v>
      </c>
      <c r="I12" s="156">
        <v>155.14000000000001</v>
      </c>
      <c r="J12" s="156">
        <v>49.66</v>
      </c>
      <c r="K12" s="156">
        <v>55.8</v>
      </c>
      <c r="L12" s="156">
        <v>9.6199999999999992</v>
      </c>
      <c r="M12" s="156">
        <v>34.04</v>
      </c>
      <c r="N12" s="156">
        <v>9.1999999999999993</v>
      </c>
      <c r="O12" s="156">
        <v>8.82</v>
      </c>
      <c r="P12" s="156">
        <v>15.099999999999998</v>
      </c>
      <c r="Q12" s="156">
        <v>22.89</v>
      </c>
      <c r="R12" s="156">
        <v>97.45999999999998</v>
      </c>
      <c r="S12" s="156">
        <v>26.33</v>
      </c>
      <c r="T12" s="156">
        <v>61.91</v>
      </c>
      <c r="U12" s="156">
        <v>58.370000000000005</v>
      </c>
      <c r="V12" s="156">
        <v>161.63</v>
      </c>
      <c r="W12" s="156">
        <v>70.09</v>
      </c>
      <c r="X12" s="156">
        <v>30.490000000000002</v>
      </c>
      <c r="Y12" s="156">
        <v>0.15999999999999998</v>
      </c>
      <c r="Z12" s="156">
        <v>1309.3400000000004</v>
      </c>
      <c r="AA12" s="174">
        <f t="shared" si="1"/>
        <v>0.13280051118470099</v>
      </c>
    </row>
    <row r="13" spans="1:27" x14ac:dyDescent="0.35">
      <c r="A13" s="188" t="s">
        <v>16</v>
      </c>
      <c r="B13" s="180">
        <f>SUM(B14:B16)</f>
        <v>242.18999999999994</v>
      </c>
      <c r="C13" s="180">
        <f t="shared" ref="C13:Z13" si="2">SUM(C14:C16)</f>
        <v>49.41</v>
      </c>
      <c r="D13" s="180">
        <f t="shared" si="2"/>
        <v>13.600000000000001</v>
      </c>
      <c r="E13" s="180">
        <f t="shared" si="2"/>
        <v>21.380000000000003</v>
      </c>
      <c r="F13" s="180">
        <f t="shared" si="2"/>
        <v>33.61</v>
      </c>
      <c r="G13" s="180">
        <f t="shared" si="2"/>
        <v>10.059999999999999</v>
      </c>
      <c r="H13" s="180">
        <f t="shared" si="2"/>
        <v>30.869999999999997</v>
      </c>
      <c r="I13" s="180">
        <f t="shared" si="2"/>
        <v>0.24</v>
      </c>
      <c r="J13" s="180">
        <f t="shared" si="2"/>
        <v>4.2300000000000004</v>
      </c>
      <c r="K13" s="180">
        <f t="shared" si="2"/>
        <v>6.24</v>
      </c>
      <c r="L13" s="180">
        <f t="shared" si="2"/>
        <v>7.0200000000000005</v>
      </c>
      <c r="M13" s="180">
        <f t="shared" si="2"/>
        <v>47.839999999999989</v>
      </c>
      <c r="N13" s="180">
        <f t="shared" si="2"/>
        <v>34.03</v>
      </c>
      <c r="O13" s="180">
        <f t="shared" si="2"/>
        <v>24.139999999999997</v>
      </c>
      <c r="P13" s="180">
        <f t="shared" si="2"/>
        <v>20.309999999999999</v>
      </c>
      <c r="Q13" s="180">
        <f t="shared" si="2"/>
        <v>11.510000000000002</v>
      </c>
      <c r="R13" s="180">
        <f t="shared" si="2"/>
        <v>19.41</v>
      </c>
      <c r="S13" s="180">
        <f t="shared" si="2"/>
        <v>18.28</v>
      </c>
      <c r="T13" s="180">
        <f t="shared" si="2"/>
        <v>11.84</v>
      </c>
      <c r="U13" s="180">
        <f t="shared" si="2"/>
        <v>7.580000000000001</v>
      </c>
      <c r="V13" s="180">
        <f t="shared" si="2"/>
        <v>24.510000000000005</v>
      </c>
      <c r="W13" s="180">
        <f t="shared" si="2"/>
        <v>20.5</v>
      </c>
      <c r="X13" s="180">
        <f t="shared" si="2"/>
        <v>4.25</v>
      </c>
      <c r="Y13" s="180">
        <f t="shared" si="2"/>
        <v>2.9999999999999996</v>
      </c>
      <c r="Z13" s="180">
        <f t="shared" si="2"/>
        <v>666.04999999999973</v>
      </c>
      <c r="AA13" s="186">
        <f t="shared" si="1"/>
        <v>6.7554478190974113E-2</v>
      </c>
    </row>
    <row r="14" spans="1:27" x14ac:dyDescent="0.35">
      <c r="A14" s="193" t="s">
        <v>17</v>
      </c>
      <c r="B14" s="156">
        <v>49.219999999999992</v>
      </c>
      <c r="C14" s="156">
        <v>10.940000000000001</v>
      </c>
      <c r="D14" s="156">
        <v>1.71</v>
      </c>
      <c r="E14" s="156">
        <v>9.9600000000000009</v>
      </c>
      <c r="F14" s="156">
        <v>0.06</v>
      </c>
      <c r="G14" s="156">
        <v>0.21</v>
      </c>
      <c r="H14" s="156">
        <v>15.729999999999999</v>
      </c>
      <c r="I14" s="156">
        <v>0.24</v>
      </c>
      <c r="J14" s="156">
        <v>3.35</v>
      </c>
      <c r="K14" s="156"/>
      <c r="L14" s="156">
        <v>0.36</v>
      </c>
      <c r="M14" s="156">
        <v>35.659999999999997</v>
      </c>
      <c r="N14" s="156">
        <v>27.82</v>
      </c>
      <c r="O14" s="156">
        <v>20.79</v>
      </c>
      <c r="P14" s="156">
        <v>18.919999999999998</v>
      </c>
      <c r="Q14" s="156">
        <v>8.57</v>
      </c>
      <c r="R14" s="156">
        <v>5.01</v>
      </c>
      <c r="S14" s="156">
        <v>6.89</v>
      </c>
      <c r="T14" s="156">
        <v>9.1999999999999993</v>
      </c>
      <c r="U14" s="156">
        <v>3.1100000000000003</v>
      </c>
      <c r="V14" s="156">
        <v>18.740000000000002</v>
      </c>
      <c r="W14" s="156">
        <v>3.17</v>
      </c>
      <c r="X14" s="156">
        <v>1.1100000000000001</v>
      </c>
      <c r="Y14" s="156">
        <v>2.78</v>
      </c>
      <c r="Z14" s="156">
        <v>253.54999999999995</v>
      </c>
      <c r="AA14" s="174">
        <f t="shared" si="1"/>
        <v>2.5716444629264302E-2</v>
      </c>
    </row>
    <row r="15" spans="1:27" x14ac:dyDescent="0.35">
      <c r="A15" s="193" t="s">
        <v>18</v>
      </c>
      <c r="B15" s="156">
        <v>141.74999999999994</v>
      </c>
      <c r="C15" s="156">
        <v>14.879999999999999</v>
      </c>
      <c r="D15" s="156">
        <v>3.43</v>
      </c>
      <c r="E15" s="156">
        <v>0.34</v>
      </c>
      <c r="F15" s="156">
        <v>15.9</v>
      </c>
      <c r="G15" s="156">
        <v>4.1199999999999992</v>
      </c>
      <c r="H15" s="156">
        <v>3.32</v>
      </c>
      <c r="I15" s="156"/>
      <c r="J15" s="156">
        <v>0.72</v>
      </c>
      <c r="K15" s="156">
        <v>4.82</v>
      </c>
      <c r="L15" s="156">
        <v>4.4400000000000004</v>
      </c>
      <c r="M15" s="156">
        <v>2.37</v>
      </c>
      <c r="N15" s="156">
        <v>2.54</v>
      </c>
      <c r="O15" s="156">
        <v>0.22</v>
      </c>
      <c r="P15" s="156">
        <v>0.94</v>
      </c>
      <c r="Q15" s="156"/>
      <c r="R15" s="156">
        <v>8.44</v>
      </c>
      <c r="S15" s="156">
        <v>3.19</v>
      </c>
      <c r="T15" s="156">
        <v>1.5699999999999998</v>
      </c>
      <c r="U15" s="156">
        <v>1.44</v>
      </c>
      <c r="V15" s="156">
        <v>1.1000000000000001</v>
      </c>
      <c r="W15" s="156">
        <v>0.46</v>
      </c>
      <c r="X15" s="156">
        <v>0.72</v>
      </c>
      <c r="Y15" s="156">
        <v>0.17</v>
      </c>
      <c r="Z15" s="156">
        <v>216.87999999999991</v>
      </c>
      <c r="AA15" s="174">
        <f t="shared" si="1"/>
        <v>2.1997170227548178E-2</v>
      </c>
    </row>
    <row r="16" spans="1:27" x14ac:dyDescent="0.35">
      <c r="A16" s="193" t="s">
        <v>19</v>
      </c>
      <c r="B16" s="156">
        <v>51.22</v>
      </c>
      <c r="C16" s="156">
        <v>23.589999999999996</v>
      </c>
      <c r="D16" s="156">
        <v>8.4600000000000009</v>
      </c>
      <c r="E16" s="156">
        <v>11.08</v>
      </c>
      <c r="F16" s="156">
        <v>17.650000000000002</v>
      </c>
      <c r="G16" s="156">
        <v>5.73</v>
      </c>
      <c r="H16" s="156">
        <v>11.82</v>
      </c>
      <c r="I16" s="156"/>
      <c r="J16" s="156">
        <v>0.16</v>
      </c>
      <c r="K16" s="156">
        <v>1.42</v>
      </c>
      <c r="L16" s="156">
        <v>2.2199999999999998</v>
      </c>
      <c r="M16" s="156">
        <v>9.8099999999999987</v>
      </c>
      <c r="N16" s="156">
        <v>3.67</v>
      </c>
      <c r="O16" s="156">
        <v>3.13</v>
      </c>
      <c r="P16" s="156">
        <v>0.45</v>
      </c>
      <c r="Q16" s="156">
        <v>2.9400000000000004</v>
      </c>
      <c r="R16" s="156">
        <v>5.96</v>
      </c>
      <c r="S16" s="156">
        <v>8.1999999999999993</v>
      </c>
      <c r="T16" s="156">
        <v>1.07</v>
      </c>
      <c r="U16" s="156">
        <v>3.0300000000000002</v>
      </c>
      <c r="V16" s="156">
        <v>4.67</v>
      </c>
      <c r="W16" s="156">
        <v>16.87</v>
      </c>
      <c r="X16" s="156">
        <v>2.42</v>
      </c>
      <c r="Y16" s="156">
        <v>0.05</v>
      </c>
      <c r="Z16" s="156">
        <v>195.61999999999995</v>
      </c>
      <c r="AA16" s="174">
        <f t="shared" si="1"/>
        <v>1.9840863334161636E-2</v>
      </c>
    </row>
    <row r="17" spans="1:27" x14ac:dyDescent="0.35">
      <c r="A17" s="188" t="s">
        <v>43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6">
        <f t="shared" si="1"/>
        <v>0</v>
      </c>
    </row>
    <row r="18" spans="1:27" x14ac:dyDescent="0.35">
      <c r="A18" s="193" t="s">
        <v>44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74">
        <f t="shared" si="1"/>
        <v>0</v>
      </c>
    </row>
    <row r="19" spans="1:27" x14ac:dyDescent="0.35">
      <c r="A19" s="188" t="s">
        <v>20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6">
        <f t="shared" si="1"/>
        <v>0</v>
      </c>
    </row>
    <row r="20" spans="1:27" x14ac:dyDescent="0.35">
      <c r="A20" s="193" t="s">
        <v>20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74">
        <f t="shared" si="1"/>
        <v>0</v>
      </c>
    </row>
    <row r="21" spans="1:27" x14ac:dyDescent="0.35">
      <c r="A21" s="188" t="s">
        <v>23</v>
      </c>
      <c r="B21" s="180">
        <v>1.23</v>
      </c>
      <c r="C21" s="180"/>
      <c r="D21" s="180"/>
      <c r="E21" s="180"/>
      <c r="F21" s="180">
        <v>0.56999999999999995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>
        <v>1.7999999999999998</v>
      </c>
      <c r="AA21" s="186">
        <f t="shared" si="1"/>
        <v>1.825659646329156E-4</v>
      </c>
    </row>
    <row r="22" spans="1:27" x14ac:dyDescent="0.35">
      <c r="A22" s="193" t="s">
        <v>26</v>
      </c>
      <c r="B22" s="156">
        <v>1.23</v>
      </c>
      <c r="C22" s="156"/>
      <c r="D22" s="156"/>
      <c r="E22" s="156"/>
      <c r="F22" s="156">
        <v>0.56999999999999995</v>
      </c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>
        <v>1.7999999999999998</v>
      </c>
      <c r="AA22" s="174">
        <f t="shared" si="1"/>
        <v>1.825659646329156E-4</v>
      </c>
    </row>
    <row r="23" spans="1:27" x14ac:dyDescent="0.35">
      <c r="A23" s="188" t="s">
        <v>27</v>
      </c>
      <c r="B23" s="180">
        <f>SUM(B24:B25)</f>
        <v>0</v>
      </c>
      <c r="C23" s="180">
        <f t="shared" ref="C23:Z23" si="3">SUM(C24:C25)</f>
        <v>0.1</v>
      </c>
      <c r="D23" s="180">
        <f t="shared" si="3"/>
        <v>6.1</v>
      </c>
      <c r="E23" s="180">
        <f t="shared" si="3"/>
        <v>0</v>
      </c>
      <c r="F23" s="180">
        <f t="shared" si="3"/>
        <v>0</v>
      </c>
      <c r="G23" s="180">
        <f t="shared" si="3"/>
        <v>0</v>
      </c>
      <c r="H23" s="180">
        <f t="shared" si="3"/>
        <v>0</v>
      </c>
      <c r="I23" s="180">
        <f t="shared" si="3"/>
        <v>7.0000000000000007E-2</v>
      </c>
      <c r="J23" s="180">
        <f t="shared" si="3"/>
        <v>0</v>
      </c>
      <c r="K23" s="180">
        <f t="shared" si="3"/>
        <v>0.12</v>
      </c>
      <c r="L23" s="180">
        <f t="shared" si="3"/>
        <v>0</v>
      </c>
      <c r="M23" s="180">
        <f t="shared" si="3"/>
        <v>0</v>
      </c>
      <c r="N23" s="180">
        <f t="shared" si="3"/>
        <v>0</v>
      </c>
      <c r="O23" s="180">
        <f t="shared" si="3"/>
        <v>0</v>
      </c>
      <c r="P23" s="180">
        <f t="shared" si="3"/>
        <v>0</v>
      </c>
      <c r="Q23" s="180">
        <f t="shared" si="3"/>
        <v>7.0000000000000007E-2</v>
      </c>
      <c r="R23" s="180">
        <f t="shared" si="3"/>
        <v>0</v>
      </c>
      <c r="S23" s="180">
        <f t="shared" si="3"/>
        <v>0.01</v>
      </c>
      <c r="T23" s="180">
        <f t="shared" si="3"/>
        <v>0</v>
      </c>
      <c r="U23" s="180">
        <f t="shared" si="3"/>
        <v>0</v>
      </c>
      <c r="V23" s="180">
        <f t="shared" si="3"/>
        <v>0</v>
      </c>
      <c r="W23" s="180">
        <f t="shared" si="3"/>
        <v>0</v>
      </c>
      <c r="X23" s="180">
        <f t="shared" si="3"/>
        <v>0</v>
      </c>
      <c r="Y23" s="180">
        <f t="shared" si="3"/>
        <v>0.08</v>
      </c>
      <c r="Z23" s="180">
        <f t="shared" si="3"/>
        <v>6.55</v>
      </c>
      <c r="AA23" s="186">
        <f t="shared" si="1"/>
        <v>6.6433726019199846E-4</v>
      </c>
    </row>
    <row r="24" spans="1:27" x14ac:dyDescent="0.35">
      <c r="A24" s="193" t="s">
        <v>28</v>
      </c>
      <c r="B24" s="156"/>
      <c r="C24" s="156"/>
      <c r="D24" s="156">
        <v>6.1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>
        <v>7.0000000000000007E-2</v>
      </c>
      <c r="R24" s="156"/>
      <c r="S24" s="156"/>
      <c r="T24" s="156"/>
      <c r="U24" s="156"/>
      <c r="V24" s="156"/>
      <c r="W24" s="156"/>
      <c r="X24" s="156"/>
      <c r="Y24" s="156"/>
      <c r="Z24" s="156">
        <v>6.17</v>
      </c>
      <c r="AA24" s="174">
        <f t="shared" si="1"/>
        <v>6.2579555654727187E-4</v>
      </c>
    </row>
    <row r="25" spans="1:27" x14ac:dyDescent="0.35">
      <c r="A25" s="193" t="s">
        <v>29</v>
      </c>
      <c r="B25" s="156"/>
      <c r="C25" s="156">
        <v>0.1</v>
      </c>
      <c r="D25" s="156"/>
      <c r="E25" s="156"/>
      <c r="F25" s="156"/>
      <c r="G25" s="156"/>
      <c r="H25" s="156"/>
      <c r="I25" s="156">
        <v>7.0000000000000007E-2</v>
      </c>
      <c r="J25" s="156"/>
      <c r="K25" s="156">
        <v>0.12</v>
      </c>
      <c r="L25" s="156"/>
      <c r="M25" s="156"/>
      <c r="N25" s="156"/>
      <c r="O25" s="156"/>
      <c r="P25" s="156"/>
      <c r="Q25" s="156"/>
      <c r="R25" s="156"/>
      <c r="S25" s="156">
        <v>0.01</v>
      </c>
      <c r="T25" s="156"/>
      <c r="U25" s="156"/>
      <c r="V25" s="156"/>
      <c r="W25" s="156"/>
      <c r="X25" s="156"/>
      <c r="Y25" s="156">
        <v>0.08</v>
      </c>
      <c r="Z25" s="156">
        <v>0.38000000000000006</v>
      </c>
      <c r="AA25" s="174">
        <f t="shared" si="1"/>
        <v>3.8541703644726635E-5</v>
      </c>
    </row>
    <row r="26" spans="1:27" x14ac:dyDescent="0.35">
      <c r="A26" s="188" t="s">
        <v>35</v>
      </c>
      <c r="B26" s="180">
        <v>4.3800000000000008</v>
      </c>
      <c r="C26" s="180">
        <v>0.33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>
        <v>4.08</v>
      </c>
      <c r="O26" s="180"/>
      <c r="P26" s="180">
        <v>0.46</v>
      </c>
      <c r="Q26" s="180"/>
      <c r="R26" s="180"/>
      <c r="S26" s="180"/>
      <c r="T26" s="180"/>
      <c r="U26" s="180"/>
      <c r="V26" s="180"/>
      <c r="W26" s="180"/>
      <c r="X26" s="180"/>
      <c r="Y26" s="180">
        <v>0.4</v>
      </c>
      <c r="Z26" s="180">
        <v>9.6500000000000021</v>
      </c>
      <c r="AA26" s="186">
        <f t="shared" si="1"/>
        <v>9.7875642150424221E-4</v>
      </c>
    </row>
    <row r="27" spans="1:27" x14ac:dyDescent="0.35">
      <c r="A27" s="193" t="s">
        <v>35</v>
      </c>
      <c r="B27" s="156">
        <v>4.3800000000000008</v>
      </c>
      <c r="C27" s="156">
        <v>0.33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>
        <v>4.08</v>
      </c>
      <c r="O27" s="156"/>
      <c r="P27" s="156">
        <v>0.46</v>
      </c>
      <c r="Q27" s="156"/>
      <c r="R27" s="156"/>
      <c r="S27" s="156"/>
      <c r="T27" s="156"/>
      <c r="U27" s="156"/>
      <c r="V27" s="156"/>
      <c r="W27" s="156"/>
      <c r="X27" s="156"/>
      <c r="Y27" s="156">
        <v>0.4</v>
      </c>
      <c r="Z27" s="156">
        <v>9.6500000000000021</v>
      </c>
      <c r="AA27" s="174">
        <f t="shared" si="1"/>
        <v>9.7875642150424221E-4</v>
      </c>
    </row>
    <row r="28" spans="1:27" x14ac:dyDescent="0.35">
      <c r="A28" s="188" t="s">
        <v>36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6">
        <f t="shared" ref="AA28" si="4">Z28/$Z$33</f>
        <v>0</v>
      </c>
    </row>
    <row r="29" spans="1:27" x14ac:dyDescent="0.35">
      <c r="A29" s="193" t="s">
        <v>37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74">
        <f t="shared" ref="AA29:AA30" si="5">Z29/$Z$33</f>
        <v>0</v>
      </c>
    </row>
    <row r="30" spans="1:27" x14ac:dyDescent="0.35">
      <c r="A30" s="193" t="s">
        <v>38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74">
        <f t="shared" si="5"/>
        <v>0</v>
      </c>
    </row>
    <row r="31" spans="1:27" x14ac:dyDescent="0.35">
      <c r="A31" s="188" t="s">
        <v>39</v>
      </c>
      <c r="B31" s="180">
        <v>233.42</v>
      </c>
      <c r="C31" s="180">
        <v>191.33</v>
      </c>
      <c r="D31" s="180">
        <v>169.59</v>
      </c>
      <c r="E31" s="180">
        <v>52.72</v>
      </c>
      <c r="F31" s="180">
        <v>107.4</v>
      </c>
      <c r="G31" s="180">
        <v>158.41999999999999</v>
      </c>
      <c r="H31" s="180">
        <v>142.29</v>
      </c>
      <c r="I31" s="180">
        <v>112.11999999999999</v>
      </c>
      <c r="J31" s="180">
        <v>38.549999999999997</v>
      </c>
      <c r="K31" s="180">
        <v>67.38000000000001</v>
      </c>
      <c r="L31" s="180">
        <v>20.740000000000002</v>
      </c>
      <c r="M31" s="180">
        <v>124.00999999999999</v>
      </c>
      <c r="N31" s="180">
        <v>168.17</v>
      </c>
      <c r="O31" s="180">
        <v>123.77000000000001</v>
      </c>
      <c r="P31" s="180">
        <v>149.89999999999998</v>
      </c>
      <c r="Q31" s="180">
        <v>205</v>
      </c>
      <c r="R31" s="180">
        <v>289.37999999999988</v>
      </c>
      <c r="S31" s="180">
        <v>123.11000000000001</v>
      </c>
      <c r="T31" s="180">
        <v>56.329999999999991</v>
      </c>
      <c r="U31" s="180">
        <v>165.95</v>
      </c>
      <c r="V31" s="180">
        <v>63.779999999999994</v>
      </c>
      <c r="W31" s="180">
        <v>34.130000000000003</v>
      </c>
      <c r="X31" s="180">
        <v>6.7100000000000009</v>
      </c>
      <c r="Y31" s="180">
        <v>2.31</v>
      </c>
      <c r="Z31" s="180">
        <v>2806.5099999999998</v>
      </c>
      <c r="AA31" s="186">
        <f>Z31/$Z$33</f>
        <v>0.28465178077884662</v>
      </c>
    </row>
    <row r="32" spans="1:27" x14ac:dyDescent="0.35">
      <c r="A32" s="193" t="s">
        <v>39</v>
      </c>
      <c r="B32" s="156">
        <v>233.42</v>
      </c>
      <c r="C32" s="156">
        <v>191.33</v>
      </c>
      <c r="D32" s="156">
        <v>169.59</v>
      </c>
      <c r="E32" s="156">
        <v>52.72</v>
      </c>
      <c r="F32" s="156">
        <v>107.4</v>
      </c>
      <c r="G32" s="156">
        <v>158.41999999999999</v>
      </c>
      <c r="H32" s="156">
        <v>142.29</v>
      </c>
      <c r="I32" s="156">
        <v>112.11999999999999</v>
      </c>
      <c r="J32" s="156">
        <v>38.549999999999997</v>
      </c>
      <c r="K32" s="156">
        <v>67.38000000000001</v>
      </c>
      <c r="L32" s="156">
        <v>20.740000000000002</v>
      </c>
      <c r="M32" s="156">
        <v>124.00999999999999</v>
      </c>
      <c r="N32" s="156">
        <v>168.17</v>
      </c>
      <c r="O32" s="156">
        <v>123.77000000000001</v>
      </c>
      <c r="P32" s="156">
        <v>149.89999999999998</v>
      </c>
      <c r="Q32" s="156">
        <v>205</v>
      </c>
      <c r="R32" s="156">
        <v>289.37999999999988</v>
      </c>
      <c r="S32" s="156">
        <v>123.11000000000001</v>
      </c>
      <c r="T32" s="156">
        <v>56.329999999999991</v>
      </c>
      <c r="U32" s="156">
        <v>165.95</v>
      </c>
      <c r="V32" s="156">
        <v>63.779999999999994</v>
      </c>
      <c r="W32" s="156">
        <v>34.130000000000003</v>
      </c>
      <c r="X32" s="156">
        <v>6.7100000000000009</v>
      </c>
      <c r="Y32" s="156">
        <v>2.31</v>
      </c>
      <c r="Z32" s="156">
        <v>2806.5099999999998</v>
      </c>
      <c r="AA32" s="174">
        <f>Z32/$Z$33</f>
        <v>0.28465178077884662</v>
      </c>
    </row>
    <row r="33" spans="1:27" x14ac:dyDescent="0.35">
      <c r="A33" s="194" t="s">
        <v>40</v>
      </c>
      <c r="B33" s="184">
        <f t="shared" ref="B33:Z33" si="6">SUM(B5,B13,B17,B19,B21,B23,B26,B28,B31)</f>
        <v>2090.83</v>
      </c>
      <c r="C33" s="184">
        <f t="shared" si="6"/>
        <v>643.27</v>
      </c>
      <c r="D33" s="184">
        <f t="shared" si="6"/>
        <v>349.03</v>
      </c>
      <c r="E33" s="184">
        <f t="shared" si="6"/>
        <v>358.56000000000006</v>
      </c>
      <c r="F33" s="184">
        <f t="shared" si="6"/>
        <v>341.40999999999997</v>
      </c>
      <c r="G33" s="184">
        <f t="shared" si="6"/>
        <v>692.70999999999992</v>
      </c>
      <c r="H33" s="184">
        <f t="shared" si="6"/>
        <v>371.62</v>
      </c>
      <c r="I33" s="184">
        <f t="shared" si="6"/>
        <v>409.6</v>
      </c>
      <c r="J33" s="184">
        <f t="shared" si="6"/>
        <v>196.26</v>
      </c>
      <c r="K33" s="184">
        <f t="shared" si="6"/>
        <v>269.26</v>
      </c>
      <c r="L33" s="184">
        <f t="shared" si="6"/>
        <v>104.11000000000001</v>
      </c>
      <c r="M33" s="184">
        <f t="shared" si="6"/>
        <v>564.35</v>
      </c>
      <c r="N33" s="184">
        <f t="shared" si="6"/>
        <v>338.65999999999997</v>
      </c>
      <c r="O33" s="184">
        <f t="shared" si="6"/>
        <v>288.34000000000003</v>
      </c>
      <c r="P33" s="184">
        <f t="shared" si="6"/>
        <v>364.02</v>
      </c>
      <c r="Q33" s="184">
        <f t="shared" si="6"/>
        <v>349.53</v>
      </c>
      <c r="R33" s="184">
        <f t="shared" si="6"/>
        <v>607.52</v>
      </c>
      <c r="S33" s="184">
        <f t="shared" si="6"/>
        <v>357.21000000000004</v>
      </c>
      <c r="T33" s="184">
        <f t="shared" si="6"/>
        <v>206.51999999999998</v>
      </c>
      <c r="U33" s="184">
        <f t="shared" si="6"/>
        <v>335.57</v>
      </c>
      <c r="V33" s="184">
        <f t="shared" si="6"/>
        <v>366.15999999999997</v>
      </c>
      <c r="W33" s="184">
        <f t="shared" si="6"/>
        <v>172.49</v>
      </c>
      <c r="X33" s="184">
        <f t="shared" si="6"/>
        <v>62.75</v>
      </c>
      <c r="Y33" s="184">
        <f t="shared" si="6"/>
        <v>19.669999999999995</v>
      </c>
      <c r="Z33" s="184">
        <f t="shared" si="6"/>
        <v>9859.4500000000007</v>
      </c>
      <c r="AA33" s="187">
        <v>1</v>
      </c>
    </row>
    <row r="36" spans="1:27" ht="15.5" x14ac:dyDescent="0.35">
      <c r="A36" s="108" t="s">
        <v>110</v>
      </c>
      <c r="B36" s="189" t="s">
        <v>74</v>
      </c>
      <c r="C36" s="189">
        <v>2000</v>
      </c>
      <c r="D36" s="189">
        <v>2001</v>
      </c>
      <c r="E36" s="189">
        <v>2002</v>
      </c>
      <c r="F36" s="189">
        <v>2003</v>
      </c>
      <c r="G36" s="189">
        <v>2004</v>
      </c>
      <c r="H36" s="189">
        <v>2005</v>
      </c>
      <c r="I36" s="189">
        <v>2006</v>
      </c>
      <c r="J36" s="189">
        <v>2007</v>
      </c>
      <c r="K36" s="189">
        <v>2008</v>
      </c>
      <c r="L36" s="189">
        <v>2009</v>
      </c>
      <c r="M36" s="189">
        <v>2010</v>
      </c>
      <c r="N36" s="189">
        <v>2011</v>
      </c>
      <c r="O36" s="189">
        <v>2012</v>
      </c>
      <c r="P36" s="189">
        <v>2013</v>
      </c>
      <c r="Q36" s="189">
        <v>2014</v>
      </c>
      <c r="R36" s="189">
        <v>2015</v>
      </c>
      <c r="S36" s="189">
        <v>2016</v>
      </c>
      <c r="T36" s="189">
        <v>2017</v>
      </c>
      <c r="U36" s="189">
        <v>2018</v>
      </c>
      <c r="V36" s="189">
        <v>2019</v>
      </c>
      <c r="W36" s="189">
        <v>2020</v>
      </c>
      <c r="X36" s="189">
        <v>2021</v>
      </c>
      <c r="Y36" s="190" t="s">
        <v>75</v>
      </c>
    </row>
    <row r="37" spans="1:27" x14ac:dyDescent="0.35">
      <c r="A37" s="188" t="s">
        <v>6</v>
      </c>
      <c r="B37" s="174">
        <f t="shared" ref="B37:Y37" si="7">B5/$Z$5</f>
        <v>0.25273006756279343</v>
      </c>
      <c r="C37" s="174">
        <f t="shared" si="7"/>
        <v>6.3135020388168109E-2</v>
      </c>
      <c r="D37" s="174">
        <f t="shared" si="7"/>
        <v>2.5081293600611721E-2</v>
      </c>
      <c r="E37" s="174">
        <f t="shared" si="7"/>
        <v>4.4663983833917682E-2</v>
      </c>
      <c r="F37" s="174">
        <f t="shared" si="7"/>
        <v>3.1375954051647927E-2</v>
      </c>
      <c r="G37" s="174">
        <f t="shared" si="7"/>
        <v>8.2311046351876055E-2</v>
      </c>
      <c r="H37" s="174">
        <f t="shared" si="7"/>
        <v>3.1160845924486046E-2</v>
      </c>
      <c r="I37" s="174">
        <f t="shared" si="7"/>
        <v>4.665962200634647E-2</v>
      </c>
      <c r="J37" s="174">
        <f t="shared" si="7"/>
        <v>2.4098390771390303E-2</v>
      </c>
      <c r="K37" s="174">
        <f t="shared" si="7"/>
        <v>3.069922702386129E-2</v>
      </c>
      <c r="L37" s="174">
        <f t="shared" si="7"/>
        <v>1.1987960225408194E-2</v>
      </c>
      <c r="M37" s="174">
        <f t="shared" si="7"/>
        <v>6.1627693365719924E-2</v>
      </c>
      <c r="N37" s="174">
        <f t="shared" si="7"/>
        <v>2.0785411586634401E-2</v>
      </c>
      <c r="O37" s="174">
        <f t="shared" si="7"/>
        <v>2.2049368100249805E-2</v>
      </c>
      <c r="P37" s="174">
        <f t="shared" si="7"/>
        <v>3.0358508311495402E-2</v>
      </c>
      <c r="Q37" s="174">
        <f t="shared" si="7"/>
        <v>2.0874909128592262E-2</v>
      </c>
      <c r="R37" s="174">
        <f t="shared" si="7"/>
        <v>4.6904562647494298E-2</v>
      </c>
      <c r="S37" s="174">
        <f t="shared" si="7"/>
        <v>3.3885025491098127E-2</v>
      </c>
      <c r="T37" s="174">
        <f t="shared" si="7"/>
        <v>2.1722780578719365E-2</v>
      </c>
      <c r="U37" s="174">
        <f t="shared" si="7"/>
        <v>2.5442424033073261E-2</v>
      </c>
      <c r="V37" s="174">
        <f t="shared" si="7"/>
        <v>4.3629266638299601E-2</v>
      </c>
      <c r="W37" s="174">
        <f t="shared" si="7"/>
        <v>1.8505579465181526E-2</v>
      </c>
      <c r="X37" s="174">
        <f t="shared" si="7"/>
        <v>8.1317152596449283E-3</v>
      </c>
      <c r="Y37" s="196">
        <f t="shared" si="7"/>
        <v>2.1793436532896622E-3</v>
      </c>
    </row>
    <row r="38" spans="1:27" x14ac:dyDescent="0.35">
      <c r="A38" s="188" t="s">
        <v>16</v>
      </c>
      <c r="B38" s="174">
        <f t="shared" ref="B38:Y38" si="8">B13/$Z$13</f>
        <v>0.36362134974851745</v>
      </c>
      <c r="C38" s="174">
        <f t="shared" si="8"/>
        <v>7.4183619848359764E-2</v>
      </c>
      <c r="D38" s="174">
        <f t="shared" si="8"/>
        <v>2.0418887470910602E-2</v>
      </c>
      <c r="E38" s="174">
        <f t="shared" si="8"/>
        <v>3.2099692215299166E-2</v>
      </c>
      <c r="F38" s="174">
        <f t="shared" si="8"/>
        <v>5.0461677051272448E-2</v>
      </c>
      <c r="G38" s="174">
        <f t="shared" si="8"/>
        <v>1.510397117333534E-2</v>
      </c>
      <c r="H38" s="174">
        <f t="shared" si="8"/>
        <v>4.6347871781397806E-2</v>
      </c>
      <c r="I38" s="174">
        <f t="shared" si="8"/>
        <v>3.6033330831018707E-4</v>
      </c>
      <c r="J38" s="174">
        <f t="shared" si="8"/>
        <v>6.3508745589670474E-3</v>
      </c>
      <c r="K38" s="174">
        <f t="shared" si="8"/>
        <v>9.3686660160648642E-3</v>
      </c>
      <c r="L38" s="174">
        <f t="shared" si="8"/>
        <v>1.0539749268072973E-2</v>
      </c>
      <c r="M38" s="174">
        <f t="shared" si="8"/>
        <v>7.1826439456497276E-2</v>
      </c>
      <c r="N38" s="174">
        <f t="shared" si="8"/>
        <v>5.1092260340815279E-2</v>
      </c>
      <c r="O38" s="174">
        <f t="shared" si="8"/>
        <v>3.6243525260866313E-2</v>
      </c>
      <c r="P38" s="174">
        <f t="shared" si="8"/>
        <v>3.049320621574958E-2</v>
      </c>
      <c r="Q38" s="174">
        <f t="shared" si="8"/>
        <v>1.7280984911042723E-2</v>
      </c>
      <c r="R38" s="174">
        <f t="shared" si="8"/>
        <v>2.9141956309586381E-2</v>
      </c>
      <c r="S38" s="174">
        <f t="shared" si="8"/>
        <v>2.7445386982959251E-2</v>
      </c>
      <c r="T38" s="174">
        <f t="shared" si="8"/>
        <v>1.7776443209969229E-2</v>
      </c>
      <c r="U38" s="174">
        <f t="shared" si="8"/>
        <v>1.138052698746341E-2</v>
      </c>
      <c r="V38" s="174">
        <f t="shared" si="8"/>
        <v>3.6799039111177864E-2</v>
      </c>
      <c r="W38" s="174">
        <f t="shared" si="8"/>
        <v>3.077847008482848E-2</v>
      </c>
      <c r="X38" s="174">
        <f t="shared" si="8"/>
        <v>6.380902334659563E-3</v>
      </c>
      <c r="Y38" s="196">
        <f t="shared" si="8"/>
        <v>4.5041663538773376E-3</v>
      </c>
    </row>
    <row r="39" spans="1:27" x14ac:dyDescent="0.35">
      <c r="A39" s="188" t="s">
        <v>43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91"/>
    </row>
    <row r="40" spans="1:27" x14ac:dyDescent="0.35">
      <c r="A40" s="188" t="s">
        <v>20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91"/>
    </row>
    <row r="41" spans="1:27" x14ac:dyDescent="0.35">
      <c r="A41" s="188" t="s">
        <v>23</v>
      </c>
      <c r="B41" s="174">
        <f t="shared" ref="B41:Y41" si="9">B21/$Z$21</f>
        <v>0.68333333333333335</v>
      </c>
      <c r="C41" s="174">
        <f t="shared" si="9"/>
        <v>0</v>
      </c>
      <c r="D41" s="174">
        <f t="shared" si="9"/>
        <v>0</v>
      </c>
      <c r="E41" s="174">
        <f t="shared" si="9"/>
        <v>0</v>
      </c>
      <c r="F41" s="174">
        <f t="shared" si="9"/>
        <v>0.31666666666666665</v>
      </c>
      <c r="G41" s="174">
        <f t="shared" si="9"/>
        <v>0</v>
      </c>
      <c r="H41" s="174">
        <f t="shared" si="9"/>
        <v>0</v>
      </c>
      <c r="I41" s="174">
        <f t="shared" si="9"/>
        <v>0</v>
      </c>
      <c r="J41" s="174">
        <f t="shared" si="9"/>
        <v>0</v>
      </c>
      <c r="K41" s="174">
        <f t="shared" si="9"/>
        <v>0</v>
      </c>
      <c r="L41" s="174">
        <f t="shared" si="9"/>
        <v>0</v>
      </c>
      <c r="M41" s="174">
        <f t="shared" si="9"/>
        <v>0</v>
      </c>
      <c r="N41" s="174">
        <f t="shared" si="9"/>
        <v>0</v>
      </c>
      <c r="O41" s="174">
        <f t="shared" si="9"/>
        <v>0</v>
      </c>
      <c r="P41" s="174">
        <f t="shared" si="9"/>
        <v>0</v>
      </c>
      <c r="Q41" s="174">
        <f t="shared" si="9"/>
        <v>0</v>
      </c>
      <c r="R41" s="174">
        <f t="shared" si="9"/>
        <v>0</v>
      </c>
      <c r="S41" s="174">
        <f t="shared" si="9"/>
        <v>0</v>
      </c>
      <c r="T41" s="174">
        <f t="shared" si="9"/>
        <v>0</v>
      </c>
      <c r="U41" s="174">
        <f t="shared" si="9"/>
        <v>0</v>
      </c>
      <c r="V41" s="174">
        <f t="shared" si="9"/>
        <v>0</v>
      </c>
      <c r="W41" s="174">
        <f t="shared" si="9"/>
        <v>0</v>
      </c>
      <c r="X41" s="174">
        <f t="shared" si="9"/>
        <v>0</v>
      </c>
      <c r="Y41" s="191">
        <f t="shared" si="9"/>
        <v>0</v>
      </c>
    </row>
    <row r="42" spans="1:27" x14ac:dyDescent="0.35">
      <c r="A42" s="188" t="s">
        <v>27</v>
      </c>
      <c r="B42" s="174">
        <f t="shared" ref="B42:Y42" si="10">B23/$Z$23</f>
        <v>0</v>
      </c>
      <c r="C42" s="174">
        <f t="shared" si="10"/>
        <v>1.5267175572519085E-2</v>
      </c>
      <c r="D42" s="174">
        <f t="shared" si="10"/>
        <v>0.93129770992366412</v>
      </c>
      <c r="E42" s="174">
        <f t="shared" si="10"/>
        <v>0</v>
      </c>
      <c r="F42" s="174">
        <f t="shared" si="10"/>
        <v>0</v>
      </c>
      <c r="G42" s="174">
        <f t="shared" si="10"/>
        <v>0</v>
      </c>
      <c r="H42" s="174">
        <f t="shared" si="10"/>
        <v>0</v>
      </c>
      <c r="I42" s="174">
        <f t="shared" si="10"/>
        <v>1.0687022900763361E-2</v>
      </c>
      <c r="J42" s="174">
        <f t="shared" si="10"/>
        <v>0</v>
      </c>
      <c r="K42" s="174">
        <f t="shared" si="10"/>
        <v>1.8320610687022901E-2</v>
      </c>
      <c r="L42" s="174">
        <f t="shared" si="10"/>
        <v>0</v>
      </c>
      <c r="M42" s="174">
        <f t="shared" si="10"/>
        <v>0</v>
      </c>
      <c r="N42" s="174">
        <f t="shared" si="10"/>
        <v>0</v>
      </c>
      <c r="O42" s="174">
        <f t="shared" si="10"/>
        <v>0</v>
      </c>
      <c r="P42" s="174">
        <f t="shared" si="10"/>
        <v>0</v>
      </c>
      <c r="Q42" s="174">
        <f t="shared" si="10"/>
        <v>1.0687022900763361E-2</v>
      </c>
      <c r="R42" s="174">
        <f t="shared" si="10"/>
        <v>0</v>
      </c>
      <c r="S42" s="174">
        <f t="shared" si="10"/>
        <v>1.5267175572519084E-3</v>
      </c>
      <c r="T42" s="174">
        <f t="shared" si="10"/>
        <v>0</v>
      </c>
      <c r="U42" s="174">
        <f t="shared" si="10"/>
        <v>0</v>
      </c>
      <c r="V42" s="174">
        <f t="shared" si="10"/>
        <v>0</v>
      </c>
      <c r="W42" s="174">
        <f t="shared" si="10"/>
        <v>0</v>
      </c>
      <c r="X42" s="174">
        <f t="shared" si="10"/>
        <v>0</v>
      </c>
      <c r="Y42" s="191">
        <f t="shared" si="10"/>
        <v>1.2213740458015267E-2</v>
      </c>
    </row>
    <row r="43" spans="1:27" x14ac:dyDescent="0.35">
      <c r="A43" s="188" t="s">
        <v>35</v>
      </c>
      <c r="B43" s="174">
        <f t="shared" ref="B43:Y43" si="11">B26/$Z$26</f>
        <v>0.45388601036269427</v>
      </c>
      <c r="C43" s="174">
        <f t="shared" si="11"/>
        <v>3.4196891191709836E-2</v>
      </c>
      <c r="D43" s="174">
        <f t="shared" si="11"/>
        <v>0</v>
      </c>
      <c r="E43" s="174">
        <f t="shared" si="11"/>
        <v>0</v>
      </c>
      <c r="F43" s="174">
        <f t="shared" si="11"/>
        <v>0</v>
      </c>
      <c r="G43" s="174">
        <f t="shared" si="11"/>
        <v>0</v>
      </c>
      <c r="H43" s="174">
        <f t="shared" si="11"/>
        <v>0</v>
      </c>
      <c r="I43" s="174">
        <f t="shared" si="11"/>
        <v>0</v>
      </c>
      <c r="J43" s="174">
        <f t="shared" si="11"/>
        <v>0</v>
      </c>
      <c r="K43" s="174">
        <f t="shared" si="11"/>
        <v>0</v>
      </c>
      <c r="L43" s="174">
        <f t="shared" si="11"/>
        <v>0</v>
      </c>
      <c r="M43" s="174">
        <f t="shared" si="11"/>
        <v>0</v>
      </c>
      <c r="N43" s="174">
        <f t="shared" si="11"/>
        <v>0.42279792746113981</v>
      </c>
      <c r="O43" s="174">
        <f t="shared" si="11"/>
        <v>0</v>
      </c>
      <c r="P43" s="174">
        <f t="shared" si="11"/>
        <v>4.7668393782383411E-2</v>
      </c>
      <c r="Q43" s="174">
        <f t="shared" si="11"/>
        <v>0</v>
      </c>
      <c r="R43" s="174">
        <f t="shared" si="11"/>
        <v>0</v>
      </c>
      <c r="S43" s="174">
        <f t="shared" si="11"/>
        <v>0</v>
      </c>
      <c r="T43" s="174">
        <f t="shared" si="11"/>
        <v>0</v>
      </c>
      <c r="U43" s="174">
        <f t="shared" si="11"/>
        <v>0</v>
      </c>
      <c r="V43" s="174">
        <f t="shared" si="11"/>
        <v>0</v>
      </c>
      <c r="W43" s="174">
        <f t="shared" si="11"/>
        <v>0</v>
      </c>
      <c r="X43" s="174">
        <f t="shared" si="11"/>
        <v>0</v>
      </c>
      <c r="Y43" s="191">
        <f t="shared" si="11"/>
        <v>4.1450777202072533E-2</v>
      </c>
    </row>
    <row r="44" spans="1:27" x14ac:dyDescent="0.35">
      <c r="A44" s="188" t="s">
        <v>36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91"/>
    </row>
    <row r="45" spans="1:27" x14ac:dyDescent="0.35">
      <c r="A45" s="188" t="s">
        <v>39</v>
      </c>
      <c r="B45" s="174">
        <f>B31/$Z$31</f>
        <v>8.3170913340768426E-2</v>
      </c>
      <c r="C45" s="174">
        <f t="shared" ref="C45:Y45" si="12">C31/$Z$31</f>
        <v>6.8173639146128118E-2</v>
      </c>
      <c r="D45" s="174">
        <f t="shared" si="12"/>
        <v>6.0427363522666949E-2</v>
      </c>
      <c r="E45" s="174">
        <f t="shared" si="12"/>
        <v>1.8784896544106384E-2</v>
      </c>
      <c r="F45" s="174">
        <f t="shared" si="12"/>
        <v>3.8268169363373017E-2</v>
      </c>
      <c r="G45" s="174">
        <f t="shared" si="12"/>
        <v>5.644733138310571E-2</v>
      </c>
      <c r="H45" s="174">
        <f t="shared" si="12"/>
        <v>5.0699979690077716E-2</v>
      </c>
      <c r="I45" s="174">
        <f t="shared" si="12"/>
        <v>3.9949973454575252E-2</v>
      </c>
      <c r="J45" s="174">
        <f t="shared" si="12"/>
        <v>1.3735921126238637E-2</v>
      </c>
      <c r="K45" s="174">
        <f t="shared" si="12"/>
        <v>2.4008466030764192E-2</v>
      </c>
      <c r="L45" s="174">
        <f t="shared" si="12"/>
        <v>7.3899611973589985E-3</v>
      </c>
      <c r="M45" s="174">
        <f t="shared" si="12"/>
        <v>4.418655198093005E-2</v>
      </c>
      <c r="N45" s="174">
        <f t="shared" si="12"/>
        <v>5.992139703760186E-2</v>
      </c>
      <c r="O45" s="174">
        <f t="shared" si="12"/>
        <v>4.4101036518665537E-2</v>
      </c>
      <c r="P45" s="174">
        <f t="shared" si="12"/>
        <v>5.3411532472715219E-2</v>
      </c>
      <c r="Q45" s="174">
        <f t="shared" si="12"/>
        <v>7.304445735094478E-2</v>
      </c>
      <c r="R45" s="174">
        <f t="shared" si="12"/>
        <v>0.10311026862544581</v>
      </c>
      <c r="S45" s="174">
        <f t="shared" si="12"/>
        <v>4.3865868997438107E-2</v>
      </c>
      <c r="T45" s="174">
        <f t="shared" si="12"/>
        <v>2.0071191622335213E-2</v>
      </c>
      <c r="U45" s="174">
        <f t="shared" si="12"/>
        <v>5.9130379011655049E-2</v>
      </c>
      <c r="V45" s="174">
        <f t="shared" si="12"/>
        <v>2.2725734096796377E-2</v>
      </c>
      <c r="W45" s="174">
        <f t="shared" si="12"/>
        <v>1.216101136286705E-2</v>
      </c>
      <c r="X45" s="174">
        <f t="shared" si="12"/>
        <v>2.3908697991455586E-3</v>
      </c>
      <c r="Y45" s="196">
        <f t="shared" si="12"/>
        <v>8.2308632429601181E-4</v>
      </c>
    </row>
    <row r="46" spans="1:27" x14ac:dyDescent="0.35">
      <c r="A46" s="188" t="s">
        <v>40</v>
      </c>
      <c r="B46" s="174">
        <f>B33/$Z$33</f>
        <v>0.21206355324079942</v>
      </c>
      <c r="C46" s="174">
        <f t="shared" ref="C46:Y46" si="13">C33/$Z$33</f>
        <v>6.5244004483008683E-2</v>
      </c>
      <c r="D46" s="174">
        <f t="shared" si="13"/>
        <v>3.5400554797681408E-2</v>
      </c>
      <c r="E46" s="174">
        <f t="shared" si="13"/>
        <v>3.6367140154876798E-2</v>
      </c>
      <c r="F46" s="174">
        <f t="shared" si="13"/>
        <v>3.462769221406873E-2</v>
      </c>
      <c r="G46" s="174">
        <f t="shared" si="13"/>
        <v>7.0258482978259429E-2</v>
      </c>
      <c r="H46" s="174">
        <f t="shared" si="13"/>
        <v>3.7691757653824501E-2</v>
      </c>
      <c r="I46" s="174">
        <f t="shared" si="13"/>
        <v>4.1543899507579023E-2</v>
      </c>
      <c r="J46" s="174">
        <f t="shared" si="13"/>
        <v>1.9905775677142232E-2</v>
      </c>
      <c r="K46" s="174">
        <f t="shared" si="13"/>
        <v>2.7309839798366032E-2</v>
      </c>
      <c r="L46" s="174">
        <f t="shared" si="13"/>
        <v>1.0559412543296027E-2</v>
      </c>
      <c r="M46" s="174">
        <f t="shared" si="13"/>
        <v>5.7239501189214406E-2</v>
      </c>
      <c r="N46" s="174">
        <f t="shared" si="13"/>
        <v>3.4348771990323997E-2</v>
      </c>
      <c r="O46" s="174">
        <f t="shared" si="13"/>
        <v>2.9245039023474941E-2</v>
      </c>
      <c r="P46" s="174">
        <f t="shared" si="13"/>
        <v>3.6920923580929965E-2</v>
      </c>
      <c r="Q46" s="174">
        <f t="shared" si="13"/>
        <v>3.5451267565634992E-2</v>
      </c>
      <c r="R46" s="174">
        <f t="shared" si="13"/>
        <v>6.1618041574327161E-2</v>
      </c>
      <c r="S46" s="174">
        <f t="shared" si="13"/>
        <v>3.6230215681402105E-2</v>
      </c>
      <c r="T46" s="174">
        <f t="shared" si="13"/>
        <v>2.0946401675549849E-2</v>
      </c>
      <c r="U46" s="174">
        <f t="shared" si="13"/>
        <v>3.4035367084370827E-2</v>
      </c>
      <c r="V46" s="174">
        <f t="shared" si="13"/>
        <v>3.713797422777132E-2</v>
      </c>
      <c r="W46" s="174">
        <f t="shared" si="13"/>
        <v>1.7494890688628674E-2</v>
      </c>
      <c r="X46" s="174">
        <f t="shared" si="13"/>
        <v>6.3644523781752529E-3</v>
      </c>
      <c r="Y46" s="196">
        <f t="shared" si="13"/>
        <v>1.9950402912941386E-3</v>
      </c>
    </row>
  </sheetData>
  <hyperlinks>
    <hyperlink ref="B1" location="ÍNDICE!A1" display="ÍNDICE!A1" xr:uid="{10664BC2-DB38-4181-AAA5-6255ED0169EF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pageSetUpPr autoPageBreaks="0"/>
  </sheetPr>
  <dimension ref="A1:AA36"/>
  <sheetViews>
    <sheetView topLeftCell="Z26" zoomScale="70" zoomScaleNormal="70" workbookViewId="0">
      <selection activeCell="AJ34" sqref="AJ34"/>
    </sheetView>
  </sheetViews>
  <sheetFormatPr baseColWidth="10" defaultRowHeight="14.5" x14ac:dyDescent="0.35"/>
  <cols>
    <col min="1" max="1" width="23.7265625" customWidth="1"/>
    <col min="2" max="24" width="10.26953125" customWidth="1"/>
    <col min="25" max="25" width="17.54296875" customWidth="1"/>
    <col min="26" max="26" width="17.26953125" customWidth="1"/>
    <col min="27" max="27" width="15.453125" customWidth="1"/>
  </cols>
  <sheetData>
    <row r="1" spans="1:27" ht="21" x14ac:dyDescent="0.5">
      <c r="A1" s="337" t="s">
        <v>80</v>
      </c>
      <c r="B1" s="338" t="s">
        <v>79</v>
      </c>
      <c r="F1" s="337"/>
      <c r="G1" s="338"/>
    </row>
    <row r="3" spans="1:27" ht="18.5" x14ac:dyDescent="0.45">
      <c r="A3" s="327" t="s">
        <v>118</v>
      </c>
      <c r="B3" s="327"/>
      <c r="C3" s="54"/>
      <c r="D3" s="54"/>
      <c r="E3" s="54"/>
      <c r="F3" s="54"/>
      <c r="G3" s="54"/>
      <c r="H3" s="54"/>
      <c r="K3" s="50"/>
      <c r="L3" s="48"/>
    </row>
    <row r="4" spans="1:27" ht="31" x14ac:dyDescent="0.35">
      <c r="A4" s="268" t="s">
        <v>134</v>
      </c>
      <c r="B4" s="177" t="s">
        <v>74</v>
      </c>
      <c r="C4" s="177">
        <v>2000</v>
      </c>
      <c r="D4" s="177">
        <v>2001</v>
      </c>
      <c r="E4" s="177">
        <v>2002</v>
      </c>
      <c r="F4" s="177">
        <v>2003</v>
      </c>
      <c r="G4" s="177">
        <v>2004</v>
      </c>
      <c r="H4" s="177">
        <v>2005</v>
      </c>
      <c r="I4" s="177">
        <v>2006</v>
      </c>
      <c r="J4" s="177">
        <v>2007</v>
      </c>
      <c r="K4" s="177">
        <v>2008</v>
      </c>
      <c r="L4" s="177">
        <v>2009</v>
      </c>
      <c r="M4" s="177">
        <v>2010</v>
      </c>
      <c r="N4" s="177">
        <v>2011</v>
      </c>
      <c r="O4" s="177">
        <v>2012</v>
      </c>
      <c r="P4" s="177">
        <v>2013</v>
      </c>
      <c r="Q4" s="177">
        <v>2014</v>
      </c>
      <c r="R4" s="177">
        <v>2015</v>
      </c>
      <c r="S4" s="177">
        <v>2016</v>
      </c>
      <c r="T4" s="177">
        <v>2017</v>
      </c>
      <c r="U4" s="177">
        <v>2018</v>
      </c>
      <c r="V4" s="177">
        <v>2019</v>
      </c>
      <c r="W4" s="177">
        <v>2020</v>
      </c>
      <c r="X4" s="177">
        <v>2021</v>
      </c>
      <c r="Y4" s="264" t="s">
        <v>75</v>
      </c>
      <c r="Z4" s="264" t="s">
        <v>73</v>
      </c>
      <c r="AA4" s="178" t="s">
        <v>76</v>
      </c>
    </row>
    <row r="5" spans="1:27" x14ac:dyDescent="0.35">
      <c r="A5" s="188" t="s">
        <v>6</v>
      </c>
      <c r="B5" s="180">
        <f>SUM(B6:B12)</f>
        <v>566.53999999999985</v>
      </c>
      <c r="C5" s="180">
        <f t="shared" ref="C5:Z5" si="0">SUM(C6:C12)</f>
        <v>146.54</v>
      </c>
      <c r="D5" s="180">
        <f t="shared" si="0"/>
        <v>86.52</v>
      </c>
      <c r="E5" s="180">
        <f t="shared" si="0"/>
        <v>140.85</v>
      </c>
      <c r="F5" s="180">
        <f t="shared" si="0"/>
        <v>134.4</v>
      </c>
      <c r="G5" s="180">
        <f t="shared" si="0"/>
        <v>317.40999999999997</v>
      </c>
      <c r="H5" s="180">
        <f t="shared" si="0"/>
        <v>228.33999999999997</v>
      </c>
      <c r="I5" s="180">
        <f t="shared" si="0"/>
        <v>90.33</v>
      </c>
      <c r="J5" s="180">
        <f t="shared" si="0"/>
        <v>197.06</v>
      </c>
      <c r="K5" s="180">
        <f t="shared" si="0"/>
        <v>221.6</v>
      </c>
      <c r="L5" s="180">
        <f t="shared" si="0"/>
        <v>116.49000000000001</v>
      </c>
      <c r="M5" s="180">
        <f t="shared" si="0"/>
        <v>328.7000000000001</v>
      </c>
      <c r="N5" s="180">
        <f t="shared" si="0"/>
        <v>120.32</v>
      </c>
      <c r="O5" s="180">
        <f t="shared" si="0"/>
        <v>277.28999999999996</v>
      </c>
      <c r="P5" s="180">
        <f t="shared" si="0"/>
        <v>114.18999999999998</v>
      </c>
      <c r="Q5" s="180">
        <f t="shared" si="0"/>
        <v>302.47000000000003</v>
      </c>
      <c r="R5" s="180">
        <f t="shared" si="0"/>
        <v>585.36000000000013</v>
      </c>
      <c r="S5" s="180">
        <f t="shared" si="0"/>
        <v>292.32999999999993</v>
      </c>
      <c r="T5" s="180">
        <f t="shared" si="0"/>
        <v>339.56</v>
      </c>
      <c r="U5" s="180">
        <f t="shared" si="0"/>
        <v>241.14999999999998</v>
      </c>
      <c r="V5" s="180">
        <f t="shared" si="0"/>
        <v>202.67000000000002</v>
      </c>
      <c r="W5" s="180">
        <f t="shared" si="0"/>
        <v>190.90999999999997</v>
      </c>
      <c r="X5" s="180">
        <f t="shared" si="0"/>
        <v>243.04000000000005</v>
      </c>
      <c r="Y5" s="180">
        <f t="shared" si="0"/>
        <v>0.29000000000000004</v>
      </c>
      <c r="Z5" s="180">
        <f t="shared" si="0"/>
        <v>5484.3600000000006</v>
      </c>
      <c r="AA5" s="186"/>
    </row>
    <row r="6" spans="1:27" x14ac:dyDescent="0.35">
      <c r="A6" s="193" t="s">
        <v>7</v>
      </c>
      <c r="B6" s="156">
        <v>133.70999999999998</v>
      </c>
      <c r="C6" s="156">
        <v>17.559999999999999</v>
      </c>
      <c r="D6" s="156">
        <v>76.47</v>
      </c>
      <c r="E6" s="156">
        <v>3.78</v>
      </c>
      <c r="F6" s="156"/>
      <c r="G6" s="156">
        <v>38.199999999999996</v>
      </c>
      <c r="H6" s="156">
        <v>4.0999999999999996</v>
      </c>
      <c r="I6" s="156"/>
      <c r="J6" s="156">
        <v>25.92</v>
      </c>
      <c r="K6" s="156">
        <v>5.45</v>
      </c>
      <c r="L6" s="156">
        <v>10.78</v>
      </c>
      <c r="M6" s="156">
        <v>69.98</v>
      </c>
      <c r="N6" s="156">
        <v>6.54</v>
      </c>
      <c r="O6" s="156">
        <v>3.07</v>
      </c>
      <c r="P6" s="156">
        <v>13.690000000000001</v>
      </c>
      <c r="Q6" s="156">
        <v>35.01</v>
      </c>
      <c r="R6" s="156">
        <v>11.11</v>
      </c>
      <c r="S6" s="156">
        <v>21.02</v>
      </c>
      <c r="T6" s="156">
        <v>9.59</v>
      </c>
      <c r="U6" s="156">
        <v>2.81</v>
      </c>
      <c r="V6" s="156">
        <v>2.23</v>
      </c>
      <c r="W6" s="156"/>
      <c r="X6" s="156">
        <v>10.79</v>
      </c>
      <c r="Y6" s="156">
        <v>6.9999999999999993E-2</v>
      </c>
      <c r="Z6" s="156">
        <v>501.88</v>
      </c>
      <c r="AA6" s="174"/>
    </row>
    <row r="7" spans="1:27" x14ac:dyDescent="0.35">
      <c r="A7" s="193" t="s">
        <v>8</v>
      </c>
      <c r="B7" s="156">
        <v>7.16</v>
      </c>
      <c r="C7" s="156">
        <v>1.1800000000000002</v>
      </c>
      <c r="D7" s="156"/>
      <c r="E7" s="156">
        <v>2.36</v>
      </c>
      <c r="F7" s="156">
        <v>0.93</v>
      </c>
      <c r="G7" s="156">
        <v>2.4500000000000002</v>
      </c>
      <c r="H7" s="156"/>
      <c r="I7" s="156"/>
      <c r="J7" s="156"/>
      <c r="K7" s="156"/>
      <c r="L7" s="156"/>
      <c r="M7" s="156">
        <v>0.03</v>
      </c>
      <c r="N7" s="156"/>
      <c r="O7" s="156">
        <v>4.4800000000000004</v>
      </c>
      <c r="P7" s="156"/>
      <c r="Q7" s="156">
        <v>6.78</v>
      </c>
      <c r="R7" s="156">
        <v>1.03</v>
      </c>
      <c r="S7" s="156"/>
      <c r="T7" s="156"/>
      <c r="U7" s="156"/>
      <c r="V7" s="156">
        <v>0.87</v>
      </c>
      <c r="W7" s="156"/>
      <c r="X7" s="156"/>
      <c r="Y7" s="156">
        <v>0.06</v>
      </c>
      <c r="Z7" s="156">
        <v>27.33</v>
      </c>
      <c r="AA7" s="174"/>
    </row>
    <row r="8" spans="1:27" x14ac:dyDescent="0.35">
      <c r="A8" s="193" t="s">
        <v>9</v>
      </c>
      <c r="B8" s="156">
        <v>7.0000000000000007E-2</v>
      </c>
      <c r="C8" s="156">
        <v>0.5</v>
      </c>
      <c r="D8" s="156"/>
      <c r="E8" s="156">
        <v>20.66</v>
      </c>
      <c r="F8" s="156">
        <v>22.19</v>
      </c>
      <c r="G8" s="156"/>
      <c r="H8" s="156"/>
      <c r="I8" s="156"/>
      <c r="J8" s="156">
        <v>33.68</v>
      </c>
      <c r="K8" s="156"/>
      <c r="L8" s="156"/>
      <c r="M8" s="156"/>
      <c r="N8" s="156">
        <v>2.17</v>
      </c>
      <c r="O8" s="156">
        <v>1.22</v>
      </c>
      <c r="P8" s="156"/>
      <c r="Q8" s="156">
        <v>0.05</v>
      </c>
      <c r="R8" s="156">
        <v>8.6999999999999993</v>
      </c>
      <c r="S8" s="156"/>
      <c r="T8" s="156"/>
      <c r="U8" s="156">
        <v>20.079999999999998</v>
      </c>
      <c r="V8" s="156"/>
      <c r="W8" s="156">
        <v>16.329999999999998</v>
      </c>
      <c r="X8" s="156"/>
      <c r="Y8" s="156">
        <v>0.05</v>
      </c>
      <c r="Z8" s="156">
        <v>125.69999999999999</v>
      </c>
      <c r="AA8" s="174"/>
    </row>
    <row r="9" spans="1:27" x14ac:dyDescent="0.35">
      <c r="A9" s="193" t="s">
        <v>10</v>
      </c>
      <c r="B9" s="156">
        <v>3.5100000000000002</v>
      </c>
      <c r="C9" s="156">
        <v>0.28999999999999998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>
        <v>3.8000000000000003</v>
      </c>
      <c r="AA9" s="174"/>
    </row>
    <row r="10" spans="1:27" x14ac:dyDescent="0.35">
      <c r="A10" s="193" t="s">
        <v>11</v>
      </c>
      <c r="B10" s="156">
        <v>346.15999999999997</v>
      </c>
      <c r="C10" s="156">
        <v>99.82</v>
      </c>
      <c r="D10" s="156">
        <v>10.050000000000001</v>
      </c>
      <c r="E10" s="156">
        <v>107.64</v>
      </c>
      <c r="F10" s="156">
        <v>53.32</v>
      </c>
      <c r="G10" s="156">
        <v>47.57</v>
      </c>
      <c r="H10" s="156">
        <v>138.04</v>
      </c>
      <c r="I10" s="156">
        <v>40.480000000000004</v>
      </c>
      <c r="J10" s="156">
        <v>62.150000000000013</v>
      </c>
      <c r="K10" s="156">
        <v>168.55</v>
      </c>
      <c r="L10" s="156">
        <v>84.02000000000001</v>
      </c>
      <c r="M10" s="156">
        <v>249.35000000000005</v>
      </c>
      <c r="N10" s="156">
        <v>67.83</v>
      </c>
      <c r="O10" s="156">
        <v>217.82</v>
      </c>
      <c r="P10" s="156">
        <v>87.82</v>
      </c>
      <c r="Q10" s="156">
        <v>160.30000000000001</v>
      </c>
      <c r="R10" s="156">
        <v>255.74</v>
      </c>
      <c r="S10" s="156">
        <v>127.32000000000001</v>
      </c>
      <c r="T10" s="156">
        <v>89.74</v>
      </c>
      <c r="U10" s="156">
        <v>112.92999999999999</v>
      </c>
      <c r="V10" s="156">
        <v>121.28000000000002</v>
      </c>
      <c r="W10" s="156">
        <v>96.45999999999998</v>
      </c>
      <c r="X10" s="156">
        <v>36.86</v>
      </c>
      <c r="Y10" s="156"/>
      <c r="Z10" s="156">
        <v>2781.25</v>
      </c>
      <c r="AA10" s="174"/>
    </row>
    <row r="11" spans="1:27" x14ac:dyDescent="0.35">
      <c r="A11" s="193" t="s">
        <v>13</v>
      </c>
      <c r="B11" s="156">
        <v>71.530000000000015</v>
      </c>
      <c r="C11" s="156">
        <v>0.16</v>
      </c>
      <c r="D11" s="156"/>
      <c r="E11" s="156"/>
      <c r="F11" s="156"/>
      <c r="G11" s="156"/>
      <c r="H11" s="156">
        <v>1.38</v>
      </c>
      <c r="I11" s="156"/>
      <c r="J11" s="156"/>
      <c r="K11" s="156">
        <v>16.16</v>
      </c>
      <c r="L11" s="156"/>
      <c r="M11" s="156">
        <v>7.29</v>
      </c>
      <c r="N11" s="156"/>
      <c r="O11" s="156">
        <v>0.44999999999999996</v>
      </c>
      <c r="P11" s="156">
        <v>3.3</v>
      </c>
      <c r="Q11" s="156">
        <v>3.85</v>
      </c>
      <c r="R11" s="156"/>
      <c r="S11" s="156"/>
      <c r="T11" s="156">
        <v>6.56</v>
      </c>
      <c r="U11" s="156"/>
      <c r="V11" s="156">
        <v>0.81</v>
      </c>
      <c r="W11" s="156"/>
      <c r="X11" s="156"/>
      <c r="Y11" s="156">
        <v>0.09</v>
      </c>
      <c r="Z11" s="156">
        <v>111.58000000000001</v>
      </c>
      <c r="AA11" s="174"/>
    </row>
    <row r="12" spans="1:27" x14ac:dyDescent="0.35">
      <c r="A12" s="193" t="s">
        <v>14</v>
      </c>
      <c r="B12" s="156">
        <v>4.4000000000000004</v>
      </c>
      <c r="C12" s="156">
        <v>27.03</v>
      </c>
      <c r="D12" s="156"/>
      <c r="E12" s="156">
        <v>6.41</v>
      </c>
      <c r="F12" s="156">
        <v>57.96</v>
      </c>
      <c r="G12" s="156">
        <v>229.18999999999997</v>
      </c>
      <c r="H12" s="156">
        <v>84.82</v>
      </c>
      <c r="I12" s="156">
        <v>49.849999999999994</v>
      </c>
      <c r="J12" s="156">
        <v>75.31</v>
      </c>
      <c r="K12" s="156">
        <v>31.440000000000005</v>
      </c>
      <c r="L12" s="156">
        <v>21.69</v>
      </c>
      <c r="M12" s="156">
        <v>2.0499999999999998</v>
      </c>
      <c r="N12" s="156">
        <v>43.78</v>
      </c>
      <c r="O12" s="156">
        <v>50.25</v>
      </c>
      <c r="P12" s="156">
        <v>9.3800000000000008</v>
      </c>
      <c r="Q12" s="156">
        <v>96.48</v>
      </c>
      <c r="R12" s="156">
        <v>308.78000000000009</v>
      </c>
      <c r="S12" s="156">
        <v>143.98999999999995</v>
      </c>
      <c r="T12" s="156">
        <v>233.67000000000002</v>
      </c>
      <c r="U12" s="156">
        <v>105.32999999999998</v>
      </c>
      <c r="V12" s="156">
        <v>77.47999999999999</v>
      </c>
      <c r="W12" s="156">
        <v>78.11999999999999</v>
      </c>
      <c r="X12" s="156">
        <v>195.39000000000004</v>
      </c>
      <c r="Y12" s="156">
        <v>0.02</v>
      </c>
      <c r="Z12" s="156">
        <v>1932.8200000000002</v>
      </c>
      <c r="AA12" s="174"/>
    </row>
    <row r="13" spans="1:27" x14ac:dyDescent="0.35">
      <c r="A13" s="188" t="s">
        <v>16</v>
      </c>
      <c r="B13" s="180">
        <f>SUM(B14:B16)</f>
        <v>4634.0999999999958</v>
      </c>
      <c r="C13" s="180">
        <f t="shared" ref="C13:Z13" si="1">SUM(C14:C16)</f>
        <v>1200.6500000000008</v>
      </c>
      <c r="D13" s="180">
        <f t="shared" si="1"/>
        <v>225.69</v>
      </c>
      <c r="E13" s="180">
        <f t="shared" si="1"/>
        <v>263.84999999999991</v>
      </c>
      <c r="F13" s="180">
        <f t="shared" si="1"/>
        <v>314.19999999999993</v>
      </c>
      <c r="G13" s="180">
        <f t="shared" si="1"/>
        <v>706.07000000000016</v>
      </c>
      <c r="H13" s="180">
        <f t="shared" si="1"/>
        <v>615.97</v>
      </c>
      <c r="I13" s="180">
        <f t="shared" si="1"/>
        <v>231.15999999999997</v>
      </c>
      <c r="J13" s="180">
        <f t="shared" si="1"/>
        <v>236.82999999999993</v>
      </c>
      <c r="K13" s="180">
        <f t="shared" si="1"/>
        <v>290.13000000000005</v>
      </c>
      <c r="L13" s="180">
        <f t="shared" si="1"/>
        <v>291.61</v>
      </c>
      <c r="M13" s="180">
        <f t="shared" si="1"/>
        <v>591.86000000000013</v>
      </c>
      <c r="N13" s="180">
        <f t="shared" si="1"/>
        <v>294.14999999999986</v>
      </c>
      <c r="O13" s="180">
        <f t="shared" si="1"/>
        <v>440.08000000000004</v>
      </c>
      <c r="P13" s="180">
        <f t="shared" si="1"/>
        <v>441.40000000000009</v>
      </c>
      <c r="Q13" s="180">
        <f t="shared" si="1"/>
        <v>610.38</v>
      </c>
      <c r="R13" s="180">
        <f t="shared" si="1"/>
        <v>657.15</v>
      </c>
      <c r="S13" s="180">
        <f t="shared" si="1"/>
        <v>435.72999999999996</v>
      </c>
      <c r="T13" s="180">
        <f t="shared" si="1"/>
        <v>550.48999999999978</v>
      </c>
      <c r="U13" s="180">
        <f t="shared" si="1"/>
        <v>631.07999999999993</v>
      </c>
      <c r="V13" s="180">
        <f t="shared" si="1"/>
        <v>405.36</v>
      </c>
      <c r="W13" s="180">
        <f t="shared" si="1"/>
        <v>461.19000000000011</v>
      </c>
      <c r="X13" s="180">
        <f t="shared" si="1"/>
        <v>262.39</v>
      </c>
      <c r="Y13" s="180">
        <f t="shared" si="1"/>
        <v>12.159999999999997</v>
      </c>
      <c r="Z13" s="180">
        <f t="shared" si="1"/>
        <v>14803.679999999997</v>
      </c>
      <c r="AA13" s="186"/>
    </row>
    <row r="14" spans="1:27" x14ac:dyDescent="0.35">
      <c r="A14" s="193" t="s">
        <v>17</v>
      </c>
      <c r="B14" s="156">
        <v>616.73</v>
      </c>
      <c r="C14" s="156">
        <v>168.47000000000003</v>
      </c>
      <c r="D14" s="156">
        <v>28.99</v>
      </c>
      <c r="E14" s="156">
        <v>39.830000000000005</v>
      </c>
      <c r="F14" s="156">
        <v>38.289999999999992</v>
      </c>
      <c r="G14" s="156">
        <v>262.52000000000015</v>
      </c>
      <c r="H14" s="156">
        <v>166.55</v>
      </c>
      <c r="I14" s="156">
        <v>59.11999999999999</v>
      </c>
      <c r="J14" s="156">
        <v>13.13</v>
      </c>
      <c r="K14" s="156">
        <v>74.479999999999976</v>
      </c>
      <c r="L14" s="156">
        <v>50.91</v>
      </c>
      <c r="M14" s="156">
        <v>232.59</v>
      </c>
      <c r="N14" s="156">
        <v>86.02</v>
      </c>
      <c r="O14" s="156">
        <v>69.25</v>
      </c>
      <c r="P14" s="156">
        <v>93.43</v>
      </c>
      <c r="Q14" s="156">
        <v>133.63999999999999</v>
      </c>
      <c r="R14" s="156">
        <v>201.34</v>
      </c>
      <c r="S14" s="156">
        <v>124.92000000000003</v>
      </c>
      <c r="T14" s="156">
        <v>112.11</v>
      </c>
      <c r="U14" s="156">
        <v>113.82000000000001</v>
      </c>
      <c r="V14" s="156">
        <v>49.89</v>
      </c>
      <c r="W14" s="156">
        <v>30.12</v>
      </c>
      <c r="X14" s="156">
        <v>32.299999999999997</v>
      </c>
      <c r="Y14" s="156">
        <v>4.5599999999999996</v>
      </c>
      <c r="Z14" s="156">
        <v>2803.0100000000007</v>
      </c>
      <c r="AA14" s="174"/>
    </row>
    <row r="15" spans="1:27" x14ac:dyDescent="0.35">
      <c r="A15" s="193" t="s">
        <v>18</v>
      </c>
      <c r="B15" s="156">
        <v>1031.7200000000005</v>
      </c>
      <c r="C15" s="156">
        <v>217.33000000000004</v>
      </c>
      <c r="D15" s="156">
        <v>55.889999999999993</v>
      </c>
      <c r="E15" s="156">
        <v>50.059999999999995</v>
      </c>
      <c r="F15" s="156">
        <v>65.260000000000019</v>
      </c>
      <c r="G15" s="156">
        <v>140.60999999999999</v>
      </c>
      <c r="H15" s="156">
        <v>100.99999999999999</v>
      </c>
      <c r="I15" s="156">
        <v>32.550000000000004</v>
      </c>
      <c r="J15" s="156">
        <v>46.260000000000005</v>
      </c>
      <c r="K15" s="156">
        <v>51.44</v>
      </c>
      <c r="L15" s="156">
        <v>81.990000000000023</v>
      </c>
      <c r="M15" s="156">
        <v>69.900000000000006</v>
      </c>
      <c r="N15" s="156">
        <v>23.91</v>
      </c>
      <c r="O15" s="156">
        <v>79.649999999999977</v>
      </c>
      <c r="P15" s="156">
        <v>68.150000000000006</v>
      </c>
      <c r="Q15" s="156">
        <v>109.71999999999997</v>
      </c>
      <c r="R15" s="156">
        <v>108.65</v>
      </c>
      <c r="S15" s="156">
        <v>68.050000000000011</v>
      </c>
      <c r="T15" s="156">
        <v>150.37999999999994</v>
      </c>
      <c r="U15" s="156">
        <v>175.27999999999997</v>
      </c>
      <c r="V15" s="156">
        <v>89.33</v>
      </c>
      <c r="W15" s="156">
        <v>131.96999999999997</v>
      </c>
      <c r="X15" s="156">
        <v>47.160000000000011</v>
      </c>
      <c r="Y15" s="156">
        <v>0.53</v>
      </c>
      <c r="Z15" s="156">
        <v>2996.7900000000009</v>
      </c>
      <c r="AA15" s="174"/>
    </row>
    <row r="16" spans="1:27" x14ac:dyDescent="0.35">
      <c r="A16" s="193" t="s">
        <v>19</v>
      </c>
      <c r="B16" s="156">
        <v>2985.6499999999951</v>
      </c>
      <c r="C16" s="156">
        <v>814.8500000000007</v>
      </c>
      <c r="D16" s="156">
        <v>140.81</v>
      </c>
      <c r="E16" s="156">
        <v>173.95999999999989</v>
      </c>
      <c r="F16" s="156">
        <v>210.64999999999995</v>
      </c>
      <c r="G16" s="156">
        <v>302.94000000000011</v>
      </c>
      <c r="H16" s="156">
        <v>348.41999999999996</v>
      </c>
      <c r="I16" s="156">
        <v>139.48999999999998</v>
      </c>
      <c r="J16" s="156">
        <v>177.43999999999991</v>
      </c>
      <c r="K16" s="156">
        <v>164.21000000000009</v>
      </c>
      <c r="L16" s="156">
        <v>158.71</v>
      </c>
      <c r="M16" s="156">
        <v>289.37000000000012</v>
      </c>
      <c r="N16" s="156">
        <v>184.21999999999989</v>
      </c>
      <c r="O16" s="156">
        <v>291.18000000000006</v>
      </c>
      <c r="P16" s="156">
        <v>279.82000000000005</v>
      </c>
      <c r="Q16" s="156">
        <v>367.02000000000004</v>
      </c>
      <c r="R16" s="156">
        <v>347.15999999999997</v>
      </c>
      <c r="S16" s="156">
        <v>242.75999999999993</v>
      </c>
      <c r="T16" s="156">
        <v>287.99999999999989</v>
      </c>
      <c r="U16" s="156">
        <v>341.97999999999996</v>
      </c>
      <c r="V16" s="156">
        <v>266.14000000000004</v>
      </c>
      <c r="W16" s="156">
        <v>299.10000000000014</v>
      </c>
      <c r="X16" s="156">
        <v>182.92999999999998</v>
      </c>
      <c r="Y16" s="156">
        <v>7.0699999999999967</v>
      </c>
      <c r="Z16" s="156">
        <v>9003.8799999999956</v>
      </c>
      <c r="AA16" s="174"/>
    </row>
    <row r="17" spans="1:27" x14ac:dyDescent="0.35">
      <c r="A17" s="188" t="s">
        <v>23</v>
      </c>
      <c r="B17" s="180">
        <v>71.760000000000019</v>
      </c>
      <c r="C17" s="180">
        <v>27</v>
      </c>
      <c r="D17" s="180">
        <v>2.97</v>
      </c>
      <c r="E17" s="180">
        <v>1.49</v>
      </c>
      <c r="F17" s="180">
        <v>4.84</v>
      </c>
      <c r="G17" s="180">
        <v>2.38</v>
      </c>
      <c r="H17" s="180">
        <v>4.28</v>
      </c>
      <c r="I17" s="180">
        <v>27.87</v>
      </c>
      <c r="J17" s="180">
        <v>0.34</v>
      </c>
      <c r="K17" s="180">
        <v>4.7700000000000005</v>
      </c>
      <c r="L17" s="180">
        <v>1.04</v>
      </c>
      <c r="M17" s="180">
        <v>16.91</v>
      </c>
      <c r="N17" s="180">
        <v>4.4399999999999995</v>
      </c>
      <c r="O17" s="180">
        <v>1.3</v>
      </c>
      <c r="P17" s="180">
        <v>1.47</v>
      </c>
      <c r="Q17" s="180">
        <v>2.17</v>
      </c>
      <c r="R17" s="180">
        <v>0.15</v>
      </c>
      <c r="S17" s="180">
        <v>14.600000000000001</v>
      </c>
      <c r="T17" s="180">
        <v>15.860000000000001</v>
      </c>
      <c r="U17" s="180">
        <v>9.66</v>
      </c>
      <c r="V17" s="180">
        <v>18.340000000000003</v>
      </c>
      <c r="W17" s="180">
        <v>16.75</v>
      </c>
      <c r="X17" s="180">
        <v>14.120000000000001</v>
      </c>
      <c r="Y17" s="180"/>
      <c r="Z17" s="180">
        <v>264.51</v>
      </c>
      <c r="AA17" s="186"/>
    </row>
    <row r="18" spans="1:27" x14ac:dyDescent="0.35">
      <c r="A18" s="193" t="s">
        <v>26</v>
      </c>
      <c r="B18" s="156">
        <v>71.760000000000019</v>
      </c>
      <c r="C18" s="156">
        <v>27</v>
      </c>
      <c r="D18" s="156">
        <v>2.97</v>
      </c>
      <c r="E18" s="156">
        <v>1.49</v>
      </c>
      <c r="F18" s="156">
        <v>4.84</v>
      </c>
      <c r="G18" s="156">
        <v>2.38</v>
      </c>
      <c r="H18" s="156">
        <v>4.28</v>
      </c>
      <c r="I18" s="156">
        <v>27.87</v>
      </c>
      <c r="J18" s="156">
        <v>0.34</v>
      </c>
      <c r="K18" s="156">
        <v>4.7700000000000005</v>
      </c>
      <c r="L18" s="156">
        <v>1.04</v>
      </c>
      <c r="M18" s="156">
        <v>16.91</v>
      </c>
      <c r="N18" s="156">
        <v>4.4399999999999995</v>
      </c>
      <c r="O18" s="156">
        <v>1.3</v>
      </c>
      <c r="P18" s="156">
        <v>1.47</v>
      </c>
      <c r="Q18" s="156">
        <v>2.17</v>
      </c>
      <c r="R18" s="156">
        <v>0.15</v>
      </c>
      <c r="S18" s="156">
        <v>14.600000000000001</v>
      </c>
      <c r="T18" s="156">
        <v>15.860000000000001</v>
      </c>
      <c r="U18" s="156">
        <v>9.66</v>
      </c>
      <c r="V18" s="156">
        <v>18.340000000000003</v>
      </c>
      <c r="W18" s="156">
        <v>16.75</v>
      </c>
      <c r="X18" s="156">
        <v>14.120000000000001</v>
      </c>
      <c r="Y18" s="156"/>
      <c r="Z18" s="156">
        <v>264.51</v>
      </c>
      <c r="AA18" s="174"/>
    </row>
    <row r="19" spans="1:27" x14ac:dyDescent="0.35">
      <c r="A19" s="188" t="s">
        <v>27</v>
      </c>
      <c r="B19" s="180">
        <f>SUM(B20:B21)</f>
        <v>0.13</v>
      </c>
      <c r="C19" s="180">
        <f t="shared" ref="C19:Z19" si="2">SUM(C20:C21)</f>
        <v>0</v>
      </c>
      <c r="D19" s="180">
        <f t="shared" si="2"/>
        <v>0</v>
      </c>
      <c r="E19" s="180">
        <f t="shared" si="2"/>
        <v>0</v>
      </c>
      <c r="F19" s="180">
        <f t="shared" si="2"/>
        <v>0</v>
      </c>
      <c r="G19" s="180">
        <f t="shared" si="2"/>
        <v>0.24</v>
      </c>
      <c r="H19" s="180">
        <f t="shared" si="2"/>
        <v>0</v>
      </c>
      <c r="I19" s="180">
        <f t="shared" si="2"/>
        <v>0</v>
      </c>
      <c r="J19" s="180">
        <f t="shared" si="2"/>
        <v>0</v>
      </c>
      <c r="K19" s="180">
        <f t="shared" si="2"/>
        <v>0</v>
      </c>
      <c r="L19" s="180">
        <f t="shared" si="2"/>
        <v>0</v>
      </c>
      <c r="M19" s="180">
        <f t="shared" si="2"/>
        <v>0.06</v>
      </c>
      <c r="N19" s="180">
        <f t="shared" si="2"/>
        <v>0</v>
      </c>
      <c r="O19" s="180">
        <f t="shared" si="2"/>
        <v>0</v>
      </c>
      <c r="P19" s="180">
        <f t="shared" si="2"/>
        <v>0</v>
      </c>
      <c r="Q19" s="180">
        <f t="shared" si="2"/>
        <v>0</v>
      </c>
      <c r="R19" s="180">
        <f t="shared" si="2"/>
        <v>0</v>
      </c>
      <c r="S19" s="180">
        <f t="shared" si="2"/>
        <v>0</v>
      </c>
      <c r="T19" s="180">
        <f t="shared" si="2"/>
        <v>0</v>
      </c>
      <c r="U19" s="180">
        <f t="shared" si="2"/>
        <v>0</v>
      </c>
      <c r="V19" s="180">
        <f t="shared" si="2"/>
        <v>0</v>
      </c>
      <c r="W19" s="180">
        <f t="shared" si="2"/>
        <v>0</v>
      </c>
      <c r="X19" s="180">
        <f t="shared" si="2"/>
        <v>0</v>
      </c>
      <c r="Y19" s="180">
        <f t="shared" si="2"/>
        <v>0</v>
      </c>
      <c r="Z19" s="180">
        <f t="shared" si="2"/>
        <v>0.43</v>
      </c>
      <c r="AA19" s="186"/>
    </row>
    <row r="20" spans="1:27" x14ac:dyDescent="0.35">
      <c r="A20" s="193" t="s">
        <v>28</v>
      </c>
      <c r="B20" s="156"/>
      <c r="C20" s="156"/>
      <c r="D20" s="156"/>
      <c r="E20" s="156"/>
      <c r="F20" s="156"/>
      <c r="G20" s="156">
        <v>0.24</v>
      </c>
      <c r="H20" s="156"/>
      <c r="I20" s="156"/>
      <c r="J20" s="156"/>
      <c r="K20" s="156"/>
      <c r="L20" s="156"/>
      <c r="M20" s="156">
        <v>0.06</v>
      </c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>
        <v>0.3</v>
      </c>
      <c r="AA20" s="174"/>
    </row>
    <row r="21" spans="1:27" x14ac:dyDescent="0.35">
      <c r="A21" s="193" t="s">
        <v>29</v>
      </c>
      <c r="B21" s="156">
        <v>0.13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>
        <v>0.13</v>
      </c>
      <c r="AA21" s="174"/>
    </row>
    <row r="22" spans="1:27" x14ac:dyDescent="0.35">
      <c r="A22" s="188" t="s">
        <v>35</v>
      </c>
      <c r="B22" s="180">
        <v>0.41000000000000003</v>
      </c>
      <c r="C22" s="180">
        <v>0.01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>
        <v>0.42000000000000004</v>
      </c>
      <c r="AA22" s="186"/>
    </row>
    <row r="23" spans="1:27" x14ac:dyDescent="0.35">
      <c r="A23" s="193" t="s">
        <v>35</v>
      </c>
      <c r="B23" s="156">
        <v>0.41000000000000003</v>
      </c>
      <c r="C23" s="156">
        <v>0.01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>
        <v>0.42000000000000004</v>
      </c>
      <c r="AA23" s="174"/>
    </row>
    <row r="24" spans="1:27" x14ac:dyDescent="0.35">
      <c r="A24" s="188" t="s">
        <v>39</v>
      </c>
      <c r="B24" s="180">
        <v>106.41000000000001</v>
      </c>
      <c r="C24" s="180">
        <v>38.03</v>
      </c>
      <c r="D24" s="180">
        <v>30.54</v>
      </c>
      <c r="E24" s="180">
        <v>90.210000000000008</v>
      </c>
      <c r="F24" s="180">
        <v>127.64000000000001</v>
      </c>
      <c r="G24" s="180">
        <v>120.27000000000001</v>
      </c>
      <c r="H24" s="180">
        <v>35.950000000000003</v>
      </c>
      <c r="I24" s="180">
        <v>21.61</v>
      </c>
      <c r="J24" s="180">
        <v>27.27</v>
      </c>
      <c r="K24" s="180">
        <v>29.950000000000003</v>
      </c>
      <c r="L24" s="180">
        <v>55.110000000000007</v>
      </c>
      <c r="M24" s="180">
        <v>43.58</v>
      </c>
      <c r="N24" s="180">
        <v>37.44</v>
      </c>
      <c r="O24" s="180">
        <v>81.8</v>
      </c>
      <c r="P24" s="180">
        <v>82.77</v>
      </c>
      <c r="Q24" s="180">
        <v>144.22999999999999</v>
      </c>
      <c r="R24" s="180">
        <v>145.18</v>
      </c>
      <c r="S24" s="180">
        <v>65.679999999999993</v>
      </c>
      <c r="T24" s="180">
        <v>95.210000000000008</v>
      </c>
      <c r="U24" s="180">
        <v>96.18</v>
      </c>
      <c r="V24" s="180">
        <v>23.97</v>
      </c>
      <c r="W24" s="180">
        <v>93.350000000000009</v>
      </c>
      <c r="X24" s="180">
        <v>34.380000000000003</v>
      </c>
      <c r="Y24" s="180">
        <v>7.8099999999999987</v>
      </c>
      <c r="Z24" s="180">
        <v>1634.57</v>
      </c>
      <c r="AA24" s="186"/>
    </row>
    <row r="25" spans="1:27" x14ac:dyDescent="0.35">
      <c r="A25" s="193" t="s">
        <v>39</v>
      </c>
      <c r="B25" s="156">
        <v>106.41000000000001</v>
      </c>
      <c r="C25" s="156">
        <v>38.03</v>
      </c>
      <c r="D25" s="156">
        <v>30.54</v>
      </c>
      <c r="E25" s="156">
        <v>90.210000000000008</v>
      </c>
      <c r="F25" s="156">
        <v>127.64000000000001</v>
      </c>
      <c r="G25" s="156">
        <v>120.27000000000001</v>
      </c>
      <c r="H25" s="156">
        <v>35.950000000000003</v>
      </c>
      <c r="I25" s="156">
        <v>21.61</v>
      </c>
      <c r="J25" s="156">
        <v>27.27</v>
      </c>
      <c r="K25" s="156">
        <v>29.950000000000003</v>
      </c>
      <c r="L25" s="156">
        <v>55.110000000000007</v>
      </c>
      <c r="M25" s="156">
        <v>43.58</v>
      </c>
      <c r="N25" s="156">
        <v>37.44</v>
      </c>
      <c r="O25" s="156">
        <v>81.8</v>
      </c>
      <c r="P25" s="156">
        <v>82.77</v>
      </c>
      <c r="Q25" s="156">
        <v>144.22999999999999</v>
      </c>
      <c r="R25" s="156">
        <v>145.18</v>
      </c>
      <c r="S25" s="156">
        <v>65.679999999999993</v>
      </c>
      <c r="T25" s="156">
        <v>95.210000000000008</v>
      </c>
      <c r="U25" s="156">
        <v>96.18</v>
      </c>
      <c r="V25" s="156">
        <v>23.97</v>
      </c>
      <c r="W25" s="156">
        <v>93.350000000000009</v>
      </c>
      <c r="X25" s="156">
        <v>34.380000000000003</v>
      </c>
      <c r="Y25" s="156">
        <v>7.8099999999999987</v>
      </c>
      <c r="Z25" s="156">
        <v>1634.57</v>
      </c>
      <c r="AA25" s="174"/>
    </row>
    <row r="26" spans="1:27" x14ac:dyDescent="0.35">
      <c r="A26" s="194" t="s">
        <v>40</v>
      </c>
      <c r="B26" s="184">
        <f>SUM(B24,B22,B19,B17,B13,B5)</f>
        <v>5379.3499999999958</v>
      </c>
      <c r="C26" s="184">
        <f t="shared" ref="C26:Y26" si="3">SUM(C24,C22,C19,C17,C13,C5)</f>
        <v>1412.2300000000007</v>
      </c>
      <c r="D26" s="184">
        <f t="shared" si="3"/>
        <v>345.71999999999997</v>
      </c>
      <c r="E26" s="184">
        <f t="shared" si="3"/>
        <v>496.39999999999986</v>
      </c>
      <c r="F26" s="184">
        <f t="shared" si="3"/>
        <v>581.07999999999993</v>
      </c>
      <c r="G26" s="184">
        <f t="shared" si="3"/>
        <v>1146.3700000000001</v>
      </c>
      <c r="H26" s="184">
        <f t="shared" si="3"/>
        <v>884.54</v>
      </c>
      <c r="I26" s="184">
        <f t="shared" si="3"/>
        <v>370.96999999999997</v>
      </c>
      <c r="J26" s="184">
        <f t="shared" si="3"/>
        <v>461.49999999999994</v>
      </c>
      <c r="K26" s="184">
        <f t="shared" si="3"/>
        <v>546.45000000000005</v>
      </c>
      <c r="L26" s="184">
        <f t="shared" si="3"/>
        <v>464.25</v>
      </c>
      <c r="M26" s="184">
        <f t="shared" si="3"/>
        <v>981.11000000000013</v>
      </c>
      <c r="N26" s="184">
        <f t="shared" si="3"/>
        <v>456.34999999999985</v>
      </c>
      <c r="O26" s="184">
        <f t="shared" si="3"/>
        <v>800.47</v>
      </c>
      <c r="P26" s="184">
        <f t="shared" si="3"/>
        <v>639.83000000000004</v>
      </c>
      <c r="Q26" s="184">
        <f t="shared" si="3"/>
        <v>1059.25</v>
      </c>
      <c r="R26" s="184">
        <f t="shared" si="3"/>
        <v>1387.8400000000001</v>
      </c>
      <c r="S26" s="184">
        <f t="shared" si="3"/>
        <v>808.33999999999992</v>
      </c>
      <c r="T26" s="184">
        <f t="shared" si="3"/>
        <v>1001.1199999999999</v>
      </c>
      <c r="U26" s="184">
        <f t="shared" si="3"/>
        <v>978.06999999999994</v>
      </c>
      <c r="V26" s="184">
        <f t="shared" si="3"/>
        <v>650.34</v>
      </c>
      <c r="W26" s="184">
        <f t="shared" si="3"/>
        <v>762.2</v>
      </c>
      <c r="X26" s="184">
        <f t="shared" si="3"/>
        <v>553.93000000000006</v>
      </c>
      <c r="Y26" s="184">
        <f t="shared" si="3"/>
        <v>20.259999999999994</v>
      </c>
      <c r="Z26" s="184">
        <f>SUM(Z24,Z22,Z19,Z17,Z13,Z5)</f>
        <v>22187.969999999998</v>
      </c>
      <c r="AA26" s="195"/>
    </row>
    <row r="29" spans="1:27" ht="15.5" x14ac:dyDescent="0.35">
      <c r="A29" s="108" t="s">
        <v>110</v>
      </c>
      <c r="B29" s="189" t="s">
        <v>74</v>
      </c>
      <c r="C29" s="189">
        <v>2000</v>
      </c>
      <c r="D29" s="189">
        <v>2001</v>
      </c>
      <c r="E29" s="189">
        <v>2002</v>
      </c>
      <c r="F29" s="189">
        <v>2003</v>
      </c>
      <c r="G29" s="189">
        <v>2004</v>
      </c>
      <c r="H29" s="189">
        <v>2005</v>
      </c>
      <c r="I29" s="189">
        <v>2006</v>
      </c>
      <c r="J29" s="189">
        <v>2007</v>
      </c>
      <c r="K29" s="189">
        <v>2008</v>
      </c>
      <c r="L29" s="189">
        <v>2009</v>
      </c>
      <c r="M29" s="189">
        <v>2010</v>
      </c>
      <c r="N29" s="189">
        <v>2011</v>
      </c>
      <c r="O29" s="189">
        <v>2012</v>
      </c>
      <c r="P29" s="189">
        <v>2013</v>
      </c>
      <c r="Q29" s="189">
        <v>2014</v>
      </c>
      <c r="R29" s="189">
        <v>2015</v>
      </c>
      <c r="S29" s="189">
        <v>2016</v>
      </c>
      <c r="T29" s="189">
        <v>2017</v>
      </c>
      <c r="U29" s="189">
        <v>2018</v>
      </c>
      <c r="V29" s="189">
        <v>2019</v>
      </c>
      <c r="W29" s="189">
        <v>2020</v>
      </c>
      <c r="X29" s="189">
        <v>2021</v>
      </c>
      <c r="Y29" s="190" t="s">
        <v>75</v>
      </c>
    </row>
    <row r="30" spans="1:27" x14ac:dyDescent="0.35">
      <c r="A30" s="188" t="s">
        <v>6</v>
      </c>
      <c r="B30" s="174">
        <f>B5/$Z$5</f>
        <v>0.10330102327345393</v>
      </c>
      <c r="C30" s="174">
        <f t="shared" ref="C30:Y30" si="4">C5/$Z$5</f>
        <v>2.6719617238839168E-2</v>
      </c>
      <c r="D30" s="174">
        <f t="shared" si="4"/>
        <v>1.5775769643130644E-2</v>
      </c>
      <c r="E30" s="174">
        <f t="shared" si="4"/>
        <v>2.5682121523751173E-2</v>
      </c>
      <c r="F30" s="174">
        <f t="shared" si="4"/>
        <v>2.4506049931076732E-2</v>
      </c>
      <c r="G30" s="174">
        <f t="shared" si="4"/>
        <v>5.7875485927254944E-2</v>
      </c>
      <c r="H30" s="174">
        <f t="shared" si="4"/>
        <v>4.1634757747485568E-2</v>
      </c>
      <c r="I30" s="174">
        <f t="shared" si="4"/>
        <v>1.6470472397873224E-2</v>
      </c>
      <c r="J30" s="174">
        <f t="shared" si="4"/>
        <v>3.5931266364717121E-2</v>
      </c>
      <c r="K30" s="174">
        <f t="shared" si="4"/>
        <v>4.0405808517311043E-2</v>
      </c>
      <c r="L30" s="174">
        <f t="shared" si="4"/>
        <v>2.1240399973743516E-2</v>
      </c>
      <c r="M30" s="174">
        <f t="shared" si="4"/>
        <v>5.9934067056137831E-2</v>
      </c>
      <c r="N30" s="174">
        <f t="shared" si="4"/>
        <v>2.1938749462106787E-2</v>
      </c>
      <c r="O30" s="174">
        <f t="shared" si="4"/>
        <v>5.0560138284138884E-2</v>
      </c>
      <c r="P30" s="174">
        <f t="shared" si="4"/>
        <v>2.0821025607363479E-2</v>
      </c>
      <c r="Q30" s="174">
        <f t="shared" si="4"/>
        <v>5.5151375912595085E-2</v>
      </c>
      <c r="R30" s="174">
        <f t="shared" si="4"/>
        <v>0.10673259961052886</v>
      </c>
      <c r="S30" s="174">
        <f t="shared" si="4"/>
        <v>5.3302481966902224E-2</v>
      </c>
      <c r="T30" s="174">
        <f t="shared" si="4"/>
        <v>6.1914243412175711E-2</v>
      </c>
      <c r="U30" s="174">
        <f t="shared" si="4"/>
        <v>4.397049063154132E-2</v>
      </c>
      <c r="V30" s="174">
        <f t="shared" si="4"/>
        <v>3.6954175145322336E-2</v>
      </c>
      <c r="W30" s="174">
        <f t="shared" si="4"/>
        <v>3.4809895776353114E-2</v>
      </c>
      <c r="X30" s="174">
        <f t="shared" si="4"/>
        <v>4.4315106958697101E-2</v>
      </c>
      <c r="Y30" s="191">
        <f t="shared" si="4"/>
        <v>5.2877637500091171E-5</v>
      </c>
    </row>
    <row r="31" spans="1:27" x14ac:dyDescent="0.35">
      <c r="A31" s="188" t="s">
        <v>16</v>
      </c>
      <c r="B31" s="174">
        <f>B13/$Z$13</f>
        <v>0.31303702863071864</v>
      </c>
      <c r="C31" s="174">
        <f t="shared" ref="C31:Y31" si="5">C13/$Z$13</f>
        <v>8.1104833392778089E-2</v>
      </c>
      <c r="D31" s="174">
        <f t="shared" si="5"/>
        <v>1.524553354301093E-2</v>
      </c>
      <c r="E31" s="174">
        <f t="shared" si="5"/>
        <v>1.7823270970461397E-2</v>
      </c>
      <c r="F31" s="174">
        <f t="shared" si="5"/>
        <v>2.1224452298347438E-2</v>
      </c>
      <c r="G31" s="174">
        <f t="shared" si="5"/>
        <v>4.7695572992661306E-2</v>
      </c>
      <c r="H31" s="174">
        <f t="shared" si="5"/>
        <v>4.1609248511181016E-2</v>
      </c>
      <c r="I31" s="174">
        <f t="shared" si="5"/>
        <v>1.561503626125396E-2</v>
      </c>
      <c r="J31" s="174">
        <f t="shared" si="5"/>
        <v>1.599804913372891E-2</v>
      </c>
      <c r="K31" s="174">
        <f t="shared" si="5"/>
        <v>1.959850523653579E-2</v>
      </c>
      <c r="L31" s="174">
        <f t="shared" si="5"/>
        <v>1.9698480377852001E-2</v>
      </c>
      <c r="M31" s="174">
        <f t="shared" si="5"/>
        <v>3.9980599418522979E-2</v>
      </c>
      <c r="N31" s="174">
        <f t="shared" si="5"/>
        <v>1.9870059336597381E-2</v>
      </c>
      <c r="O31" s="174">
        <f t="shared" si="5"/>
        <v>2.9727743371918344E-2</v>
      </c>
      <c r="P31" s="174">
        <f t="shared" si="5"/>
        <v>2.9816910389849023E-2</v>
      </c>
      <c r="Q31" s="174">
        <f t="shared" si="5"/>
        <v>4.123163970039883E-2</v>
      </c>
      <c r="R31" s="174">
        <f t="shared" si="5"/>
        <v>4.4390989267533487E-2</v>
      </c>
      <c r="S31" s="174">
        <f t="shared" si="5"/>
        <v>2.9433897517374061E-2</v>
      </c>
      <c r="T31" s="174">
        <f t="shared" si="5"/>
        <v>3.7186024015650153E-2</v>
      </c>
      <c r="U31" s="174">
        <f t="shared" si="5"/>
        <v>4.2629940663402616E-2</v>
      </c>
      <c r="V31" s="174">
        <f t="shared" si="5"/>
        <v>2.7382380597256905E-2</v>
      </c>
      <c r="W31" s="174">
        <f t="shared" si="5"/>
        <v>3.1153740151097578E-2</v>
      </c>
      <c r="X31" s="174">
        <f t="shared" si="5"/>
        <v>1.7724646844568381E-2</v>
      </c>
      <c r="Y31" s="196">
        <f t="shared" si="5"/>
        <v>8.2141737730077923E-4</v>
      </c>
    </row>
    <row r="32" spans="1:27" x14ac:dyDescent="0.35">
      <c r="A32" s="188" t="s">
        <v>23</v>
      </c>
      <c r="B32" s="174">
        <f>B17/$Z$17</f>
        <v>0.27129409096064427</v>
      </c>
      <c r="C32" s="174">
        <f t="shared" ref="C32:Y32" si="6">C17/$Z$17</f>
        <v>0.10207553589656346</v>
      </c>
      <c r="D32" s="174">
        <f t="shared" si="6"/>
        <v>1.1228308948621981E-2</v>
      </c>
      <c r="E32" s="174">
        <f t="shared" si="6"/>
        <v>5.6330573513288726E-3</v>
      </c>
      <c r="F32" s="174">
        <f t="shared" si="6"/>
        <v>1.8297984953309893E-2</v>
      </c>
      <c r="G32" s="174">
        <f t="shared" si="6"/>
        <v>8.99776946051189E-3</v>
      </c>
      <c r="H32" s="174">
        <f t="shared" si="6"/>
        <v>1.6180862727307097E-2</v>
      </c>
      <c r="I32" s="174">
        <f t="shared" si="6"/>
        <v>0.10536463649767495</v>
      </c>
      <c r="J32" s="174">
        <f t="shared" si="6"/>
        <v>1.2853956372159843E-3</v>
      </c>
      <c r="K32" s="174">
        <f t="shared" si="6"/>
        <v>1.8033344675059546E-2</v>
      </c>
      <c r="L32" s="174">
        <f t="shared" si="6"/>
        <v>3.9317984197194816E-3</v>
      </c>
      <c r="M32" s="174">
        <f t="shared" si="6"/>
        <v>6.3929530074477339E-2</v>
      </c>
      <c r="N32" s="174">
        <f t="shared" si="6"/>
        <v>1.6785754791879322E-2</v>
      </c>
      <c r="O32" s="174">
        <f t="shared" si="6"/>
        <v>4.914748024649352E-3</v>
      </c>
      <c r="P32" s="174">
        <f t="shared" si="6"/>
        <v>5.5574458432573436E-3</v>
      </c>
      <c r="Q32" s="174">
        <f t="shared" si="6"/>
        <v>8.2038486257608404E-3</v>
      </c>
      <c r="R32" s="174">
        <f t="shared" si="6"/>
        <v>5.6708631053646369E-4</v>
      </c>
      <c r="S32" s="174">
        <f t="shared" si="6"/>
        <v>5.5196400892215801E-2</v>
      </c>
      <c r="T32" s="174">
        <f t="shared" si="6"/>
        <v>5.9959925900722098E-2</v>
      </c>
      <c r="U32" s="174">
        <f t="shared" si="6"/>
        <v>3.652035839854826E-2</v>
      </c>
      <c r="V32" s="174">
        <f t="shared" si="6"/>
        <v>6.9335752901591635E-2</v>
      </c>
      <c r="W32" s="174">
        <f t="shared" si="6"/>
        <v>6.3324638009905107E-2</v>
      </c>
      <c r="X32" s="174">
        <f t="shared" si="6"/>
        <v>5.3381724698499118E-2</v>
      </c>
      <c r="Y32" s="191">
        <f t="shared" si="6"/>
        <v>0</v>
      </c>
    </row>
    <row r="33" spans="1:26" x14ac:dyDescent="0.35">
      <c r="A33" s="188" t="s">
        <v>27</v>
      </c>
      <c r="B33" s="174">
        <f>B19/$Z$19</f>
        <v>0.30232558139534887</v>
      </c>
      <c r="C33" s="174">
        <f t="shared" ref="C33:Y33" si="7">C19/$Z$19</f>
        <v>0</v>
      </c>
      <c r="D33" s="174">
        <f t="shared" si="7"/>
        <v>0</v>
      </c>
      <c r="E33" s="174">
        <f t="shared" si="7"/>
        <v>0</v>
      </c>
      <c r="F33" s="174">
        <f t="shared" si="7"/>
        <v>0</v>
      </c>
      <c r="G33" s="174">
        <f t="shared" si="7"/>
        <v>0.55813953488372092</v>
      </c>
      <c r="H33" s="174">
        <f t="shared" si="7"/>
        <v>0</v>
      </c>
      <c r="I33" s="174">
        <f t="shared" si="7"/>
        <v>0</v>
      </c>
      <c r="J33" s="174">
        <f t="shared" si="7"/>
        <v>0</v>
      </c>
      <c r="K33" s="174">
        <f t="shared" si="7"/>
        <v>0</v>
      </c>
      <c r="L33" s="174">
        <f t="shared" si="7"/>
        <v>0</v>
      </c>
      <c r="M33" s="174">
        <f t="shared" si="7"/>
        <v>0.13953488372093023</v>
      </c>
      <c r="N33" s="174">
        <f t="shared" si="7"/>
        <v>0</v>
      </c>
      <c r="O33" s="174">
        <f t="shared" si="7"/>
        <v>0</v>
      </c>
      <c r="P33" s="174">
        <f t="shared" si="7"/>
        <v>0</v>
      </c>
      <c r="Q33" s="174">
        <f t="shared" si="7"/>
        <v>0</v>
      </c>
      <c r="R33" s="174">
        <f t="shared" si="7"/>
        <v>0</v>
      </c>
      <c r="S33" s="174">
        <f t="shared" si="7"/>
        <v>0</v>
      </c>
      <c r="T33" s="174">
        <f t="shared" si="7"/>
        <v>0</v>
      </c>
      <c r="U33" s="174">
        <f t="shared" si="7"/>
        <v>0</v>
      </c>
      <c r="V33" s="174">
        <f t="shared" si="7"/>
        <v>0</v>
      </c>
      <c r="W33" s="174">
        <f t="shared" si="7"/>
        <v>0</v>
      </c>
      <c r="X33" s="174">
        <f t="shared" si="7"/>
        <v>0</v>
      </c>
      <c r="Y33" s="191">
        <f t="shared" si="7"/>
        <v>0</v>
      </c>
      <c r="Z33">
        <v>22187.969999999998</v>
      </c>
    </row>
    <row r="34" spans="1:26" x14ac:dyDescent="0.35">
      <c r="A34" s="188" t="s">
        <v>35</v>
      </c>
      <c r="B34" s="174">
        <f>B22/$Z$22</f>
        <v>0.97619047619047616</v>
      </c>
      <c r="C34" s="174">
        <f t="shared" ref="C34:Y34" si="8">C22/$Z$22</f>
        <v>2.3809523809523808E-2</v>
      </c>
      <c r="D34" s="174">
        <f t="shared" si="8"/>
        <v>0</v>
      </c>
      <c r="E34" s="174">
        <f t="shared" si="8"/>
        <v>0</v>
      </c>
      <c r="F34" s="174">
        <f t="shared" si="8"/>
        <v>0</v>
      </c>
      <c r="G34" s="174">
        <f t="shared" si="8"/>
        <v>0</v>
      </c>
      <c r="H34" s="174">
        <f t="shared" si="8"/>
        <v>0</v>
      </c>
      <c r="I34" s="174">
        <f t="shared" si="8"/>
        <v>0</v>
      </c>
      <c r="J34" s="174">
        <f t="shared" si="8"/>
        <v>0</v>
      </c>
      <c r="K34" s="174">
        <f t="shared" si="8"/>
        <v>0</v>
      </c>
      <c r="L34" s="174">
        <f t="shared" si="8"/>
        <v>0</v>
      </c>
      <c r="M34" s="174">
        <f t="shared" si="8"/>
        <v>0</v>
      </c>
      <c r="N34" s="174">
        <f t="shared" si="8"/>
        <v>0</v>
      </c>
      <c r="O34" s="174">
        <f t="shared" si="8"/>
        <v>0</v>
      </c>
      <c r="P34" s="174">
        <f t="shared" si="8"/>
        <v>0</v>
      </c>
      <c r="Q34" s="174">
        <f t="shared" si="8"/>
        <v>0</v>
      </c>
      <c r="R34" s="174">
        <f t="shared" si="8"/>
        <v>0</v>
      </c>
      <c r="S34" s="174">
        <f t="shared" si="8"/>
        <v>0</v>
      </c>
      <c r="T34" s="174">
        <f t="shared" si="8"/>
        <v>0</v>
      </c>
      <c r="U34" s="174">
        <f t="shared" si="8"/>
        <v>0</v>
      </c>
      <c r="V34" s="174">
        <f t="shared" si="8"/>
        <v>0</v>
      </c>
      <c r="W34" s="174">
        <f t="shared" si="8"/>
        <v>0</v>
      </c>
      <c r="X34" s="174">
        <f t="shared" si="8"/>
        <v>0</v>
      </c>
      <c r="Y34" s="191">
        <f t="shared" si="8"/>
        <v>0</v>
      </c>
    </row>
    <row r="35" spans="1:26" x14ac:dyDescent="0.35">
      <c r="A35" s="188" t="s">
        <v>39</v>
      </c>
      <c r="B35" s="174">
        <f>B24/$Z$24</f>
        <v>6.5099689826682253E-2</v>
      </c>
      <c r="C35" s="174">
        <f t="shared" ref="C35:Y35" si="9">C24/$Z$24</f>
        <v>2.3266057739956075E-2</v>
      </c>
      <c r="D35" s="174">
        <f t="shared" si="9"/>
        <v>1.8683812868216108E-2</v>
      </c>
      <c r="E35" s="174">
        <f t="shared" si="9"/>
        <v>5.5188826419180589E-2</v>
      </c>
      <c r="F35" s="174">
        <f t="shared" si="9"/>
        <v>7.8087815144044018E-2</v>
      </c>
      <c r="G35" s="174">
        <f t="shared" si="9"/>
        <v>7.3578984075322568E-2</v>
      </c>
      <c r="H35" s="174">
        <f t="shared" si="9"/>
        <v>2.1993551820968207E-2</v>
      </c>
      <c r="I35" s="174">
        <f t="shared" si="9"/>
        <v>1.3220602360253767E-2</v>
      </c>
      <c r="J35" s="174">
        <f t="shared" si="9"/>
        <v>1.6683286735961141E-2</v>
      </c>
      <c r="K35" s="174">
        <f t="shared" si="9"/>
        <v>1.8322861670041664E-2</v>
      </c>
      <c r="L35" s="174">
        <f t="shared" si="9"/>
        <v>3.3715289036260303E-2</v>
      </c>
      <c r="M35" s="174">
        <f t="shared" si="9"/>
        <v>2.6661446129563126E-2</v>
      </c>
      <c r="N35" s="174">
        <f t="shared" si="9"/>
        <v>2.2905106541781631E-2</v>
      </c>
      <c r="O35" s="174">
        <f t="shared" si="9"/>
        <v>5.0043742390965207E-2</v>
      </c>
      <c r="P35" s="174">
        <f t="shared" si="9"/>
        <v>5.0637170632031665E-2</v>
      </c>
      <c r="Q35" s="174">
        <f t="shared" si="9"/>
        <v>8.8237273411355885E-2</v>
      </c>
      <c r="R35" s="174">
        <f t="shared" si="9"/>
        <v>8.8818466018585937E-2</v>
      </c>
      <c r="S35" s="174">
        <f t="shared" si="9"/>
        <v>4.0181821518809224E-2</v>
      </c>
      <c r="T35" s="174">
        <f t="shared" si="9"/>
        <v>5.8247734878286037E-2</v>
      </c>
      <c r="U35" s="174">
        <f t="shared" si="9"/>
        <v>5.8841163119352495E-2</v>
      </c>
      <c r="V35" s="174">
        <f t="shared" si="9"/>
        <v>1.4664407152951541E-2</v>
      </c>
      <c r="W35" s="174">
        <f t="shared" si="9"/>
        <v>5.7109820931498814E-2</v>
      </c>
      <c r="X35" s="174">
        <f t="shared" si="9"/>
        <v>2.1033054564809094E-2</v>
      </c>
      <c r="Y35" s="196">
        <f t="shared" si="9"/>
        <v>4.7780150131227165E-3</v>
      </c>
    </row>
    <row r="36" spans="1:26" x14ac:dyDescent="0.35">
      <c r="A36" s="188" t="s">
        <v>40</v>
      </c>
      <c r="B36" s="174">
        <f>B26/$Z$26</f>
        <v>0.24244444174027621</v>
      </c>
      <c r="C36" s="174">
        <f t="shared" ref="C36:Y36" si="10">C26/$Z$26</f>
        <v>6.364845454541361E-2</v>
      </c>
      <c r="D36" s="174">
        <f t="shared" si="10"/>
        <v>1.55814164161931E-2</v>
      </c>
      <c r="E36" s="174">
        <f t="shared" si="10"/>
        <v>2.2372483827948205E-2</v>
      </c>
      <c r="F36" s="174">
        <f t="shared" si="10"/>
        <v>2.6188966363304079E-2</v>
      </c>
      <c r="G36" s="174">
        <f t="shared" si="10"/>
        <v>5.1666285829663566E-2</v>
      </c>
      <c r="H36" s="174">
        <f t="shared" si="10"/>
        <v>3.9865747069245186E-2</v>
      </c>
      <c r="I36" s="174">
        <f t="shared" si="10"/>
        <v>1.671942047875493E-2</v>
      </c>
      <c r="J36" s="174">
        <f t="shared" si="10"/>
        <v>2.0799559400882552E-2</v>
      </c>
      <c r="K36" s="174">
        <f t="shared" si="10"/>
        <v>2.4628210692550969E-2</v>
      </c>
      <c r="L36" s="174">
        <f t="shared" si="10"/>
        <v>2.0923500437399187E-2</v>
      </c>
      <c r="M36" s="174">
        <f t="shared" si="10"/>
        <v>4.4218105577031167E-2</v>
      </c>
      <c r="N36" s="174">
        <f t="shared" si="10"/>
        <v>2.0567451641587756E-2</v>
      </c>
      <c r="O36" s="174">
        <f t="shared" si="10"/>
        <v>3.6076756909262098E-2</v>
      </c>
      <c r="P36" s="174">
        <f t="shared" si="10"/>
        <v>2.8836797597977647E-2</v>
      </c>
      <c r="Q36" s="174">
        <f t="shared" si="10"/>
        <v>4.7739833792816565E-2</v>
      </c>
      <c r="R36" s="174">
        <f t="shared" si="10"/>
        <v>6.254921022518059E-2</v>
      </c>
      <c r="S36" s="174">
        <f t="shared" si="10"/>
        <v>3.6431453621038785E-2</v>
      </c>
      <c r="T36" s="174">
        <f t="shared" si="10"/>
        <v>4.5119945628194019E-2</v>
      </c>
      <c r="U36" s="174">
        <f t="shared" si="10"/>
        <v>4.4081094394845498E-2</v>
      </c>
      <c r="V36" s="174">
        <f t="shared" si="10"/>
        <v>2.9310477704810316E-2</v>
      </c>
      <c r="W36" s="174">
        <f t="shared" si="10"/>
        <v>3.4351948375628778E-2</v>
      </c>
      <c r="X36" s="174">
        <f t="shared" si="10"/>
        <v>2.4965330311876217E-2</v>
      </c>
      <c r="Y36" s="196">
        <f t="shared" si="10"/>
        <v>9.1310741811891744E-4</v>
      </c>
    </row>
  </sheetData>
  <mergeCells count="1">
    <mergeCell ref="A3:B3"/>
  </mergeCells>
  <hyperlinks>
    <hyperlink ref="B1" location="ÍNDICE!A1" display="ÍNDICE!A1" xr:uid="{91816BBB-FE6E-4530-B695-1D9163DB1798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pageSetUpPr autoPageBreaks="0"/>
  </sheetPr>
  <dimension ref="A1:AA27"/>
  <sheetViews>
    <sheetView topLeftCell="A31" zoomScale="80" zoomScaleNormal="80" workbookViewId="0">
      <pane xSplit="1" topLeftCell="AB1" activePane="topRight" state="frozen"/>
      <selection pane="topRight" activeCell="AJ4" sqref="AJ4"/>
    </sheetView>
  </sheetViews>
  <sheetFormatPr baseColWidth="10" defaultRowHeight="14.5" x14ac:dyDescent="0.35"/>
  <cols>
    <col min="1" max="1" width="30" customWidth="1"/>
    <col min="2" max="24" width="10.26953125" customWidth="1"/>
    <col min="25" max="25" width="23.54296875" bestFit="1" customWidth="1"/>
    <col min="26" max="26" width="17.453125" customWidth="1"/>
    <col min="27" max="27" width="16" customWidth="1"/>
  </cols>
  <sheetData>
    <row r="1" spans="1:27" ht="21" x14ac:dyDescent="0.5">
      <c r="A1" s="337" t="s">
        <v>80</v>
      </c>
      <c r="B1" s="338" t="s">
        <v>79</v>
      </c>
      <c r="F1" s="337"/>
      <c r="G1" s="338"/>
    </row>
    <row r="3" spans="1:27" ht="18.5" x14ac:dyDescent="0.45">
      <c r="A3" s="53" t="s">
        <v>47</v>
      </c>
      <c r="B3" s="54"/>
      <c r="C3" s="54"/>
      <c r="D3" s="54"/>
      <c r="E3" s="54"/>
      <c r="F3" s="54"/>
      <c r="G3" s="54"/>
      <c r="H3" s="54"/>
      <c r="K3" s="50"/>
      <c r="L3" s="48"/>
    </row>
    <row r="4" spans="1:27" ht="31" x14ac:dyDescent="0.35">
      <c r="A4" s="268" t="s">
        <v>134</v>
      </c>
      <c r="B4" s="177" t="s">
        <v>74</v>
      </c>
      <c r="C4" s="177">
        <v>2000</v>
      </c>
      <c r="D4" s="177">
        <v>2001</v>
      </c>
      <c r="E4" s="177">
        <v>2002</v>
      </c>
      <c r="F4" s="177">
        <v>2003</v>
      </c>
      <c r="G4" s="177">
        <v>2004</v>
      </c>
      <c r="H4" s="177">
        <v>2005</v>
      </c>
      <c r="I4" s="177">
        <v>2006</v>
      </c>
      <c r="J4" s="177">
        <v>2007</v>
      </c>
      <c r="K4" s="177">
        <v>2008</v>
      </c>
      <c r="L4" s="177">
        <v>2009</v>
      </c>
      <c r="M4" s="177">
        <v>2010</v>
      </c>
      <c r="N4" s="177">
        <v>2011</v>
      </c>
      <c r="O4" s="177">
        <v>2012</v>
      </c>
      <c r="P4" s="177">
        <v>2013</v>
      </c>
      <c r="Q4" s="177">
        <v>2014</v>
      </c>
      <c r="R4" s="177">
        <v>2015</v>
      </c>
      <c r="S4" s="177">
        <v>2016</v>
      </c>
      <c r="T4" s="177">
        <v>2017</v>
      </c>
      <c r="U4" s="177">
        <v>2018</v>
      </c>
      <c r="V4" s="177">
        <v>2019</v>
      </c>
      <c r="W4" s="177">
        <v>2020</v>
      </c>
      <c r="X4" s="177">
        <v>2021</v>
      </c>
      <c r="Y4" s="264" t="s">
        <v>75</v>
      </c>
      <c r="Z4" s="264" t="s">
        <v>73</v>
      </c>
      <c r="AA4" s="178" t="s">
        <v>76</v>
      </c>
    </row>
    <row r="5" spans="1:27" x14ac:dyDescent="0.35">
      <c r="A5" s="188" t="s">
        <v>6</v>
      </c>
      <c r="B5" s="180">
        <f>SUM(B6:B10)</f>
        <v>34.43</v>
      </c>
      <c r="C5" s="180">
        <f t="shared" ref="C5:Y5" si="0">SUM(C6:C10)</f>
        <v>6.75</v>
      </c>
      <c r="D5" s="180">
        <f t="shared" si="0"/>
        <v>2.46</v>
      </c>
      <c r="E5" s="180">
        <f t="shared" si="0"/>
        <v>5.36</v>
      </c>
      <c r="F5" s="180">
        <f t="shared" si="0"/>
        <v>3.04</v>
      </c>
      <c r="G5" s="180">
        <f t="shared" si="0"/>
        <v>0.21000000000000002</v>
      </c>
      <c r="H5" s="180">
        <f t="shared" si="0"/>
        <v>0</v>
      </c>
      <c r="I5" s="180">
        <f t="shared" si="0"/>
        <v>0</v>
      </c>
      <c r="J5" s="180">
        <f t="shared" si="0"/>
        <v>6.25</v>
      </c>
      <c r="K5" s="180">
        <f t="shared" si="0"/>
        <v>2.92</v>
      </c>
      <c r="L5" s="180">
        <f t="shared" si="0"/>
        <v>1.77</v>
      </c>
      <c r="M5" s="180">
        <f t="shared" si="0"/>
        <v>0.39</v>
      </c>
      <c r="N5" s="180">
        <f t="shared" si="0"/>
        <v>3.57</v>
      </c>
      <c r="O5" s="180">
        <f t="shared" si="0"/>
        <v>4.33</v>
      </c>
      <c r="P5" s="180">
        <f t="shared" si="0"/>
        <v>2.2799999999999998</v>
      </c>
      <c r="Q5" s="180">
        <f t="shared" si="0"/>
        <v>0</v>
      </c>
      <c r="R5" s="180">
        <f t="shared" si="0"/>
        <v>9.09</v>
      </c>
      <c r="S5" s="180">
        <f t="shared" si="0"/>
        <v>2.2000000000000002</v>
      </c>
      <c r="T5" s="180">
        <f t="shared" si="0"/>
        <v>0</v>
      </c>
      <c r="U5" s="180">
        <f t="shared" si="0"/>
        <v>0</v>
      </c>
      <c r="V5" s="180">
        <f t="shared" si="0"/>
        <v>3.85</v>
      </c>
      <c r="W5" s="180">
        <f t="shared" si="0"/>
        <v>0</v>
      </c>
      <c r="X5" s="180">
        <f t="shared" si="0"/>
        <v>0</v>
      </c>
      <c r="Y5" s="180">
        <f t="shared" si="0"/>
        <v>0</v>
      </c>
      <c r="Z5" s="180">
        <f>SUM(Z6:Z10)</f>
        <v>88.90000000000002</v>
      </c>
      <c r="AA5" s="186">
        <f t="shared" ref="AA5:AA18" si="1">Z5/$Z$19</f>
        <v>2.0753135731110331E-2</v>
      </c>
    </row>
    <row r="6" spans="1:27" x14ac:dyDescent="0.35">
      <c r="A6" s="193" t="s">
        <v>7</v>
      </c>
      <c r="B6" s="156">
        <v>10.829999999999998</v>
      </c>
      <c r="C6" s="156"/>
      <c r="D6" s="156"/>
      <c r="E6" s="156"/>
      <c r="F6" s="156">
        <v>3.04</v>
      </c>
      <c r="G6" s="156"/>
      <c r="H6" s="156"/>
      <c r="I6" s="156"/>
      <c r="J6" s="156"/>
      <c r="K6" s="156"/>
      <c r="L6" s="156"/>
      <c r="M6" s="156">
        <v>0.39</v>
      </c>
      <c r="N6" s="156">
        <v>0.65</v>
      </c>
      <c r="O6" s="156"/>
      <c r="P6" s="156"/>
      <c r="Q6" s="156"/>
      <c r="R6" s="156"/>
      <c r="S6" s="156">
        <v>2.2000000000000002</v>
      </c>
      <c r="T6" s="156"/>
      <c r="U6" s="156"/>
      <c r="V6" s="156"/>
      <c r="W6" s="156"/>
      <c r="X6" s="156"/>
      <c r="Y6" s="156"/>
      <c r="Z6" s="156">
        <v>17.11</v>
      </c>
      <c r="AA6" s="174">
        <f t="shared" si="1"/>
        <v>3.9942199365500296E-3</v>
      </c>
    </row>
    <row r="7" spans="1:27" x14ac:dyDescent="0.35">
      <c r="A7" s="193" t="s">
        <v>8</v>
      </c>
      <c r="B7" s="156">
        <v>2.93</v>
      </c>
      <c r="C7" s="156"/>
      <c r="D7" s="156"/>
      <c r="E7" s="156"/>
      <c r="F7" s="156"/>
      <c r="G7" s="156">
        <v>0.05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>
        <v>0.72</v>
      </c>
      <c r="S7" s="156"/>
      <c r="T7" s="156"/>
      <c r="U7" s="156"/>
      <c r="V7" s="156">
        <v>1.02</v>
      </c>
      <c r="W7" s="156"/>
      <c r="X7" s="156"/>
      <c r="Y7" s="156"/>
      <c r="Z7" s="156">
        <v>4.7200000000000006</v>
      </c>
      <c r="AA7" s="174">
        <f t="shared" si="1"/>
        <v>1.1018537756000083E-3</v>
      </c>
    </row>
    <row r="8" spans="1:27" x14ac:dyDescent="0.35">
      <c r="A8" s="193" t="s">
        <v>11</v>
      </c>
      <c r="B8" s="156">
        <v>20.630000000000003</v>
      </c>
      <c r="C8" s="156">
        <v>6.75</v>
      </c>
      <c r="D8" s="156">
        <v>2.46</v>
      </c>
      <c r="E8" s="156">
        <v>5.36</v>
      </c>
      <c r="F8" s="156"/>
      <c r="G8" s="156"/>
      <c r="H8" s="156"/>
      <c r="I8" s="156"/>
      <c r="J8" s="156">
        <v>6.25</v>
      </c>
      <c r="K8" s="156">
        <v>2.92</v>
      </c>
      <c r="L8" s="156">
        <v>1.77</v>
      </c>
      <c r="M8" s="156"/>
      <c r="N8" s="156"/>
      <c r="O8" s="156">
        <v>0.77</v>
      </c>
      <c r="P8" s="156">
        <v>2.2799999999999998</v>
      </c>
      <c r="Q8" s="156"/>
      <c r="R8" s="156">
        <v>4.7300000000000004</v>
      </c>
      <c r="S8" s="156"/>
      <c r="T8" s="156"/>
      <c r="U8" s="156"/>
      <c r="V8" s="156"/>
      <c r="W8" s="156"/>
      <c r="X8" s="156"/>
      <c r="Y8" s="156"/>
      <c r="Z8" s="156">
        <v>53.920000000000016</v>
      </c>
      <c r="AA8" s="174">
        <f t="shared" si="1"/>
        <v>1.2587278724650946E-2</v>
      </c>
    </row>
    <row r="9" spans="1:27" x14ac:dyDescent="0.35">
      <c r="A9" s="193" t="s">
        <v>13</v>
      </c>
      <c r="B9" s="156">
        <v>0.04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>
        <v>0.04</v>
      </c>
      <c r="AA9" s="174">
        <f t="shared" si="1"/>
        <v>9.3377438610170187E-6</v>
      </c>
    </row>
    <row r="10" spans="1:27" x14ac:dyDescent="0.35">
      <c r="A10" s="193" t="s">
        <v>14</v>
      </c>
      <c r="B10" s="156"/>
      <c r="C10" s="156"/>
      <c r="D10" s="156"/>
      <c r="E10" s="156"/>
      <c r="F10" s="156"/>
      <c r="G10" s="156">
        <v>0.16</v>
      </c>
      <c r="H10" s="156"/>
      <c r="I10" s="156"/>
      <c r="J10" s="156"/>
      <c r="K10" s="156"/>
      <c r="L10" s="156"/>
      <c r="M10" s="156"/>
      <c r="N10" s="156">
        <v>2.92</v>
      </c>
      <c r="O10" s="156">
        <v>3.56</v>
      </c>
      <c r="P10" s="156"/>
      <c r="Q10" s="156"/>
      <c r="R10" s="156">
        <v>3.64</v>
      </c>
      <c r="S10" s="156"/>
      <c r="T10" s="156"/>
      <c r="U10" s="156"/>
      <c r="V10" s="156">
        <v>2.83</v>
      </c>
      <c r="W10" s="156"/>
      <c r="X10" s="156"/>
      <c r="Y10" s="156"/>
      <c r="Z10" s="156">
        <v>13.110000000000001</v>
      </c>
      <c r="AA10" s="174">
        <f t="shared" si="1"/>
        <v>3.0604455504483282E-3</v>
      </c>
    </row>
    <row r="11" spans="1:27" x14ac:dyDescent="0.35">
      <c r="A11" s="188" t="s">
        <v>16</v>
      </c>
      <c r="B11" s="180">
        <f>SUM(B12:B14)</f>
        <v>1536.200000000001</v>
      </c>
      <c r="C11" s="180">
        <f t="shared" ref="C11:Z11" si="2">SUM(C12:C14)</f>
        <v>237.8099999999998</v>
      </c>
      <c r="D11" s="180">
        <f t="shared" si="2"/>
        <v>43.010000000000019</v>
      </c>
      <c r="E11" s="180">
        <f t="shared" si="2"/>
        <v>45.95</v>
      </c>
      <c r="F11" s="180">
        <f t="shared" si="2"/>
        <v>46.259999999999991</v>
      </c>
      <c r="G11" s="180">
        <f t="shared" si="2"/>
        <v>120.69000000000004</v>
      </c>
      <c r="H11" s="180">
        <f t="shared" si="2"/>
        <v>75.059999999999974</v>
      </c>
      <c r="I11" s="180">
        <f t="shared" si="2"/>
        <v>50.45999999999998</v>
      </c>
      <c r="J11" s="180">
        <f t="shared" si="2"/>
        <v>62.779999999999987</v>
      </c>
      <c r="K11" s="180">
        <f t="shared" si="2"/>
        <v>59.390000000000008</v>
      </c>
      <c r="L11" s="180">
        <f t="shared" si="2"/>
        <v>75.699999999999974</v>
      </c>
      <c r="M11" s="180">
        <f t="shared" si="2"/>
        <v>151.30000000000004</v>
      </c>
      <c r="N11" s="180">
        <f t="shared" si="2"/>
        <v>161.15000000000003</v>
      </c>
      <c r="O11" s="180">
        <f t="shared" si="2"/>
        <v>232.05999999999995</v>
      </c>
      <c r="P11" s="180">
        <f t="shared" si="2"/>
        <v>229.34000000000015</v>
      </c>
      <c r="Q11" s="180">
        <f t="shared" si="2"/>
        <v>253.82999999999998</v>
      </c>
      <c r="R11" s="180">
        <f t="shared" si="2"/>
        <v>218.70000000000007</v>
      </c>
      <c r="S11" s="180">
        <f t="shared" si="2"/>
        <v>133.55000000000004</v>
      </c>
      <c r="T11" s="180">
        <f t="shared" si="2"/>
        <v>91.749999999999986</v>
      </c>
      <c r="U11" s="180">
        <f t="shared" si="2"/>
        <v>60.629999999999981</v>
      </c>
      <c r="V11" s="180">
        <f t="shared" si="2"/>
        <v>48.7</v>
      </c>
      <c r="W11" s="180">
        <f t="shared" si="2"/>
        <v>40.809999999999995</v>
      </c>
      <c r="X11" s="180">
        <f t="shared" si="2"/>
        <v>26.170000000000009</v>
      </c>
      <c r="Y11" s="180">
        <f t="shared" si="2"/>
        <v>17.45</v>
      </c>
      <c r="Z11" s="180">
        <f t="shared" si="2"/>
        <v>4018.75</v>
      </c>
      <c r="AA11" s="186">
        <f t="shared" si="1"/>
        <v>0.9381514535365536</v>
      </c>
    </row>
    <row r="12" spans="1:27" x14ac:dyDescent="0.35">
      <c r="A12" s="193" t="s">
        <v>17</v>
      </c>
      <c r="B12" s="156">
        <v>97.8</v>
      </c>
      <c r="C12" s="156">
        <v>18.399999999999995</v>
      </c>
      <c r="D12" s="156">
        <v>3.2100000000000004</v>
      </c>
      <c r="E12" s="156">
        <v>2.02</v>
      </c>
      <c r="F12" s="156">
        <v>0.89</v>
      </c>
      <c r="G12" s="156">
        <v>9.6099999999999977</v>
      </c>
      <c r="H12" s="156">
        <v>4.3099999999999996</v>
      </c>
      <c r="I12" s="156">
        <v>0.21000000000000002</v>
      </c>
      <c r="J12" s="156">
        <v>1.56</v>
      </c>
      <c r="K12" s="156">
        <v>4.67</v>
      </c>
      <c r="L12" s="156">
        <v>5.129999999999999</v>
      </c>
      <c r="M12" s="156">
        <v>22.270000000000003</v>
      </c>
      <c r="N12" s="156">
        <v>18.23</v>
      </c>
      <c r="O12" s="156">
        <v>38.180000000000007</v>
      </c>
      <c r="P12" s="156">
        <v>4.3899999999999997</v>
      </c>
      <c r="Q12" s="156">
        <v>14.08</v>
      </c>
      <c r="R12" s="156">
        <v>4.46</v>
      </c>
      <c r="S12" s="156">
        <v>2.42</v>
      </c>
      <c r="T12" s="156">
        <v>2.5700000000000003</v>
      </c>
      <c r="U12" s="156">
        <v>2.34</v>
      </c>
      <c r="V12" s="156">
        <v>1.7400000000000002</v>
      </c>
      <c r="W12" s="156"/>
      <c r="X12" s="156"/>
      <c r="Y12" s="156"/>
      <c r="Z12" s="156">
        <v>258.48999999999995</v>
      </c>
      <c r="AA12" s="174">
        <f t="shared" si="1"/>
        <v>6.0342835265857223E-2</v>
      </c>
    </row>
    <row r="13" spans="1:27" x14ac:dyDescent="0.35">
      <c r="A13" s="193" t="s">
        <v>18</v>
      </c>
      <c r="B13" s="156">
        <v>10.47</v>
      </c>
      <c r="C13" s="156">
        <v>2.97</v>
      </c>
      <c r="D13" s="156"/>
      <c r="E13" s="156"/>
      <c r="F13" s="156"/>
      <c r="G13" s="156"/>
      <c r="H13" s="156">
        <v>2.09</v>
      </c>
      <c r="I13" s="156"/>
      <c r="J13" s="156">
        <v>19.089999999999996</v>
      </c>
      <c r="K13" s="156"/>
      <c r="L13" s="156">
        <v>2.73</v>
      </c>
      <c r="M13" s="156">
        <v>4.42</v>
      </c>
      <c r="N13" s="156">
        <v>0.26</v>
      </c>
      <c r="O13" s="156">
        <v>3.3299999999999996</v>
      </c>
      <c r="P13" s="156">
        <v>8.82</v>
      </c>
      <c r="Q13" s="156">
        <v>4.2</v>
      </c>
      <c r="R13" s="156"/>
      <c r="S13" s="156">
        <v>2.2799999999999998</v>
      </c>
      <c r="T13" s="156">
        <v>3.95</v>
      </c>
      <c r="U13" s="156">
        <v>3.05</v>
      </c>
      <c r="V13" s="156">
        <v>3.55</v>
      </c>
      <c r="W13" s="156"/>
      <c r="X13" s="156"/>
      <c r="Y13" s="156">
        <v>14.370000000000001</v>
      </c>
      <c r="Z13" s="156">
        <v>85.58</v>
      </c>
      <c r="AA13" s="174">
        <f t="shared" si="1"/>
        <v>1.9978102990645914E-2</v>
      </c>
    </row>
    <row r="14" spans="1:27" x14ac:dyDescent="0.35">
      <c r="A14" s="193" t="s">
        <v>19</v>
      </c>
      <c r="B14" s="156">
        <v>1427.930000000001</v>
      </c>
      <c r="C14" s="156">
        <v>216.4399999999998</v>
      </c>
      <c r="D14" s="156">
        <v>39.800000000000018</v>
      </c>
      <c r="E14" s="156">
        <v>43.93</v>
      </c>
      <c r="F14" s="156">
        <v>45.36999999999999</v>
      </c>
      <c r="G14" s="156">
        <v>111.08000000000004</v>
      </c>
      <c r="H14" s="156">
        <v>68.659999999999968</v>
      </c>
      <c r="I14" s="156">
        <v>50.249999999999979</v>
      </c>
      <c r="J14" s="156">
        <v>42.129999999999995</v>
      </c>
      <c r="K14" s="156">
        <v>54.720000000000006</v>
      </c>
      <c r="L14" s="156">
        <v>67.839999999999975</v>
      </c>
      <c r="M14" s="156">
        <v>124.61000000000004</v>
      </c>
      <c r="N14" s="156">
        <v>142.66000000000003</v>
      </c>
      <c r="O14" s="156">
        <v>190.54999999999995</v>
      </c>
      <c r="P14" s="156">
        <v>216.13000000000014</v>
      </c>
      <c r="Q14" s="156">
        <v>235.54999999999998</v>
      </c>
      <c r="R14" s="156">
        <v>214.24000000000007</v>
      </c>
      <c r="S14" s="156">
        <v>128.85000000000005</v>
      </c>
      <c r="T14" s="156">
        <v>85.22999999999999</v>
      </c>
      <c r="U14" s="156">
        <v>55.239999999999981</v>
      </c>
      <c r="V14" s="156">
        <v>43.410000000000004</v>
      </c>
      <c r="W14" s="156">
        <v>40.809999999999995</v>
      </c>
      <c r="X14" s="156">
        <v>26.170000000000009</v>
      </c>
      <c r="Y14" s="156">
        <v>3.0799999999999996</v>
      </c>
      <c r="Z14" s="156">
        <v>3674.6800000000003</v>
      </c>
      <c r="AA14" s="174">
        <f t="shared" si="1"/>
        <v>0.85783051528005061</v>
      </c>
    </row>
    <row r="15" spans="1:27" x14ac:dyDescent="0.35">
      <c r="A15" s="188" t="s">
        <v>23</v>
      </c>
      <c r="B15" s="180">
        <v>50.83</v>
      </c>
      <c r="C15" s="180">
        <v>4.26</v>
      </c>
      <c r="D15" s="180"/>
      <c r="E15" s="180">
        <v>4.47</v>
      </c>
      <c r="F15" s="180"/>
      <c r="G15" s="180">
        <v>0.28999999999999998</v>
      </c>
      <c r="H15" s="180">
        <v>4.16</v>
      </c>
      <c r="I15" s="180">
        <v>1.36</v>
      </c>
      <c r="J15" s="180">
        <v>2.52</v>
      </c>
      <c r="K15" s="180"/>
      <c r="L15" s="180">
        <v>0.56999999999999995</v>
      </c>
      <c r="M15" s="180">
        <v>16.07</v>
      </c>
      <c r="N15" s="180">
        <v>0.13</v>
      </c>
      <c r="O15" s="180">
        <v>2</v>
      </c>
      <c r="P15" s="180">
        <v>0.4</v>
      </c>
      <c r="Q15" s="180">
        <v>11.02</v>
      </c>
      <c r="R15" s="180">
        <v>5.62</v>
      </c>
      <c r="S15" s="180">
        <v>28.72</v>
      </c>
      <c r="T15" s="180"/>
      <c r="U15" s="180"/>
      <c r="V15" s="180"/>
      <c r="W15" s="180"/>
      <c r="X15" s="180">
        <v>1.1000000000000001</v>
      </c>
      <c r="Y15" s="180"/>
      <c r="Z15" s="180">
        <v>133.51999999999995</v>
      </c>
      <c r="AA15" s="186">
        <f t="shared" si="1"/>
        <v>3.11693890080748E-2</v>
      </c>
    </row>
    <row r="16" spans="1:27" x14ac:dyDescent="0.35">
      <c r="A16" s="193" t="s">
        <v>26</v>
      </c>
      <c r="B16" s="156">
        <v>50.83</v>
      </c>
      <c r="C16" s="156">
        <v>4.26</v>
      </c>
      <c r="D16" s="156"/>
      <c r="E16" s="156">
        <v>4.47</v>
      </c>
      <c r="F16" s="156"/>
      <c r="G16" s="156">
        <v>0.28999999999999998</v>
      </c>
      <c r="H16" s="156">
        <v>4.16</v>
      </c>
      <c r="I16" s="156">
        <v>1.36</v>
      </c>
      <c r="J16" s="156">
        <v>2.52</v>
      </c>
      <c r="K16" s="156"/>
      <c r="L16" s="156">
        <v>0.56999999999999995</v>
      </c>
      <c r="M16" s="156">
        <v>16.07</v>
      </c>
      <c r="N16" s="156">
        <v>0.13</v>
      </c>
      <c r="O16" s="156">
        <v>2</v>
      </c>
      <c r="P16" s="156">
        <v>0.4</v>
      </c>
      <c r="Q16" s="156">
        <v>11.02</v>
      </c>
      <c r="R16" s="156">
        <v>5.62</v>
      </c>
      <c r="S16" s="156">
        <v>28.72</v>
      </c>
      <c r="T16" s="156"/>
      <c r="U16" s="156"/>
      <c r="V16" s="156"/>
      <c r="W16" s="156"/>
      <c r="X16" s="156">
        <v>1.1000000000000001</v>
      </c>
      <c r="Y16" s="156"/>
      <c r="Z16" s="156">
        <v>133.51999999999995</v>
      </c>
      <c r="AA16" s="174">
        <f t="shared" si="1"/>
        <v>3.11693890080748E-2</v>
      </c>
    </row>
    <row r="17" spans="1:27" x14ac:dyDescent="0.35">
      <c r="A17" s="188" t="s">
        <v>39</v>
      </c>
      <c r="B17" s="180">
        <v>1.93</v>
      </c>
      <c r="C17" s="180">
        <v>0.67</v>
      </c>
      <c r="D17" s="180">
        <v>0</v>
      </c>
      <c r="E17" s="180">
        <v>0.01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0.77</v>
      </c>
      <c r="M17" s="180">
        <v>6.03</v>
      </c>
      <c r="N17" s="180">
        <v>33.11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42.519999999999996</v>
      </c>
      <c r="AA17" s="186">
        <f t="shared" si="1"/>
        <v>9.9260217242610905E-3</v>
      </c>
    </row>
    <row r="18" spans="1:27" x14ac:dyDescent="0.35">
      <c r="A18" s="193" t="s">
        <v>39</v>
      </c>
      <c r="B18" s="156">
        <v>1.93</v>
      </c>
      <c r="C18" s="156">
        <v>0.67</v>
      </c>
      <c r="D18" s="156">
        <v>0</v>
      </c>
      <c r="E18" s="156">
        <v>0.01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0.77</v>
      </c>
      <c r="M18" s="156">
        <v>6.03</v>
      </c>
      <c r="N18" s="156">
        <v>33.11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6">
        <v>0</v>
      </c>
      <c r="Y18" s="156">
        <v>0</v>
      </c>
      <c r="Z18" s="156">
        <v>42.519999999999996</v>
      </c>
      <c r="AA18" s="174">
        <f t="shared" si="1"/>
        <v>9.9260217242610905E-3</v>
      </c>
    </row>
    <row r="19" spans="1:27" x14ac:dyDescent="0.35">
      <c r="A19" s="194" t="s">
        <v>40</v>
      </c>
      <c r="B19" s="184">
        <v>1623.3900000000008</v>
      </c>
      <c r="C19" s="184">
        <v>249.48999999999978</v>
      </c>
      <c r="D19" s="184">
        <v>45.47000000000002</v>
      </c>
      <c r="E19" s="184">
        <v>55.79</v>
      </c>
      <c r="F19" s="184">
        <v>49.29999999999999</v>
      </c>
      <c r="G19" s="184">
        <v>121.19000000000004</v>
      </c>
      <c r="H19" s="184">
        <v>79.21999999999997</v>
      </c>
      <c r="I19" s="184">
        <v>51.819999999999979</v>
      </c>
      <c r="J19" s="184">
        <v>71.549999999999983</v>
      </c>
      <c r="K19" s="184">
        <v>62.31</v>
      </c>
      <c r="L19" s="184">
        <v>78.809999999999974</v>
      </c>
      <c r="M19" s="184">
        <v>173.79000000000002</v>
      </c>
      <c r="N19" s="184">
        <v>197.96000000000004</v>
      </c>
      <c r="O19" s="184">
        <v>238.38999999999996</v>
      </c>
      <c r="P19" s="184">
        <v>232.02000000000015</v>
      </c>
      <c r="Q19" s="184">
        <v>264.84999999999997</v>
      </c>
      <c r="R19" s="184">
        <v>233.41000000000008</v>
      </c>
      <c r="S19" s="184">
        <v>164.47000000000006</v>
      </c>
      <c r="T19" s="184">
        <v>91.749999999999986</v>
      </c>
      <c r="U19" s="184">
        <v>60.629999999999981</v>
      </c>
      <c r="V19" s="184">
        <v>52.550000000000004</v>
      </c>
      <c r="W19" s="184">
        <v>40.809999999999995</v>
      </c>
      <c r="X19" s="184">
        <v>27.27000000000001</v>
      </c>
      <c r="Y19" s="184">
        <v>17.45</v>
      </c>
      <c r="Z19" s="184">
        <v>4283.6900000000005</v>
      </c>
      <c r="AA19" s="185">
        <v>1.0000000000000002</v>
      </c>
    </row>
    <row r="22" spans="1:27" ht="15.5" x14ac:dyDescent="0.35">
      <c r="A22" s="108" t="s">
        <v>110</v>
      </c>
      <c r="B22" s="189" t="s">
        <v>74</v>
      </c>
      <c r="C22" s="189">
        <v>2000</v>
      </c>
      <c r="D22" s="189">
        <v>2001</v>
      </c>
      <c r="E22" s="189">
        <v>2002</v>
      </c>
      <c r="F22" s="189">
        <v>2003</v>
      </c>
      <c r="G22" s="189">
        <v>2004</v>
      </c>
      <c r="H22" s="189">
        <v>2005</v>
      </c>
      <c r="I22" s="189">
        <v>2006</v>
      </c>
      <c r="J22" s="189">
        <v>2007</v>
      </c>
      <c r="K22" s="189">
        <v>2008</v>
      </c>
      <c r="L22" s="189">
        <v>2009</v>
      </c>
      <c r="M22" s="189">
        <v>2010</v>
      </c>
      <c r="N22" s="189">
        <v>2011</v>
      </c>
      <c r="O22" s="189">
        <v>2012</v>
      </c>
      <c r="P22" s="189">
        <v>2013</v>
      </c>
      <c r="Q22" s="189">
        <v>2014</v>
      </c>
      <c r="R22" s="189">
        <v>2015</v>
      </c>
      <c r="S22" s="189">
        <v>2016</v>
      </c>
      <c r="T22" s="189">
        <v>2017</v>
      </c>
      <c r="U22" s="189">
        <v>2018</v>
      </c>
      <c r="V22" s="189">
        <v>2019</v>
      </c>
      <c r="W22" s="189">
        <v>2020</v>
      </c>
      <c r="X22" s="189">
        <v>2021</v>
      </c>
      <c r="Y22" s="190" t="s">
        <v>75</v>
      </c>
    </row>
    <row r="23" spans="1:27" x14ac:dyDescent="0.35">
      <c r="A23" s="188" t="s">
        <v>6</v>
      </c>
      <c r="B23" s="174">
        <f t="shared" ref="B23:Y23" si="3">B5/$Z$5</f>
        <v>0.38728908886389191</v>
      </c>
      <c r="C23" s="174">
        <f t="shared" si="3"/>
        <v>7.5928008998875127E-2</v>
      </c>
      <c r="D23" s="174">
        <f t="shared" si="3"/>
        <v>2.7671541057367823E-2</v>
      </c>
      <c r="E23" s="174">
        <f t="shared" si="3"/>
        <v>6.0292463442069733E-2</v>
      </c>
      <c r="F23" s="174">
        <f t="shared" si="3"/>
        <v>3.4195725534308205E-2</v>
      </c>
      <c r="G23" s="174">
        <f t="shared" si="3"/>
        <v>2.3622047244094484E-3</v>
      </c>
      <c r="H23" s="174">
        <f t="shared" si="3"/>
        <v>0</v>
      </c>
      <c r="I23" s="174">
        <f t="shared" si="3"/>
        <v>0</v>
      </c>
      <c r="J23" s="174">
        <f t="shared" si="3"/>
        <v>7.0303712035995489E-2</v>
      </c>
      <c r="K23" s="174">
        <f t="shared" si="3"/>
        <v>3.2845894263217087E-2</v>
      </c>
      <c r="L23" s="174">
        <f t="shared" si="3"/>
        <v>1.9910011248593922E-2</v>
      </c>
      <c r="M23" s="174">
        <f t="shared" si="3"/>
        <v>4.3869516310461182E-3</v>
      </c>
      <c r="N23" s="174">
        <f t="shared" si="3"/>
        <v>4.0157480314960622E-2</v>
      </c>
      <c r="O23" s="174">
        <f t="shared" si="3"/>
        <v>4.870641169853767E-2</v>
      </c>
      <c r="P23" s="174">
        <f t="shared" si="3"/>
        <v>2.564679415073115E-2</v>
      </c>
      <c r="Q23" s="174">
        <f t="shared" si="3"/>
        <v>0</v>
      </c>
      <c r="R23" s="174">
        <f t="shared" si="3"/>
        <v>0.10224971878515184</v>
      </c>
      <c r="S23" s="174">
        <f t="shared" si="3"/>
        <v>2.4746906636670413E-2</v>
      </c>
      <c r="T23" s="174">
        <f t="shared" si="3"/>
        <v>0</v>
      </c>
      <c r="U23" s="174">
        <f t="shared" si="3"/>
        <v>0</v>
      </c>
      <c r="V23" s="174">
        <f t="shared" si="3"/>
        <v>4.3307086614173221E-2</v>
      </c>
      <c r="W23" s="174">
        <f t="shared" si="3"/>
        <v>0</v>
      </c>
      <c r="X23" s="174">
        <f t="shared" si="3"/>
        <v>0</v>
      </c>
      <c r="Y23" s="191">
        <f t="shared" si="3"/>
        <v>0</v>
      </c>
    </row>
    <row r="24" spans="1:27" x14ac:dyDescent="0.35">
      <c r="A24" s="188" t="s">
        <v>16</v>
      </c>
      <c r="B24" s="174">
        <f t="shared" ref="B24:Y24" si="4">B11/$Z$11</f>
        <v>0.38225816485225528</v>
      </c>
      <c r="C24" s="174">
        <f t="shared" si="4"/>
        <v>5.9175116640746449E-2</v>
      </c>
      <c r="D24" s="174">
        <f t="shared" si="4"/>
        <v>1.0702332814930021E-2</v>
      </c>
      <c r="E24" s="174">
        <f t="shared" si="4"/>
        <v>1.1433903576982894E-2</v>
      </c>
      <c r="F24" s="174">
        <f t="shared" si="4"/>
        <v>1.1511041990668738E-2</v>
      </c>
      <c r="G24" s="174">
        <f t="shared" si="4"/>
        <v>3.0031726283048222E-2</v>
      </c>
      <c r="H24" s="174">
        <f t="shared" si="4"/>
        <v>1.8677449455676509E-2</v>
      </c>
      <c r="I24" s="174">
        <f t="shared" si="4"/>
        <v>1.2556143079315702E-2</v>
      </c>
      <c r="J24" s="174">
        <f t="shared" si="4"/>
        <v>1.5621772939346808E-2</v>
      </c>
      <c r="K24" s="174">
        <f t="shared" si="4"/>
        <v>1.477822706065319E-2</v>
      </c>
      <c r="L24" s="174">
        <f t="shared" si="4"/>
        <v>1.8836702954898903E-2</v>
      </c>
      <c r="M24" s="174">
        <f t="shared" si="4"/>
        <v>3.7648522550544336E-2</v>
      </c>
      <c r="N24" s="174">
        <f t="shared" si="4"/>
        <v>4.0099533437014008E-2</v>
      </c>
      <c r="O24" s="174">
        <f t="shared" si="4"/>
        <v>5.7744323483670285E-2</v>
      </c>
      <c r="P24" s="174">
        <f t="shared" si="4"/>
        <v>5.7067496111975154E-2</v>
      </c>
      <c r="Q24" s="174">
        <f t="shared" si="4"/>
        <v>6.3161430793157072E-2</v>
      </c>
      <c r="R24" s="174">
        <f t="shared" si="4"/>
        <v>5.4419906687402819E-2</v>
      </c>
      <c r="S24" s="174">
        <f t="shared" si="4"/>
        <v>3.323172628304822E-2</v>
      </c>
      <c r="T24" s="174">
        <f t="shared" si="4"/>
        <v>2.2830482115085534E-2</v>
      </c>
      <c r="U24" s="174">
        <f t="shared" si="4"/>
        <v>1.5086780715396575E-2</v>
      </c>
      <c r="V24" s="174">
        <f t="shared" si="4"/>
        <v>1.2118195956454123E-2</v>
      </c>
      <c r="W24" s="174">
        <f t="shared" si="4"/>
        <v>1.0154898911353032E-2</v>
      </c>
      <c r="X24" s="174">
        <f t="shared" si="4"/>
        <v>6.5119751166407489E-3</v>
      </c>
      <c r="Y24" s="196">
        <f t="shared" si="4"/>
        <v>4.3421461897356142E-3</v>
      </c>
    </row>
    <row r="25" spans="1:27" x14ac:dyDescent="0.35">
      <c r="A25" s="188" t="s">
        <v>23</v>
      </c>
      <c r="B25" s="174">
        <f t="shared" ref="B25:Y25" si="5">B15/$Z$15</f>
        <v>0.38069203115638117</v>
      </c>
      <c r="C25" s="174">
        <f t="shared" si="5"/>
        <v>3.1905332534451776E-2</v>
      </c>
      <c r="D25" s="174">
        <f t="shared" si="5"/>
        <v>0</v>
      </c>
      <c r="E25" s="174">
        <f t="shared" si="5"/>
        <v>3.3478130617136018E-2</v>
      </c>
      <c r="F25" s="174">
        <f t="shared" si="5"/>
        <v>0</v>
      </c>
      <c r="G25" s="174">
        <f t="shared" si="5"/>
        <v>2.1719592570401446E-3</v>
      </c>
      <c r="H25" s="174">
        <f t="shared" si="5"/>
        <v>3.1156381066506901E-2</v>
      </c>
      <c r="I25" s="174">
        <f t="shared" si="5"/>
        <v>1.0185739964050334E-2</v>
      </c>
      <c r="J25" s="174">
        <f t="shared" si="5"/>
        <v>1.887357699221091E-2</v>
      </c>
      <c r="K25" s="174">
        <f t="shared" si="5"/>
        <v>0</v>
      </c>
      <c r="L25" s="174">
        <f t="shared" si="5"/>
        <v>4.269023367285801E-3</v>
      </c>
      <c r="M25" s="174">
        <f t="shared" si="5"/>
        <v>0.12035650089874181</v>
      </c>
      <c r="N25" s="174">
        <f t="shared" si="5"/>
        <v>9.7363690832834066E-4</v>
      </c>
      <c r="O25" s="174">
        <f t="shared" si="5"/>
        <v>1.4979029358897548E-2</v>
      </c>
      <c r="P25" s="174">
        <f t="shared" si="5"/>
        <v>2.9958058717795099E-3</v>
      </c>
      <c r="Q25" s="174">
        <f t="shared" si="5"/>
        <v>8.2534451767525496E-2</v>
      </c>
      <c r="R25" s="174">
        <f t="shared" si="5"/>
        <v>4.2091072498502115E-2</v>
      </c>
      <c r="S25" s="174">
        <f t="shared" si="5"/>
        <v>0.21509886159376879</v>
      </c>
      <c r="T25" s="174">
        <f t="shared" si="5"/>
        <v>0</v>
      </c>
      <c r="U25" s="174">
        <f t="shared" si="5"/>
        <v>0</v>
      </c>
      <c r="V25" s="174">
        <f t="shared" si="5"/>
        <v>0</v>
      </c>
      <c r="W25" s="174">
        <f t="shared" si="5"/>
        <v>0</v>
      </c>
      <c r="X25" s="174">
        <f t="shared" si="5"/>
        <v>8.2384661473936527E-3</v>
      </c>
      <c r="Y25" s="191">
        <f t="shared" si="5"/>
        <v>0</v>
      </c>
    </row>
    <row r="26" spans="1:27" x14ac:dyDescent="0.35">
      <c r="A26" s="188" t="s">
        <v>39</v>
      </c>
      <c r="B26" s="174">
        <f t="shared" ref="B26:Y26" si="6">B17/$Z$17</f>
        <v>4.5390404515522113E-2</v>
      </c>
      <c r="C26" s="174">
        <f t="shared" si="6"/>
        <v>1.5757290686735655E-2</v>
      </c>
      <c r="D26" s="174">
        <f t="shared" si="6"/>
        <v>0</v>
      </c>
      <c r="E26" s="174">
        <f t="shared" si="6"/>
        <v>2.3518344308560681E-4</v>
      </c>
      <c r="F26" s="174">
        <f t="shared" si="6"/>
        <v>0</v>
      </c>
      <c r="G26" s="174">
        <f t="shared" si="6"/>
        <v>0</v>
      </c>
      <c r="H26" s="174">
        <f t="shared" si="6"/>
        <v>0</v>
      </c>
      <c r="I26" s="174">
        <f t="shared" si="6"/>
        <v>0</v>
      </c>
      <c r="J26" s="174">
        <f t="shared" si="6"/>
        <v>0</v>
      </c>
      <c r="K26" s="174">
        <f t="shared" si="6"/>
        <v>0</v>
      </c>
      <c r="L26" s="174">
        <f t="shared" si="6"/>
        <v>1.8109125117591725E-2</v>
      </c>
      <c r="M26" s="174">
        <f t="shared" si="6"/>
        <v>0.14181561618062091</v>
      </c>
      <c r="N26" s="174">
        <f t="shared" si="6"/>
        <v>0.77869238005644403</v>
      </c>
      <c r="O26" s="174">
        <f t="shared" si="6"/>
        <v>0</v>
      </c>
      <c r="P26" s="174">
        <f t="shared" si="6"/>
        <v>0</v>
      </c>
      <c r="Q26" s="174">
        <f t="shared" si="6"/>
        <v>0</v>
      </c>
      <c r="R26" s="174">
        <f t="shared" si="6"/>
        <v>0</v>
      </c>
      <c r="S26" s="174">
        <f t="shared" si="6"/>
        <v>0</v>
      </c>
      <c r="T26" s="174">
        <f t="shared" si="6"/>
        <v>0</v>
      </c>
      <c r="U26" s="174">
        <f t="shared" si="6"/>
        <v>0</v>
      </c>
      <c r="V26" s="174">
        <f t="shared" si="6"/>
        <v>0</v>
      </c>
      <c r="W26" s="174">
        <f t="shared" si="6"/>
        <v>0</v>
      </c>
      <c r="X26" s="174">
        <f t="shared" si="6"/>
        <v>0</v>
      </c>
      <c r="Y26" s="191">
        <f t="shared" si="6"/>
        <v>0</v>
      </c>
    </row>
    <row r="27" spans="1:27" x14ac:dyDescent="0.35">
      <c r="A27" s="188" t="s">
        <v>40</v>
      </c>
      <c r="B27" s="174">
        <f t="shared" ref="B27:Y27" si="7">B19/$Z$19</f>
        <v>0.37897000016341065</v>
      </c>
      <c r="C27" s="174">
        <f t="shared" si="7"/>
        <v>5.8241842897128353E-2</v>
      </c>
      <c r="D27" s="174">
        <f t="shared" si="7"/>
        <v>1.0614680334011101E-2</v>
      </c>
      <c r="E27" s="174">
        <f t="shared" si="7"/>
        <v>1.3023818250153488E-2</v>
      </c>
      <c r="F27" s="174">
        <f t="shared" si="7"/>
        <v>1.1508769308703475E-2</v>
      </c>
      <c r="G27" s="174">
        <f t="shared" si="7"/>
        <v>2.8291029462916322E-2</v>
      </c>
      <c r="H27" s="174">
        <f t="shared" si="7"/>
        <v>1.8493401716744198E-2</v>
      </c>
      <c r="I27" s="174">
        <f t="shared" si="7"/>
        <v>1.2097047171947544E-2</v>
      </c>
      <c r="J27" s="174">
        <f t="shared" si="7"/>
        <v>1.6702889331394188E-2</v>
      </c>
      <c r="K27" s="174">
        <f t="shared" si="7"/>
        <v>1.4545870499499262E-2</v>
      </c>
      <c r="L27" s="174">
        <f t="shared" si="7"/>
        <v>1.8397689842168777E-2</v>
      </c>
      <c r="M27" s="174">
        <f t="shared" si="7"/>
        <v>4.0570162640153701E-2</v>
      </c>
      <c r="N27" s="174">
        <f t="shared" si="7"/>
        <v>4.6212494368173235E-2</v>
      </c>
      <c r="O27" s="174">
        <f t="shared" si="7"/>
        <v>5.5650618975696169E-2</v>
      </c>
      <c r="P27" s="174">
        <f t="shared" si="7"/>
        <v>5.4163583265829256E-2</v>
      </c>
      <c r="Q27" s="174">
        <f t="shared" si="7"/>
        <v>6.1827536539758927E-2</v>
      </c>
      <c r="R27" s="174">
        <f t="shared" si="7"/>
        <v>5.4488069864999579E-2</v>
      </c>
      <c r="S27" s="174">
        <f t="shared" si="7"/>
        <v>3.8394468320536744E-2</v>
      </c>
      <c r="T27" s="174">
        <f t="shared" si="7"/>
        <v>2.1418449981207784E-2</v>
      </c>
      <c r="U27" s="174">
        <f t="shared" si="7"/>
        <v>1.4153685257336542E-2</v>
      </c>
      <c r="V27" s="174">
        <f t="shared" si="7"/>
        <v>1.2267460997411109E-2</v>
      </c>
      <c r="W27" s="174">
        <f t="shared" si="7"/>
        <v>9.5268331742026126E-3</v>
      </c>
      <c r="X27" s="174">
        <f t="shared" si="7"/>
        <v>6.3660068772483551E-3</v>
      </c>
      <c r="Y27" s="196">
        <f t="shared" si="7"/>
        <v>4.0735907593686749E-3</v>
      </c>
    </row>
  </sheetData>
  <hyperlinks>
    <hyperlink ref="B1" location="ÍNDICE!A1" display="ÍNDICE!A1" xr:uid="{427905DF-A299-462E-91DD-31FE831300C2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pageSetUpPr autoPageBreaks="0"/>
  </sheetPr>
  <dimension ref="A1:BV57"/>
  <sheetViews>
    <sheetView topLeftCell="A32" zoomScale="70" zoomScaleNormal="70" workbookViewId="0">
      <pane xSplit="1" topLeftCell="K1" activePane="topRight" state="frozen"/>
      <selection pane="topRight" activeCell="AD22" sqref="AD22"/>
    </sheetView>
  </sheetViews>
  <sheetFormatPr baseColWidth="10" defaultRowHeight="14.5" x14ac:dyDescent="0.35"/>
  <cols>
    <col min="1" max="1" width="25.26953125" customWidth="1"/>
    <col min="2" max="24" width="10.26953125" customWidth="1"/>
    <col min="25" max="25" width="17.81640625" customWidth="1"/>
    <col min="26" max="26" width="16.26953125" customWidth="1"/>
    <col min="27" max="27" width="14.54296875" customWidth="1"/>
  </cols>
  <sheetData>
    <row r="1" spans="1:28" ht="21" x14ac:dyDescent="0.5">
      <c r="A1" s="337" t="s">
        <v>80</v>
      </c>
      <c r="B1" s="338" t="s">
        <v>79</v>
      </c>
      <c r="F1" s="337"/>
      <c r="G1" s="338"/>
    </row>
    <row r="3" spans="1:28" ht="18.5" x14ac:dyDescent="0.45">
      <c r="A3" s="53" t="s">
        <v>48</v>
      </c>
      <c r="B3" s="54"/>
      <c r="C3" s="54"/>
      <c r="D3" s="54"/>
      <c r="E3" s="50"/>
      <c r="F3" s="48"/>
      <c r="G3" s="54"/>
      <c r="H3" s="54"/>
    </row>
    <row r="4" spans="1:28" ht="31" x14ac:dyDescent="0.35">
      <c r="A4" s="268" t="s">
        <v>134</v>
      </c>
      <c r="B4" s="198" t="s">
        <v>74</v>
      </c>
      <c r="C4" s="198">
        <v>2000</v>
      </c>
      <c r="D4" s="198">
        <v>2001</v>
      </c>
      <c r="E4" s="198">
        <v>2002</v>
      </c>
      <c r="F4" s="198">
        <v>2003</v>
      </c>
      <c r="G4" s="198">
        <v>2004</v>
      </c>
      <c r="H4" s="198">
        <v>2005</v>
      </c>
      <c r="I4" s="198">
        <v>2006</v>
      </c>
      <c r="J4" s="198">
        <v>2007</v>
      </c>
      <c r="K4" s="198">
        <v>2008</v>
      </c>
      <c r="L4" s="198">
        <v>2009</v>
      </c>
      <c r="M4" s="198">
        <v>2010</v>
      </c>
      <c r="N4" s="198">
        <v>2011</v>
      </c>
      <c r="O4" s="198">
        <v>2012</v>
      </c>
      <c r="P4" s="198">
        <v>2013</v>
      </c>
      <c r="Q4" s="198">
        <v>2014</v>
      </c>
      <c r="R4" s="198">
        <v>2015</v>
      </c>
      <c r="S4" s="198">
        <v>2016</v>
      </c>
      <c r="T4" s="198">
        <v>2017</v>
      </c>
      <c r="U4" s="198">
        <v>2018</v>
      </c>
      <c r="V4" s="198">
        <v>2019</v>
      </c>
      <c r="W4" s="198">
        <v>2020</v>
      </c>
      <c r="X4" s="198">
        <v>2021</v>
      </c>
      <c r="Y4" s="264" t="s">
        <v>75</v>
      </c>
      <c r="Z4" s="264" t="s">
        <v>73</v>
      </c>
      <c r="AA4" s="178" t="s">
        <v>76</v>
      </c>
      <c r="AB4" t="s">
        <v>145</v>
      </c>
    </row>
    <row r="5" spans="1:28" x14ac:dyDescent="0.35">
      <c r="A5" s="188" t="s">
        <v>6</v>
      </c>
      <c r="B5" s="180">
        <f>SUM(B6:B12)</f>
        <v>1712.8499999999995</v>
      </c>
      <c r="C5" s="180">
        <f t="shared" ref="C5:Z5" si="0">SUM(C6:C12)</f>
        <v>311.27999999999992</v>
      </c>
      <c r="D5" s="180">
        <f t="shared" si="0"/>
        <v>62.72</v>
      </c>
      <c r="E5" s="180">
        <f t="shared" si="0"/>
        <v>84.88</v>
      </c>
      <c r="F5" s="180">
        <f t="shared" si="0"/>
        <v>48.519999999999996</v>
      </c>
      <c r="G5" s="180">
        <f t="shared" si="0"/>
        <v>21.259999999999998</v>
      </c>
      <c r="H5" s="180">
        <f t="shared" si="0"/>
        <v>59.160000000000018</v>
      </c>
      <c r="I5" s="180">
        <f t="shared" si="0"/>
        <v>10.209999999999999</v>
      </c>
      <c r="J5" s="180">
        <f t="shared" si="0"/>
        <v>9.0900000000000016</v>
      </c>
      <c r="K5" s="180">
        <f t="shared" si="0"/>
        <v>25.25</v>
      </c>
      <c r="L5" s="180">
        <f t="shared" si="0"/>
        <v>21.34</v>
      </c>
      <c r="M5" s="180">
        <f t="shared" si="0"/>
        <v>75.160000000000011</v>
      </c>
      <c r="N5" s="180">
        <f t="shared" si="0"/>
        <v>16.029999999999998</v>
      </c>
      <c r="O5" s="180">
        <f t="shared" si="0"/>
        <v>76.27</v>
      </c>
      <c r="P5" s="180">
        <f t="shared" si="0"/>
        <v>62.679999999999993</v>
      </c>
      <c r="Q5" s="180">
        <f t="shared" si="0"/>
        <v>181.71999999999997</v>
      </c>
      <c r="R5" s="180">
        <f t="shared" si="0"/>
        <v>131.33000000000001</v>
      </c>
      <c r="S5" s="180">
        <f t="shared" si="0"/>
        <v>149.54999999999998</v>
      </c>
      <c r="T5" s="180">
        <f t="shared" si="0"/>
        <v>138.29</v>
      </c>
      <c r="U5" s="180">
        <f t="shared" si="0"/>
        <v>184.19</v>
      </c>
      <c r="V5" s="180">
        <f t="shared" si="0"/>
        <v>303.64</v>
      </c>
      <c r="W5" s="180">
        <f t="shared" si="0"/>
        <v>108.02999999999999</v>
      </c>
      <c r="X5" s="180">
        <f t="shared" si="0"/>
        <v>162.16999999999999</v>
      </c>
      <c r="Y5" s="180">
        <f t="shared" si="0"/>
        <v>2.9600000000000004</v>
      </c>
      <c r="Z5" s="180">
        <f t="shared" si="0"/>
        <v>3958.5799999999986</v>
      </c>
      <c r="AA5" s="181">
        <f t="shared" ref="AA5:AA35" si="1">Z5/$Z$36</f>
        <v>0.13140300788468498</v>
      </c>
      <c r="AB5" s="6">
        <f>SUM(P5:V5)</f>
        <v>1151.4000000000001</v>
      </c>
    </row>
    <row r="6" spans="1:28" x14ac:dyDescent="0.35">
      <c r="A6" s="193" t="s">
        <v>7</v>
      </c>
      <c r="B6" s="156">
        <v>418.93</v>
      </c>
      <c r="C6" s="156">
        <v>185.60999999999999</v>
      </c>
      <c r="D6" s="156">
        <v>35.72</v>
      </c>
      <c r="E6" s="156">
        <v>54.26</v>
      </c>
      <c r="F6" s="156">
        <v>26.81</v>
      </c>
      <c r="G6" s="156">
        <v>14.49</v>
      </c>
      <c r="H6" s="156">
        <v>36.540000000000013</v>
      </c>
      <c r="I6" s="156">
        <v>2.78</v>
      </c>
      <c r="J6" s="156">
        <v>7.53</v>
      </c>
      <c r="K6" s="156">
        <v>12.709999999999999</v>
      </c>
      <c r="L6" s="156">
        <v>7.7200000000000006</v>
      </c>
      <c r="M6" s="156">
        <v>25.66</v>
      </c>
      <c r="N6" s="156">
        <v>11.04</v>
      </c>
      <c r="O6" s="156">
        <v>8.68</v>
      </c>
      <c r="P6" s="156">
        <v>21.39</v>
      </c>
      <c r="Q6" s="156">
        <v>85.72</v>
      </c>
      <c r="R6" s="156">
        <v>17.82</v>
      </c>
      <c r="S6" s="156">
        <v>70.709999999999994</v>
      </c>
      <c r="T6" s="156">
        <v>49.050000000000011</v>
      </c>
      <c r="U6" s="156">
        <v>67.100000000000009</v>
      </c>
      <c r="V6" s="156">
        <v>206.98000000000002</v>
      </c>
      <c r="W6" s="156">
        <v>21.97</v>
      </c>
      <c r="X6" s="156">
        <v>101.64999999999999</v>
      </c>
      <c r="Y6" s="156">
        <v>1.6700000000000004</v>
      </c>
      <c r="Z6" s="156">
        <v>1492.54</v>
      </c>
      <c r="AA6" s="174">
        <f t="shared" si="1"/>
        <v>4.9544090403176838E-2</v>
      </c>
      <c r="AB6" s="6">
        <f t="shared" ref="AB6:AB36" si="2">SUM(P6:V6)</f>
        <v>518.77</v>
      </c>
    </row>
    <row r="7" spans="1:28" x14ac:dyDescent="0.35">
      <c r="A7" s="193" t="s">
        <v>8</v>
      </c>
      <c r="B7" s="156">
        <v>0.15000000000000002</v>
      </c>
      <c r="C7" s="156"/>
      <c r="D7" s="156"/>
      <c r="E7" s="156"/>
      <c r="F7" s="156">
        <v>0.93</v>
      </c>
      <c r="G7" s="156"/>
      <c r="H7" s="156"/>
      <c r="I7" s="156"/>
      <c r="J7" s="156"/>
      <c r="K7" s="156"/>
      <c r="L7" s="156"/>
      <c r="M7" s="156">
        <v>4.29</v>
      </c>
      <c r="N7" s="156"/>
      <c r="O7" s="156"/>
      <c r="P7" s="156"/>
      <c r="Q7" s="156"/>
      <c r="R7" s="156"/>
      <c r="S7" s="156">
        <v>4.75</v>
      </c>
      <c r="T7" s="156">
        <v>1.85</v>
      </c>
      <c r="U7" s="156">
        <v>2</v>
      </c>
      <c r="V7" s="156"/>
      <c r="W7" s="156">
        <v>0.31</v>
      </c>
      <c r="X7" s="156"/>
      <c r="Y7" s="156"/>
      <c r="Z7" s="156">
        <v>14.280000000000001</v>
      </c>
      <c r="AA7" s="174">
        <f t="shared" si="1"/>
        <v>4.7401718611049981E-4</v>
      </c>
      <c r="AB7" s="6">
        <f t="shared" si="2"/>
        <v>8.6</v>
      </c>
    </row>
    <row r="8" spans="1:28" x14ac:dyDescent="0.35">
      <c r="A8" s="193" t="s">
        <v>9</v>
      </c>
      <c r="B8" s="156">
        <v>0.47</v>
      </c>
      <c r="C8" s="156"/>
      <c r="D8" s="156">
        <v>0.92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>
        <v>0.17</v>
      </c>
      <c r="S8" s="156"/>
      <c r="T8" s="156"/>
      <c r="U8" s="156">
        <v>0.2</v>
      </c>
      <c r="V8" s="156">
        <v>2.72</v>
      </c>
      <c r="W8" s="156">
        <v>3</v>
      </c>
      <c r="X8" s="156">
        <v>0.15</v>
      </c>
      <c r="Y8" s="156"/>
      <c r="Z8" s="156">
        <v>7.6300000000000008</v>
      </c>
      <c r="AA8" s="174">
        <f t="shared" si="1"/>
        <v>2.532738886570808E-4</v>
      </c>
      <c r="AB8" s="6">
        <f t="shared" si="2"/>
        <v>3.0900000000000003</v>
      </c>
    </row>
    <row r="9" spans="1:28" x14ac:dyDescent="0.35">
      <c r="A9" s="193" t="s">
        <v>10</v>
      </c>
      <c r="B9" s="156">
        <v>28.800000000000011</v>
      </c>
      <c r="C9" s="156">
        <v>1.26</v>
      </c>
      <c r="D9" s="156"/>
      <c r="E9" s="156"/>
      <c r="F9" s="156">
        <v>0.02</v>
      </c>
      <c r="G9" s="156"/>
      <c r="H9" s="156"/>
      <c r="I9" s="156"/>
      <c r="J9" s="156">
        <v>0.44</v>
      </c>
      <c r="K9" s="156">
        <v>0.17</v>
      </c>
      <c r="L9" s="156">
        <v>0.15</v>
      </c>
      <c r="M9" s="156">
        <v>0.08</v>
      </c>
      <c r="N9" s="156">
        <v>0.03</v>
      </c>
      <c r="O9" s="156"/>
      <c r="P9" s="156"/>
      <c r="Q9" s="156"/>
      <c r="R9" s="156">
        <v>0.19</v>
      </c>
      <c r="S9" s="156">
        <v>0.52</v>
      </c>
      <c r="T9" s="156"/>
      <c r="U9" s="156"/>
      <c r="V9" s="156">
        <v>0.06</v>
      </c>
      <c r="W9" s="156"/>
      <c r="X9" s="156"/>
      <c r="Y9" s="156">
        <v>0.2</v>
      </c>
      <c r="Z9" s="156">
        <v>31.920000000000012</v>
      </c>
      <c r="AA9" s="174">
        <f t="shared" si="1"/>
        <v>1.0595678277764116E-3</v>
      </c>
      <c r="AB9" s="6">
        <f t="shared" si="2"/>
        <v>0.77</v>
      </c>
    </row>
    <row r="10" spans="1:28" x14ac:dyDescent="0.35">
      <c r="A10" s="193" t="s">
        <v>11</v>
      </c>
      <c r="B10" s="156">
        <v>0.09</v>
      </c>
      <c r="C10" s="156"/>
      <c r="D10" s="156"/>
      <c r="E10" s="156"/>
      <c r="F10" s="156"/>
      <c r="G10" s="156">
        <v>2.14</v>
      </c>
      <c r="H10" s="156"/>
      <c r="I10" s="156"/>
      <c r="J10" s="156">
        <v>0.46</v>
      </c>
      <c r="K10" s="156"/>
      <c r="L10" s="156">
        <v>1.28</v>
      </c>
      <c r="M10" s="156"/>
      <c r="N10" s="156"/>
      <c r="O10" s="156">
        <v>1.1199999999999999</v>
      </c>
      <c r="P10" s="156">
        <v>13.36</v>
      </c>
      <c r="Q10" s="156">
        <v>8.85</v>
      </c>
      <c r="R10" s="156">
        <v>5.19</v>
      </c>
      <c r="S10" s="156">
        <v>3.31</v>
      </c>
      <c r="T10" s="156">
        <v>1.8</v>
      </c>
      <c r="U10" s="156">
        <v>27.8</v>
      </c>
      <c r="V10" s="156">
        <v>2.11</v>
      </c>
      <c r="W10" s="156">
        <v>3.29</v>
      </c>
      <c r="X10" s="156"/>
      <c r="Y10" s="156"/>
      <c r="Z10" s="156">
        <v>70.8</v>
      </c>
      <c r="AA10" s="174">
        <f t="shared" si="1"/>
        <v>2.3501692420604607E-3</v>
      </c>
      <c r="AB10" s="6">
        <f t="shared" si="2"/>
        <v>62.42</v>
      </c>
    </row>
    <row r="11" spans="1:28" x14ac:dyDescent="0.35">
      <c r="A11" s="193" t="s">
        <v>13</v>
      </c>
      <c r="B11" s="156">
        <v>1261.2499999999993</v>
      </c>
      <c r="C11" s="156">
        <v>110.94</v>
      </c>
      <c r="D11" s="156">
        <v>26.08</v>
      </c>
      <c r="E11" s="156">
        <v>21.590000000000003</v>
      </c>
      <c r="F11" s="156">
        <v>20.68</v>
      </c>
      <c r="G11" s="156">
        <v>4.59</v>
      </c>
      <c r="H11" s="156">
        <v>22.620000000000005</v>
      </c>
      <c r="I11" s="156">
        <v>6.52</v>
      </c>
      <c r="J11" s="156">
        <v>0.11</v>
      </c>
      <c r="K11" s="156">
        <v>12.370000000000003</v>
      </c>
      <c r="L11" s="156">
        <v>12.19</v>
      </c>
      <c r="M11" s="156">
        <v>45.09</v>
      </c>
      <c r="N11" s="156">
        <v>1.59</v>
      </c>
      <c r="O11" s="156">
        <v>60.529999999999994</v>
      </c>
      <c r="P11" s="156">
        <v>18.91</v>
      </c>
      <c r="Q11" s="156">
        <v>82.469999999999985</v>
      </c>
      <c r="R11" s="156">
        <v>98.76</v>
      </c>
      <c r="S11" s="156">
        <v>40.510000000000005</v>
      </c>
      <c r="T11" s="156">
        <v>64.989999999999995</v>
      </c>
      <c r="U11" s="156">
        <v>66.11</v>
      </c>
      <c r="V11" s="156">
        <v>68.86</v>
      </c>
      <c r="W11" s="156">
        <v>72.97999999999999</v>
      </c>
      <c r="X11" s="156">
        <v>39.42</v>
      </c>
      <c r="Y11" s="156">
        <v>1.0900000000000001</v>
      </c>
      <c r="Z11" s="156">
        <v>2160.2499999999986</v>
      </c>
      <c r="AA11" s="174">
        <f t="shared" si="1"/>
        <v>7.1708377191541064E-2</v>
      </c>
      <c r="AB11" s="6">
        <f t="shared" si="2"/>
        <v>440.61</v>
      </c>
    </row>
    <row r="12" spans="1:28" x14ac:dyDescent="0.35">
      <c r="A12" s="193" t="s">
        <v>14</v>
      </c>
      <c r="B12" s="156">
        <v>3.1599999999999993</v>
      </c>
      <c r="C12" s="156">
        <v>13.469999999999997</v>
      </c>
      <c r="D12" s="156"/>
      <c r="E12" s="156">
        <v>9.0300000000000011</v>
      </c>
      <c r="F12" s="156">
        <v>0.08</v>
      </c>
      <c r="G12" s="156">
        <v>0.04</v>
      </c>
      <c r="H12" s="156"/>
      <c r="I12" s="156">
        <v>0.91</v>
      </c>
      <c r="J12" s="156">
        <v>0.55000000000000004</v>
      </c>
      <c r="K12" s="156"/>
      <c r="L12" s="156"/>
      <c r="M12" s="156">
        <v>0.04</v>
      </c>
      <c r="N12" s="156">
        <v>3.37</v>
      </c>
      <c r="O12" s="156">
        <v>5.9399999999999995</v>
      </c>
      <c r="P12" s="156">
        <v>9.02</v>
      </c>
      <c r="Q12" s="156">
        <v>4.6800000000000006</v>
      </c>
      <c r="R12" s="156">
        <v>9.1999999999999993</v>
      </c>
      <c r="S12" s="156">
        <v>29.749999999999996</v>
      </c>
      <c r="T12" s="156">
        <v>20.6</v>
      </c>
      <c r="U12" s="156">
        <v>20.98</v>
      </c>
      <c r="V12" s="156">
        <v>22.909999999999997</v>
      </c>
      <c r="W12" s="156">
        <v>6.48</v>
      </c>
      <c r="X12" s="156">
        <v>20.95</v>
      </c>
      <c r="Y12" s="156"/>
      <c r="Z12" s="156">
        <v>181.15999999999997</v>
      </c>
      <c r="AA12" s="174">
        <f t="shared" si="1"/>
        <v>6.0135121453626138E-3</v>
      </c>
      <c r="AB12" s="6">
        <f t="shared" si="2"/>
        <v>117.14</v>
      </c>
    </row>
    <row r="13" spans="1:28" x14ac:dyDescent="0.35">
      <c r="A13" s="188" t="s">
        <v>49</v>
      </c>
      <c r="B13" s="180"/>
      <c r="C13" s="180">
        <v>0.13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>
        <v>0.13</v>
      </c>
      <c r="AA13" s="181">
        <f t="shared" si="1"/>
        <v>4.3152825066081915E-6</v>
      </c>
      <c r="AB13" s="6">
        <f t="shared" si="2"/>
        <v>0</v>
      </c>
    </row>
    <row r="14" spans="1:28" x14ac:dyDescent="0.35">
      <c r="A14" s="193" t="s">
        <v>50</v>
      </c>
      <c r="B14" s="156"/>
      <c r="C14" s="156">
        <v>0.13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>
        <v>0.13</v>
      </c>
      <c r="AA14" s="174">
        <f t="shared" si="1"/>
        <v>4.3152825066081915E-6</v>
      </c>
      <c r="AB14" s="6">
        <f t="shared" si="2"/>
        <v>0</v>
      </c>
    </row>
    <row r="15" spans="1:28" x14ac:dyDescent="0.35">
      <c r="A15" s="188" t="s">
        <v>15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>
        <v>0.05</v>
      </c>
      <c r="U15" s="180"/>
      <c r="V15" s="180"/>
      <c r="W15" s="180"/>
      <c r="X15" s="180"/>
      <c r="Y15" s="180">
        <v>0.02</v>
      </c>
      <c r="Z15" s="180">
        <v>7.0000000000000007E-2</v>
      </c>
      <c r="AA15" s="181">
        <f t="shared" si="1"/>
        <v>2.3236136574044108E-6</v>
      </c>
      <c r="AB15" s="6">
        <f t="shared" si="2"/>
        <v>0.05</v>
      </c>
    </row>
    <row r="16" spans="1:28" x14ac:dyDescent="0.35">
      <c r="A16" s="193" t="s">
        <v>15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>
        <v>0.05</v>
      </c>
      <c r="U16" s="156"/>
      <c r="V16" s="156"/>
      <c r="W16" s="156"/>
      <c r="X16" s="156"/>
      <c r="Y16" s="156">
        <v>0.02</v>
      </c>
      <c r="Z16" s="156">
        <v>7.0000000000000007E-2</v>
      </c>
      <c r="AA16" s="174">
        <f t="shared" si="1"/>
        <v>2.3236136574044108E-6</v>
      </c>
      <c r="AB16" s="6">
        <f t="shared" si="2"/>
        <v>0.05</v>
      </c>
    </row>
    <row r="17" spans="1:28" x14ac:dyDescent="0.35">
      <c r="A17" s="188" t="s">
        <v>16</v>
      </c>
      <c r="B17" s="180">
        <f>SUM(B18:B20)</f>
        <v>2846.4500000000062</v>
      </c>
      <c r="C17" s="180">
        <f t="shared" ref="C17:Y17" si="3">SUM(C18:C20)</f>
        <v>857.8399999999998</v>
      </c>
      <c r="D17" s="180">
        <f t="shared" si="3"/>
        <v>117.45000000000005</v>
      </c>
      <c r="E17" s="180">
        <f t="shared" si="3"/>
        <v>127.00000000000001</v>
      </c>
      <c r="F17" s="180">
        <f t="shared" si="3"/>
        <v>69.569999999999993</v>
      </c>
      <c r="G17" s="180">
        <f t="shared" si="3"/>
        <v>109.2</v>
      </c>
      <c r="H17" s="180">
        <f t="shared" si="3"/>
        <v>428.9799999999999</v>
      </c>
      <c r="I17" s="180">
        <f t="shared" si="3"/>
        <v>69.58</v>
      </c>
      <c r="J17" s="180">
        <f t="shared" si="3"/>
        <v>190.08999999999992</v>
      </c>
      <c r="K17" s="180">
        <f t="shared" si="3"/>
        <v>228.69999999999996</v>
      </c>
      <c r="L17" s="180">
        <f t="shared" si="3"/>
        <v>100.09</v>
      </c>
      <c r="M17" s="180">
        <f t="shared" si="3"/>
        <v>690.15999999999974</v>
      </c>
      <c r="N17" s="180">
        <f t="shared" si="3"/>
        <v>162.59999999999997</v>
      </c>
      <c r="O17" s="180">
        <f t="shared" si="3"/>
        <v>216.42000000000002</v>
      </c>
      <c r="P17" s="180">
        <f t="shared" si="3"/>
        <v>296.65999999999997</v>
      </c>
      <c r="Q17" s="180">
        <f t="shared" si="3"/>
        <v>363.87999999999994</v>
      </c>
      <c r="R17" s="180">
        <f t="shared" si="3"/>
        <v>541.88000000000022</v>
      </c>
      <c r="S17" s="180">
        <f t="shared" si="3"/>
        <v>432.66999999999996</v>
      </c>
      <c r="T17" s="180">
        <f t="shared" si="3"/>
        <v>498.4199999999995</v>
      </c>
      <c r="U17" s="180">
        <f t="shared" si="3"/>
        <v>794.73999999999967</v>
      </c>
      <c r="V17" s="180">
        <f t="shared" si="3"/>
        <v>377.89000000000016</v>
      </c>
      <c r="W17" s="180">
        <f t="shared" si="3"/>
        <v>292.03000000000003</v>
      </c>
      <c r="X17" s="180">
        <f t="shared" si="3"/>
        <v>249.49999999999997</v>
      </c>
      <c r="Y17" s="180">
        <f t="shared" si="3"/>
        <v>30.310000000000002</v>
      </c>
      <c r="Z17" s="180">
        <f>SUM(Z18:Z20)</f>
        <v>10092.110000000008</v>
      </c>
      <c r="AA17" s="181">
        <f t="shared" si="1"/>
        <v>0.33500235182896637</v>
      </c>
      <c r="AB17" s="6">
        <f t="shared" si="2"/>
        <v>3306.14</v>
      </c>
    </row>
    <row r="18" spans="1:28" x14ac:dyDescent="0.35">
      <c r="A18" s="193" t="s">
        <v>17</v>
      </c>
      <c r="B18" s="156">
        <v>2818.9700000000062</v>
      </c>
      <c r="C18" s="156">
        <v>852.79999999999984</v>
      </c>
      <c r="D18" s="156">
        <v>117.44000000000004</v>
      </c>
      <c r="E18" s="156">
        <v>125.98000000000002</v>
      </c>
      <c r="F18" s="156">
        <v>68.94</v>
      </c>
      <c r="G18" s="156">
        <v>107.79</v>
      </c>
      <c r="H18" s="156">
        <v>426.51999999999992</v>
      </c>
      <c r="I18" s="156">
        <v>69.38</v>
      </c>
      <c r="J18" s="156">
        <v>189.91999999999993</v>
      </c>
      <c r="K18" s="156">
        <v>228.48999999999995</v>
      </c>
      <c r="L18" s="156">
        <v>98.77000000000001</v>
      </c>
      <c r="M18" s="156">
        <v>688.50999999999976</v>
      </c>
      <c r="N18" s="156">
        <v>158.30999999999997</v>
      </c>
      <c r="O18" s="156">
        <v>213.8</v>
      </c>
      <c r="P18" s="156">
        <v>294.54999999999995</v>
      </c>
      <c r="Q18" s="156">
        <v>359.39</v>
      </c>
      <c r="R18" s="156">
        <v>533.74000000000024</v>
      </c>
      <c r="S18" s="156">
        <v>412.28</v>
      </c>
      <c r="T18" s="156">
        <v>473.86999999999955</v>
      </c>
      <c r="U18" s="156">
        <v>774.89999999999975</v>
      </c>
      <c r="V18" s="156">
        <v>360.71000000000015</v>
      </c>
      <c r="W18" s="156">
        <v>272.43</v>
      </c>
      <c r="X18" s="156">
        <v>245.77999999999997</v>
      </c>
      <c r="Y18" s="156">
        <v>29.92</v>
      </c>
      <c r="Z18" s="156">
        <v>9923.1900000000078</v>
      </c>
      <c r="AA18" s="174">
        <f t="shared" si="1"/>
        <v>0.3293951401288413</v>
      </c>
      <c r="AB18" s="6">
        <f t="shared" si="2"/>
        <v>3209.4399999999996</v>
      </c>
    </row>
    <row r="19" spans="1:28" x14ac:dyDescent="0.35">
      <c r="A19" s="193" t="s">
        <v>18</v>
      </c>
      <c r="B19" s="156">
        <v>12.11</v>
      </c>
      <c r="C19" s="156">
        <v>1.48</v>
      </c>
      <c r="D19" s="156">
        <v>0.01</v>
      </c>
      <c r="E19" s="156">
        <v>0.71</v>
      </c>
      <c r="F19" s="156"/>
      <c r="G19" s="156">
        <v>0.13</v>
      </c>
      <c r="H19" s="156">
        <v>0.01</v>
      </c>
      <c r="I19" s="156"/>
      <c r="J19" s="156">
        <v>0.13</v>
      </c>
      <c r="K19" s="156"/>
      <c r="L19" s="156"/>
      <c r="M19" s="156"/>
      <c r="N19" s="156"/>
      <c r="O19" s="156">
        <v>0.41000000000000003</v>
      </c>
      <c r="P19" s="156">
        <v>0.49</v>
      </c>
      <c r="Q19" s="156">
        <v>0.28000000000000003</v>
      </c>
      <c r="R19" s="156">
        <v>1.1099999999999999</v>
      </c>
      <c r="S19" s="156">
        <v>6.82</v>
      </c>
      <c r="T19" s="156">
        <v>8.77</v>
      </c>
      <c r="U19" s="156">
        <v>1.7800000000000002</v>
      </c>
      <c r="V19" s="156">
        <v>3.12</v>
      </c>
      <c r="W19" s="156">
        <v>0.22</v>
      </c>
      <c r="X19" s="156">
        <v>0.03</v>
      </c>
      <c r="Y19" s="156">
        <v>0.04</v>
      </c>
      <c r="Z19" s="156">
        <v>37.65</v>
      </c>
      <c r="AA19" s="174">
        <f t="shared" si="1"/>
        <v>1.2497722028753722E-3</v>
      </c>
      <c r="AB19" s="6">
        <f t="shared" si="2"/>
        <v>22.37</v>
      </c>
    </row>
    <row r="20" spans="1:28" x14ac:dyDescent="0.35">
      <c r="A20" s="193" t="s">
        <v>19</v>
      </c>
      <c r="B20" s="156">
        <v>15.369999999999994</v>
      </c>
      <c r="C20" s="156">
        <v>3.5600000000000005</v>
      </c>
      <c r="D20" s="156"/>
      <c r="E20" s="156">
        <v>0.31000000000000005</v>
      </c>
      <c r="F20" s="156">
        <v>0.63</v>
      </c>
      <c r="G20" s="156">
        <v>1.28</v>
      </c>
      <c r="H20" s="156">
        <v>2.4499999999999997</v>
      </c>
      <c r="I20" s="156">
        <v>0.2</v>
      </c>
      <c r="J20" s="156">
        <v>0.04</v>
      </c>
      <c r="K20" s="156">
        <v>0.21</v>
      </c>
      <c r="L20" s="156">
        <v>1.32</v>
      </c>
      <c r="M20" s="156">
        <v>1.65</v>
      </c>
      <c r="N20" s="156">
        <v>4.29</v>
      </c>
      <c r="O20" s="156">
        <v>2.21</v>
      </c>
      <c r="P20" s="156">
        <v>1.62</v>
      </c>
      <c r="Q20" s="156">
        <v>4.21</v>
      </c>
      <c r="R20" s="156">
        <v>7.0299999999999994</v>
      </c>
      <c r="S20" s="156">
        <v>13.57</v>
      </c>
      <c r="T20" s="156">
        <v>15.78</v>
      </c>
      <c r="U20" s="156">
        <v>18.059999999999999</v>
      </c>
      <c r="V20" s="156">
        <v>14.059999999999999</v>
      </c>
      <c r="W20" s="156">
        <v>19.379999999999995</v>
      </c>
      <c r="X20" s="156">
        <v>3.69</v>
      </c>
      <c r="Y20" s="156">
        <v>0.35000000000000003</v>
      </c>
      <c r="Z20" s="156">
        <v>131.26999999999998</v>
      </c>
      <c r="AA20" s="174">
        <f t="shared" si="1"/>
        <v>4.3574394972496705E-3</v>
      </c>
      <c r="AB20" s="6">
        <f t="shared" si="2"/>
        <v>74.33</v>
      </c>
    </row>
    <row r="21" spans="1:28" x14ac:dyDescent="0.35">
      <c r="A21" s="188" t="s">
        <v>20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>
        <v>0.15000000000000002</v>
      </c>
      <c r="Z21" s="180">
        <v>0.15000000000000002</v>
      </c>
      <c r="AA21" s="181">
        <f t="shared" si="1"/>
        <v>4.9791721230094524E-6</v>
      </c>
      <c r="AB21" s="6">
        <f t="shared" si="2"/>
        <v>0</v>
      </c>
    </row>
    <row r="22" spans="1:28" x14ac:dyDescent="0.35">
      <c r="A22" s="193" t="s">
        <v>20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>
        <v>0.15000000000000002</v>
      </c>
      <c r="Z22" s="156">
        <v>0.15000000000000002</v>
      </c>
      <c r="AA22" s="174">
        <f t="shared" si="1"/>
        <v>4.9791721230094524E-6</v>
      </c>
      <c r="AB22" s="6">
        <f t="shared" si="2"/>
        <v>0</v>
      </c>
    </row>
    <row r="23" spans="1:28" x14ac:dyDescent="0.35">
      <c r="A23" s="188" t="s">
        <v>23</v>
      </c>
      <c r="B23" s="180">
        <f>SUM(B24:B25)</f>
        <v>4.4299999999999988</v>
      </c>
      <c r="C23" s="180">
        <f t="shared" ref="C23:Z23" si="4">SUM(C24:C25)</f>
        <v>2.2300000000000004</v>
      </c>
      <c r="D23" s="180">
        <f t="shared" si="4"/>
        <v>0.04</v>
      </c>
      <c r="E23" s="180">
        <f t="shared" si="4"/>
        <v>0.19</v>
      </c>
      <c r="F23" s="180">
        <f t="shared" si="4"/>
        <v>0</v>
      </c>
      <c r="G23" s="180">
        <f t="shared" si="4"/>
        <v>0</v>
      </c>
      <c r="H23" s="180">
        <f t="shared" si="4"/>
        <v>0.57999999999999996</v>
      </c>
      <c r="I23" s="180">
        <f t="shared" si="4"/>
        <v>0</v>
      </c>
      <c r="J23" s="180">
        <f t="shared" si="4"/>
        <v>0</v>
      </c>
      <c r="K23" s="180">
        <f t="shared" si="4"/>
        <v>0</v>
      </c>
      <c r="L23" s="180">
        <f t="shared" si="4"/>
        <v>0.24</v>
      </c>
      <c r="M23" s="180">
        <f t="shared" si="4"/>
        <v>0.47</v>
      </c>
      <c r="N23" s="180">
        <f t="shared" si="4"/>
        <v>0.54</v>
      </c>
      <c r="O23" s="180">
        <f t="shared" si="4"/>
        <v>0.24</v>
      </c>
      <c r="P23" s="180">
        <f t="shared" si="4"/>
        <v>0.01</v>
      </c>
      <c r="Q23" s="180">
        <f t="shared" si="4"/>
        <v>0.12</v>
      </c>
      <c r="R23" s="180">
        <f t="shared" si="4"/>
        <v>0.19</v>
      </c>
      <c r="S23" s="180">
        <f t="shared" si="4"/>
        <v>1.1299999999999999</v>
      </c>
      <c r="T23" s="180">
        <f t="shared" si="4"/>
        <v>1.06</v>
      </c>
      <c r="U23" s="180">
        <f t="shared" si="4"/>
        <v>18.91</v>
      </c>
      <c r="V23" s="180">
        <f t="shared" si="4"/>
        <v>1.7199999999999998</v>
      </c>
      <c r="W23" s="180">
        <f t="shared" si="4"/>
        <v>0.88000000000000012</v>
      </c>
      <c r="X23" s="180">
        <f t="shared" si="4"/>
        <v>7.0000000000000007E-2</v>
      </c>
      <c r="Y23" s="180">
        <f t="shared" si="4"/>
        <v>0</v>
      </c>
      <c r="Z23" s="180">
        <f t="shared" si="4"/>
        <v>33.910000000000004</v>
      </c>
      <c r="AA23" s="181">
        <f t="shared" si="1"/>
        <v>1.1256248446083368E-3</v>
      </c>
      <c r="AB23" s="6">
        <f t="shared" si="2"/>
        <v>23.14</v>
      </c>
    </row>
    <row r="24" spans="1:28" x14ac:dyDescent="0.35">
      <c r="A24" s="193" t="s">
        <v>24</v>
      </c>
      <c r="B24" s="156">
        <v>0.1</v>
      </c>
      <c r="C24" s="156">
        <v>0.03</v>
      </c>
      <c r="D24" s="156"/>
      <c r="E24" s="156"/>
      <c r="F24" s="156"/>
      <c r="G24" s="156"/>
      <c r="H24" s="156">
        <v>0.42</v>
      </c>
      <c r="I24" s="156"/>
      <c r="J24" s="156"/>
      <c r="K24" s="156"/>
      <c r="L24" s="156">
        <v>0.02</v>
      </c>
      <c r="M24" s="156"/>
      <c r="N24" s="156"/>
      <c r="O24" s="156">
        <v>7.0000000000000007E-2</v>
      </c>
      <c r="P24" s="156">
        <v>0.01</v>
      </c>
      <c r="Q24" s="156"/>
      <c r="R24" s="156">
        <v>0.01</v>
      </c>
      <c r="S24" s="156">
        <v>0.04</v>
      </c>
      <c r="T24" s="156">
        <v>0.05</v>
      </c>
      <c r="U24" s="156"/>
      <c r="V24" s="156"/>
      <c r="W24" s="156">
        <v>0.32</v>
      </c>
      <c r="X24" s="156"/>
      <c r="Y24" s="156"/>
      <c r="Z24" s="156">
        <v>1.07</v>
      </c>
      <c r="AA24" s="174">
        <f t="shared" si="1"/>
        <v>3.5518094477467422E-5</v>
      </c>
      <c r="AB24" s="6">
        <f t="shared" si="2"/>
        <v>0.11</v>
      </c>
    </row>
    <row r="25" spans="1:28" x14ac:dyDescent="0.35">
      <c r="A25" s="193" t="s">
        <v>26</v>
      </c>
      <c r="B25" s="156">
        <v>4.3299999999999992</v>
      </c>
      <c r="C25" s="156">
        <v>2.2000000000000006</v>
      </c>
      <c r="D25" s="156">
        <v>0.04</v>
      </c>
      <c r="E25" s="156">
        <v>0.19</v>
      </c>
      <c r="F25" s="156"/>
      <c r="G25" s="156"/>
      <c r="H25" s="156">
        <v>0.16</v>
      </c>
      <c r="I25" s="156"/>
      <c r="J25" s="156"/>
      <c r="K25" s="156"/>
      <c r="L25" s="156">
        <v>0.22</v>
      </c>
      <c r="M25" s="156">
        <v>0.47</v>
      </c>
      <c r="N25" s="156">
        <v>0.54</v>
      </c>
      <c r="O25" s="156">
        <v>0.16999999999999998</v>
      </c>
      <c r="P25" s="156"/>
      <c r="Q25" s="156">
        <v>0.12</v>
      </c>
      <c r="R25" s="156">
        <v>0.18</v>
      </c>
      <c r="S25" s="156">
        <v>1.0899999999999999</v>
      </c>
      <c r="T25" s="156">
        <v>1.01</v>
      </c>
      <c r="U25" s="156">
        <v>18.91</v>
      </c>
      <c r="V25" s="156">
        <v>1.7199999999999998</v>
      </c>
      <c r="W25" s="156">
        <v>0.56000000000000005</v>
      </c>
      <c r="X25" s="156">
        <v>7.0000000000000007E-2</v>
      </c>
      <c r="Y25" s="156"/>
      <c r="Z25" s="156">
        <v>32.840000000000003</v>
      </c>
      <c r="AA25" s="174">
        <f t="shared" si="1"/>
        <v>1.0901067501308693E-3</v>
      </c>
      <c r="AB25" s="6">
        <f t="shared" si="2"/>
        <v>23.029999999999998</v>
      </c>
    </row>
    <row r="26" spans="1:28" x14ac:dyDescent="0.35">
      <c r="A26" s="188" t="s">
        <v>27</v>
      </c>
      <c r="B26" s="180">
        <f>SUM(B27:B28)</f>
        <v>0.15</v>
      </c>
      <c r="C26" s="180">
        <f t="shared" ref="C26:Z26" si="5">SUM(C27:C28)</f>
        <v>0.31000000000000005</v>
      </c>
      <c r="D26" s="180">
        <f t="shared" si="5"/>
        <v>0</v>
      </c>
      <c r="E26" s="180">
        <f t="shared" si="5"/>
        <v>0</v>
      </c>
      <c r="F26" s="180">
        <f t="shared" si="5"/>
        <v>0</v>
      </c>
      <c r="G26" s="180">
        <f t="shared" si="5"/>
        <v>0.03</v>
      </c>
      <c r="H26" s="180">
        <f t="shared" si="5"/>
        <v>0</v>
      </c>
      <c r="I26" s="180">
        <f t="shared" si="5"/>
        <v>0</v>
      </c>
      <c r="J26" s="180">
        <f t="shared" si="5"/>
        <v>0</v>
      </c>
      <c r="K26" s="180">
        <f t="shared" si="5"/>
        <v>0.03</v>
      </c>
      <c r="L26" s="180">
        <f t="shared" si="5"/>
        <v>0</v>
      </c>
      <c r="M26" s="180">
        <f t="shared" si="5"/>
        <v>0</v>
      </c>
      <c r="N26" s="180">
        <f t="shared" si="5"/>
        <v>0</v>
      </c>
      <c r="O26" s="180">
        <f t="shared" si="5"/>
        <v>0.25</v>
      </c>
      <c r="P26" s="180">
        <f t="shared" si="5"/>
        <v>0</v>
      </c>
      <c r="Q26" s="180">
        <f t="shared" si="5"/>
        <v>0</v>
      </c>
      <c r="R26" s="180">
        <f t="shared" si="5"/>
        <v>0</v>
      </c>
      <c r="S26" s="180">
        <f t="shared" si="5"/>
        <v>0.01</v>
      </c>
      <c r="T26" s="180">
        <f t="shared" si="5"/>
        <v>0</v>
      </c>
      <c r="U26" s="180">
        <f t="shared" si="5"/>
        <v>0.02</v>
      </c>
      <c r="V26" s="180">
        <f t="shared" si="5"/>
        <v>0</v>
      </c>
      <c r="W26" s="180">
        <f t="shared" si="5"/>
        <v>0</v>
      </c>
      <c r="X26" s="180">
        <f t="shared" si="5"/>
        <v>0</v>
      </c>
      <c r="Y26" s="180">
        <f t="shared" si="5"/>
        <v>0.04</v>
      </c>
      <c r="Z26" s="180">
        <f t="shared" si="5"/>
        <v>0.84000000000000019</v>
      </c>
      <c r="AA26" s="181">
        <f t="shared" si="1"/>
        <v>2.7883363888852933E-5</v>
      </c>
      <c r="AB26" s="6">
        <f t="shared" si="2"/>
        <v>0.03</v>
      </c>
    </row>
    <row r="27" spans="1:28" x14ac:dyDescent="0.35">
      <c r="A27" s="193" t="s">
        <v>28</v>
      </c>
      <c r="B27" s="156"/>
      <c r="C27" s="156"/>
      <c r="D27" s="156"/>
      <c r="E27" s="156"/>
      <c r="F27" s="156"/>
      <c r="G27" s="156">
        <v>0.03</v>
      </c>
      <c r="H27" s="156"/>
      <c r="I27" s="156"/>
      <c r="J27" s="156"/>
      <c r="K27" s="156"/>
      <c r="L27" s="156"/>
      <c r="M27" s="156"/>
      <c r="N27" s="156"/>
      <c r="O27" s="156">
        <v>0.25</v>
      </c>
      <c r="P27" s="156"/>
      <c r="Q27" s="156"/>
      <c r="R27" s="156"/>
      <c r="S27" s="156"/>
      <c r="T27" s="156"/>
      <c r="U27" s="156"/>
      <c r="V27" s="156"/>
      <c r="W27" s="156"/>
      <c r="X27" s="156"/>
      <c r="Y27" s="156">
        <v>0.01</v>
      </c>
      <c r="Z27" s="156">
        <v>0.29000000000000004</v>
      </c>
      <c r="AA27" s="174">
        <f t="shared" si="1"/>
        <v>9.626399437818273E-6</v>
      </c>
      <c r="AB27" s="6">
        <f t="shared" si="2"/>
        <v>0</v>
      </c>
    </row>
    <row r="28" spans="1:28" x14ac:dyDescent="0.35">
      <c r="A28" s="193" t="s">
        <v>29</v>
      </c>
      <c r="B28" s="156">
        <v>0.15</v>
      </c>
      <c r="C28" s="156">
        <v>0.31000000000000005</v>
      </c>
      <c r="D28" s="156"/>
      <c r="E28" s="156"/>
      <c r="F28" s="156"/>
      <c r="G28" s="156"/>
      <c r="H28" s="156"/>
      <c r="I28" s="156"/>
      <c r="J28" s="156"/>
      <c r="K28" s="156">
        <v>0.03</v>
      </c>
      <c r="L28" s="156"/>
      <c r="M28" s="156"/>
      <c r="N28" s="156"/>
      <c r="O28" s="156"/>
      <c r="P28" s="156"/>
      <c r="Q28" s="156"/>
      <c r="R28" s="156"/>
      <c r="S28" s="156">
        <v>0.01</v>
      </c>
      <c r="T28" s="156"/>
      <c r="U28" s="156">
        <v>0.02</v>
      </c>
      <c r="V28" s="156"/>
      <c r="W28" s="156"/>
      <c r="X28" s="156"/>
      <c r="Y28" s="156">
        <v>0.03</v>
      </c>
      <c r="Z28" s="156">
        <v>0.55000000000000016</v>
      </c>
      <c r="AA28" s="174">
        <f t="shared" si="1"/>
        <v>1.825696445103466E-5</v>
      </c>
      <c r="AB28" s="6">
        <f t="shared" si="2"/>
        <v>0.03</v>
      </c>
    </row>
    <row r="29" spans="1:28" x14ac:dyDescent="0.35">
      <c r="A29" s="188" t="s">
        <v>30</v>
      </c>
      <c r="B29" s="180">
        <f>SUM(B30:B31)</f>
        <v>0</v>
      </c>
      <c r="C29" s="180">
        <f t="shared" ref="C29:Z29" si="6">SUM(C30:C31)</f>
        <v>0</v>
      </c>
      <c r="D29" s="180">
        <f t="shared" si="6"/>
        <v>0</v>
      </c>
      <c r="E29" s="180">
        <f t="shared" si="6"/>
        <v>0</v>
      </c>
      <c r="F29" s="180">
        <f t="shared" si="6"/>
        <v>0</v>
      </c>
      <c r="G29" s="180">
        <f t="shared" si="6"/>
        <v>0</v>
      </c>
      <c r="H29" s="180">
        <f t="shared" si="6"/>
        <v>0</v>
      </c>
      <c r="I29" s="180">
        <f t="shared" si="6"/>
        <v>0</v>
      </c>
      <c r="J29" s="180">
        <f t="shared" si="6"/>
        <v>0</v>
      </c>
      <c r="K29" s="180">
        <f t="shared" si="6"/>
        <v>0</v>
      </c>
      <c r="L29" s="180">
        <f t="shared" si="6"/>
        <v>0</v>
      </c>
      <c r="M29" s="180">
        <f t="shared" si="6"/>
        <v>0</v>
      </c>
      <c r="N29" s="180">
        <f t="shared" si="6"/>
        <v>0</v>
      </c>
      <c r="O29" s="180">
        <f t="shared" si="6"/>
        <v>0</v>
      </c>
      <c r="P29" s="180">
        <f t="shared" si="6"/>
        <v>0</v>
      </c>
      <c r="Q29" s="180">
        <f t="shared" si="6"/>
        <v>0</v>
      </c>
      <c r="R29" s="180">
        <f t="shared" si="6"/>
        <v>0</v>
      </c>
      <c r="S29" s="180">
        <f t="shared" si="6"/>
        <v>0</v>
      </c>
      <c r="T29" s="180">
        <f t="shared" si="6"/>
        <v>0</v>
      </c>
      <c r="U29" s="180">
        <f t="shared" si="6"/>
        <v>0</v>
      </c>
      <c r="V29" s="180">
        <f t="shared" si="6"/>
        <v>0.06</v>
      </c>
      <c r="W29" s="180">
        <f t="shared" si="6"/>
        <v>0</v>
      </c>
      <c r="X29" s="180">
        <f t="shared" si="6"/>
        <v>0</v>
      </c>
      <c r="Y29" s="180">
        <f t="shared" si="6"/>
        <v>0.02</v>
      </c>
      <c r="Z29" s="180">
        <f t="shared" si="6"/>
        <v>0.08</v>
      </c>
      <c r="AA29" s="181">
        <f t="shared" si="1"/>
        <v>2.6555584656050408E-6</v>
      </c>
      <c r="AB29" s="6">
        <f t="shared" si="2"/>
        <v>0.06</v>
      </c>
    </row>
    <row r="30" spans="1:28" x14ac:dyDescent="0.35">
      <c r="A30" s="197" t="s">
        <v>31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>
        <v>0.06</v>
      </c>
      <c r="W30" s="156"/>
      <c r="X30" s="156"/>
      <c r="Y30" s="156"/>
      <c r="Z30" s="156">
        <v>0.06</v>
      </c>
      <c r="AA30" s="174">
        <f t="shared" si="1"/>
        <v>1.9916688492037804E-6</v>
      </c>
      <c r="AB30" s="6">
        <f t="shared" si="2"/>
        <v>0.06</v>
      </c>
    </row>
    <row r="31" spans="1:28" x14ac:dyDescent="0.35">
      <c r="A31" s="193" t="s">
        <v>78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>
        <v>0.02</v>
      </c>
      <c r="Z31" s="156">
        <v>0.02</v>
      </c>
      <c r="AA31" s="174">
        <f t="shared" si="1"/>
        <v>6.6388961640126019E-7</v>
      </c>
      <c r="AB31" s="6">
        <f t="shared" si="2"/>
        <v>0</v>
      </c>
    </row>
    <row r="32" spans="1:28" x14ac:dyDescent="0.35">
      <c r="A32" s="188" t="s">
        <v>35</v>
      </c>
      <c r="B32" s="180">
        <v>19.149999999999995</v>
      </c>
      <c r="C32" s="180">
        <v>5.93</v>
      </c>
      <c r="D32" s="180"/>
      <c r="E32" s="180">
        <v>5.98</v>
      </c>
      <c r="F32" s="180">
        <v>0.03</v>
      </c>
      <c r="G32" s="180">
        <v>0.33</v>
      </c>
      <c r="H32" s="180"/>
      <c r="I32" s="180">
        <v>3.36</v>
      </c>
      <c r="J32" s="180"/>
      <c r="K32" s="180">
        <v>0.92</v>
      </c>
      <c r="L32" s="180"/>
      <c r="M32" s="180">
        <v>0.04</v>
      </c>
      <c r="N32" s="180"/>
      <c r="O32" s="180">
        <v>0.18</v>
      </c>
      <c r="P32" s="180">
        <v>1.6</v>
      </c>
      <c r="Q32" s="180"/>
      <c r="R32" s="180">
        <v>5.57</v>
      </c>
      <c r="S32" s="180"/>
      <c r="T32" s="180">
        <v>1.74</v>
      </c>
      <c r="U32" s="180">
        <v>3.7200000000000006</v>
      </c>
      <c r="V32" s="180"/>
      <c r="W32" s="180"/>
      <c r="X32" s="180">
        <v>2.81</v>
      </c>
      <c r="Y32" s="180">
        <v>0.45</v>
      </c>
      <c r="Z32" s="180">
        <v>51.81</v>
      </c>
      <c r="AA32" s="181">
        <f t="shared" si="1"/>
        <v>1.7198060512874644E-3</v>
      </c>
      <c r="AB32" s="6">
        <f t="shared" si="2"/>
        <v>12.63</v>
      </c>
    </row>
    <row r="33" spans="1:74" x14ac:dyDescent="0.35">
      <c r="A33" s="193" t="s">
        <v>35</v>
      </c>
      <c r="B33" s="156">
        <v>19.149999999999995</v>
      </c>
      <c r="C33" s="156">
        <v>5.93</v>
      </c>
      <c r="D33" s="156"/>
      <c r="E33" s="156">
        <v>5.98</v>
      </c>
      <c r="F33" s="156">
        <v>0.03</v>
      </c>
      <c r="G33" s="156">
        <v>0.33</v>
      </c>
      <c r="H33" s="156"/>
      <c r="I33" s="156">
        <v>3.36</v>
      </c>
      <c r="J33" s="156"/>
      <c r="K33" s="156">
        <v>0.92</v>
      </c>
      <c r="L33" s="156"/>
      <c r="M33" s="156">
        <v>0.04</v>
      </c>
      <c r="N33" s="156"/>
      <c r="O33" s="156">
        <v>0.18</v>
      </c>
      <c r="P33" s="156">
        <v>1.6</v>
      </c>
      <c r="Q33" s="156"/>
      <c r="R33" s="156">
        <v>5.57</v>
      </c>
      <c r="S33" s="156"/>
      <c r="T33" s="156">
        <v>1.74</v>
      </c>
      <c r="U33" s="156">
        <v>3.7200000000000006</v>
      </c>
      <c r="V33" s="156"/>
      <c r="W33" s="156"/>
      <c r="X33" s="156">
        <v>2.81</v>
      </c>
      <c r="Y33" s="156">
        <v>0.45</v>
      </c>
      <c r="Z33" s="156">
        <v>51.81</v>
      </c>
      <c r="AA33" s="174">
        <f t="shared" si="1"/>
        <v>1.7198060512874644E-3</v>
      </c>
      <c r="AB33" s="6">
        <f t="shared" si="2"/>
        <v>12.63</v>
      </c>
      <c r="BV33" t="s">
        <v>120</v>
      </c>
    </row>
    <row r="34" spans="1:74" x14ac:dyDescent="0.35">
      <c r="A34" s="188" t="s">
        <v>39</v>
      </c>
      <c r="B34" s="180">
        <v>5100.2700000000004</v>
      </c>
      <c r="C34" s="180">
        <v>1477.62</v>
      </c>
      <c r="D34" s="180">
        <v>476.6</v>
      </c>
      <c r="E34" s="180">
        <v>218.92000000000002</v>
      </c>
      <c r="F34" s="180">
        <v>281.12</v>
      </c>
      <c r="G34" s="180">
        <v>272.33999999999997</v>
      </c>
      <c r="H34" s="180">
        <v>359.89000000000004</v>
      </c>
      <c r="I34" s="180">
        <v>132.48000000000002</v>
      </c>
      <c r="J34" s="180">
        <v>145.61000000000001</v>
      </c>
      <c r="K34" s="180">
        <v>74.23</v>
      </c>
      <c r="L34" s="180">
        <v>227.53999999999996</v>
      </c>
      <c r="M34" s="180">
        <v>423.28999999999985</v>
      </c>
      <c r="N34" s="180">
        <v>355.15999999999997</v>
      </c>
      <c r="O34" s="180">
        <v>269.52999999999997</v>
      </c>
      <c r="P34" s="180">
        <v>492.94</v>
      </c>
      <c r="Q34" s="180">
        <v>726.50000000000023</v>
      </c>
      <c r="R34" s="180">
        <v>1000.6200000000001</v>
      </c>
      <c r="S34" s="180">
        <v>753.2</v>
      </c>
      <c r="T34" s="180">
        <v>661.89</v>
      </c>
      <c r="U34" s="180">
        <v>860.42</v>
      </c>
      <c r="V34" s="180">
        <v>625.41999999999996</v>
      </c>
      <c r="W34" s="180">
        <v>632.0200000000001</v>
      </c>
      <c r="X34" s="180">
        <v>329.26</v>
      </c>
      <c r="Y34" s="180">
        <v>90.76</v>
      </c>
      <c r="Z34" s="180">
        <v>15987.63</v>
      </c>
      <c r="AA34" s="181">
        <f t="shared" si="1"/>
        <v>0.53070107739326389</v>
      </c>
      <c r="AB34" s="6">
        <f t="shared" si="2"/>
        <v>5120.99</v>
      </c>
    </row>
    <row r="35" spans="1:74" x14ac:dyDescent="0.35">
      <c r="A35" s="193" t="s">
        <v>39</v>
      </c>
      <c r="B35" s="156">
        <v>5100.2700000000004</v>
      </c>
      <c r="C35" s="156">
        <v>1477.62</v>
      </c>
      <c r="D35" s="156">
        <v>476.6</v>
      </c>
      <c r="E35" s="156">
        <v>218.92000000000002</v>
      </c>
      <c r="F35" s="156">
        <v>281.12</v>
      </c>
      <c r="G35" s="156">
        <v>272.33999999999997</v>
      </c>
      <c r="H35" s="156">
        <v>359.89000000000004</v>
      </c>
      <c r="I35" s="156">
        <v>132.48000000000002</v>
      </c>
      <c r="J35" s="156">
        <v>145.61000000000001</v>
      </c>
      <c r="K35" s="156">
        <v>74.23</v>
      </c>
      <c r="L35" s="156">
        <v>227.53999999999996</v>
      </c>
      <c r="M35" s="156">
        <v>423.28999999999985</v>
      </c>
      <c r="N35" s="156">
        <v>355.15999999999997</v>
      </c>
      <c r="O35" s="156">
        <v>269.52999999999997</v>
      </c>
      <c r="P35" s="156">
        <v>492.94</v>
      </c>
      <c r="Q35" s="156">
        <v>726.50000000000023</v>
      </c>
      <c r="R35" s="156">
        <v>1000.6200000000001</v>
      </c>
      <c r="S35" s="156">
        <v>753.2</v>
      </c>
      <c r="T35" s="156">
        <v>661.89</v>
      </c>
      <c r="U35" s="156">
        <v>860.42</v>
      </c>
      <c r="V35" s="156">
        <v>625.41999999999996</v>
      </c>
      <c r="W35" s="156">
        <v>632.0200000000001</v>
      </c>
      <c r="X35" s="156">
        <v>329.26</v>
      </c>
      <c r="Y35" s="156">
        <v>90.76</v>
      </c>
      <c r="Z35" s="156">
        <v>15987.63</v>
      </c>
      <c r="AA35" s="174">
        <f t="shared" si="1"/>
        <v>0.53070107739326389</v>
      </c>
      <c r="AB35" s="6">
        <f t="shared" si="2"/>
        <v>5120.99</v>
      </c>
    </row>
    <row r="36" spans="1:74" x14ac:dyDescent="0.35">
      <c r="A36" s="194" t="s">
        <v>40</v>
      </c>
      <c r="B36" s="184">
        <v>9683.3499999999985</v>
      </c>
      <c r="C36" s="184">
        <v>2655.3399999999988</v>
      </c>
      <c r="D36" s="184">
        <v>656.99</v>
      </c>
      <c r="E36" s="184">
        <v>436.97</v>
      </c>
      <c r="F36" s="184">
        <v>399.24000000000007</v>
      </c>
      <c r="G36" s="184">
        <v>403.16</v>
      </c>
      <c r="H36" s="184">
        <v>848.61</v>
      </c>
      <c r="I36" s="184">
        <v>215.63</v>
      </c>
      <c r="J36" s="184">
        <v>344.78999999999996</v>
      </c>
      <c r="K36" s="184">
        <v>329.12999999999994</v>
      </c>
      <c r="L36" s="184">
        <v>349.21000000000004</v>
      </c>
      <c r="M36" s="184">
        <v>1189.1199999999997</v>
      </c>
      <c r="N36" s="184">
        <v>534.32999999999981</v>
      </c>
      <c r="O36" s="184">
        <v>562.89</v>
      </c>
      <c r="P36" s="184">
        <v>853.89</v>
      </c>
      <c r="Q36" s="184">
        <v>1272.22</v>
      </c>
      <c r="R36" s="184">
        <v>1679.5900000000004</v>
      </c>
      <c r="S36" s="184">
        <v>1336.5599999999997</v>
      </c>
      <c r="T36" s="184">
        <v>1301.4499999999994</v>
      </c>
      <c r="U36" s="184">
        <v>1861.9999999999993</v>
      </c>
      <c r="V36" s="184">
        <v>1309.5400000000002</v>
      </c>
      <c r="W36" s="184">
        <v>1032.96</v>
      </c>
      <c r="X36" s="184">
        <v>743.81000000000006</v>
      </c>
      <c r="Y36" s="184">
        <v>124.71000000000001</v>
      </c>
      <c r="Z36" s="184">
        <v>30125.49</v>
      </c>
      <c r="AA36" s="185">
        <v>1</v>
      </c>
      <c r="AB36" s="6">
        <f t="shared" si="2"/>
        <v>9615.25</v>
      </c>
    </row>
    <row r="39" spans="1:74" ht="15.5" x14ac:dyDescent="0.35">
      <c r="A39" s="108" t="s">
        <v>110</v>
      </c>
      <c r="B39" s="189" t="s">
        <v>74</v>
      </c>
      <c r="C39" s="189">
        <v>2000</v>
      </c>
      <c r="D39" s="189">
        <v>2001</v>
      </c>
      <c r="E39" s="189">
        <v>2002</v>
      </c>
      <c r="F39" s="189">
        <v>2003</v>
      </c>
      <c r="G39" s="189">
        <v>2004</v>
      </c>
      <c r="H39" s="189">
        <v>2005</v>
      </c>
      <c r="I39" s="189">
        <v>2006</v>
      </c>
      <c r="J39" s="189">
        <v>2007</v>
      </c>
      <c r="K39" s="189">
        <v>2008</v>
      </c>
      <c r="L39" s="189">
        <v>2009</v>
      </c>
      <c r="M39" s="189">
        <v>2010</v>
      </c>
      <c r="N39" s="189">
        <v>2011</v>
      </c>
      <c r="O39" s="189">
        <v>2012</v>
      </c>
      <c r="P39" s="189">
        <v>2013</v>
      </c>
      <c r="Q39" s="189">
        <v>2014</v>
      </c>
      <c r="R39" s="189">
        <v>2015</v>
      </c>
      <c r="S39" s="189">
        <v>2016</v>
      </c>
      <c r="T39" s="189">
        <v>2017</v>
      </c>
      <c r="U39" s="189">
        <v>2018</v>
      </c>
      <c r="V39" s="189">
        <v>2019</v>
      </c>
      <c r="W39" s="189">
        <v>2020</v>
      </c>
      <c r="X39" s="189">
        <v>2021</v>
      </c>
      <c r="Y39" s="190" t="s">
        <v>75</v>
      </c>
    </row>
    <row r="40" spans="1:74" x14ac:dyDescent="0.35">
      <c r="A40" s="188" t="s">
        <v>6</v>
      </c>
      <c r="B40" s="174">
        <f t="shared" ref="B40:Y40" si="7">B5/$Z$5</f>
        <v>0.43269303639183748</v>
      </c>
      <c r="C40" s="174">
        <f t="shared" si="7"/>
        <v>7.8634257738886174E-2</v>
      </c>
      <c r="D40" s="174">
        <f t="shared" si="7"/>
        <v>1.584406529614155E-2</v>
      </c>
      <c r="E40" s="174">
        <f t="shared" si="7"/>
        <v>2.1442032243885439E-2</v>
      </c>
      <c r="F40" s="174">
        <f t="shared" si="7"/>
        <v>1.22569204108544E-2</v>
      </c>
      <c r="G40" s="174">
        <f t="shared" si="7"/>
        <v>5.3706126944510421E-3</v>
      </c>
      <c r="H40" s="174">
        <f t="shared" si="7"/>
        <v>1.4944752916449849E-2</v>
      </c>
      <c r="I40" s="174">
        <f t="shared" si="7"/>
        <v>2.579207695688859E-3</v>
      </c>
      <c r="J40" s="174">
        <f t="shared" si="7"/>
        <v>2.2962779582577602E-3</v>
      </c>
      <c r="K40" s="174">
        <f t="shared" si="7"/>
        <v>6.3785498840493327E-3</v>
      </c>
      <c r="L40" s="174">
        <f t="shared" si="7"/>
        <v>5.3908219614104066E-3</v>
      </c>
      <c r="M40" s="174">
        <f t="shared" si="7"/>
        <v>1.898660630832269E-2</v>
      </c>
      <c r="N40" s="174">
        <f t="shared" si="7"/>
        <v>4.0494318669826055E-3</v>
      </c>
      <c r="O40" s="174">
        <f t="shared" si="7"/>
        <v>1.9267009887383866E-2</v>
      </c>
      <c r="P40" s="174">
        <f t="shared" si="7"/>
        <v>1.5833960662661867E-2</v>
      </c>
      <c r="Q40" s="174">
        <f t="shared" si="7"/>
        <v>4.5905349898195828E-2</v>
      </c>
      <c r="R40" s="174">
        <f t="shared" si="7"/>
        <v>3.3176037872166296E-2</v>
      </c>
      <c r="S40" s="174">
        <f t="shared" si="7"/>
        <v>3.7778698422161493E-2</v>
      </c>
      <c r="T40" s="174">
        <f t="shared" si="7"/>
        <v>3.4934244097630976E-2</v>
      </c>
      <c r="U40" s="174">
        <f t="shared" si="7"/>
        <v>4.6529311015566205E-2</v>
      </c>
      <c r="V40" s="174">
        <f t="shared" si="7"/>
        <v>7.6704272744266902E-2</v>
      </c>
      <c r="W40" s="174">
        <f t="shared" si="7"/>
        <v>2.7290088870251462E-2</v>
      </c>
      <c r="X40" s="174">
        <f t="shared" si="7"/>
        <v>4.09667102850012E-2</v>
      </c>
      <c r="Y40" s="196">
        <f t="shared" si="7"/>
        <v>7.4774287749647633E-4</v>
      </c>
    </row>
    <row r="41" spans="1:74" x14ac:dyDescent="0.35">
      <c r="A41" s="188" t="s">
        <v>49</v>
      </c>
      <c r="B41" s="174">
        <f t="shared" ref="B41:Y41" si="8">B13/$Z$13</f>
        <v>0</v>
      </c>
      <c r="C41" s="174">
        <f t="shared" si="8"/>
        <v>1</v>
      </c>
      <c r="D41" s="174">
        <f t="shared" si="8"/>
        <v>0</v>
      </c>
      <c r="E41" s="174">
        <f t="shared" si="8"/>
        <v>0</v>
      </c>
      <c r="F41" s="174">
        <f t="shared" si="8"/>
        <v>0</v>
      </c>
      <c r="G41" s="174">
        <f t="shared" si="8"/>
        <v>0</v>
      </c>
      <c r="H41" s="174">
        <f t="shared" si="8"/>
        <v>0</v>
      </c>
      <c r="I41" s="174">
        <f t="shared" si="8"/>
        <v>0</v>
      </c>
      <c r="J41" s="174">
        <f t="shared" si="8"/>
        <v>0</v>
      </c>
      <c r="K41" s="174">
        <f t="shared" si="8"/>
        <v>0</v>
      </c>
      <c r="L41" s="174">
        <f t="shared" si="8"/>
        <v>0</v>
      </c>
      <c r="M41" s="174">
        <f t="shared" si="8"/>
        <v>0</v>
      </c>
      <c r="N41" s="174">
        <f t="shared" si="8"/>
        <v>0</v>
      </c>
      <c r="O41" s="174">
        <f t="shared" si="8"/>
        <v>0</v>
      </c>
      <c r="P41" s="174">
        <f t="shared" si="8"/>
        <v>0</v>
      </c>
      <c r="Q41" s="174">
        <f t="shared" si="8"/>
        <v>0</v>
      </c>
      <c r="R41" s="174">
        <f t="shared" si="8"/>
        <v>0</v>
      </c>
      <c r="S41" s="174">
        <f t="shared" si="8"/>
        <v>0</v>
      </c>
      <c r="T41" s="174">
        <f t="shared" si="8"/>
        <v>0</v>
      </c>
      <c r="U41" s="174">
        <f t="shared" si="8"/>
        <v>0</v>
      </c>
      <c r="V41" s="174">
        <f t="shared" si="8"/>
        <v>0</v>
      </c>
      <c r="W41" s="174">
        <f t="shared" si="8"/>
        <v>0</v>
      </c>
      <c r="X41" s="174">
        <f t="shared" si="8"/>
        <v>0</v>
      </c>
      <c r="Y41" s="191">
        <f t="shared" si="8"/>
        <v>0</v>
      </c>
    </row>
    <row r="42" spans="1:74" x14ac:dyDescent="0.35">
      <c r="A42" s="188" t="s">
        <v>15</v>
      </c>
      <c r="B42" s="174">
        <f t="shared" ref="B42:Y42" si="9">B15/$Z$15</f>
        <v>0</v>
      </c>
      <c r="C42" s="174">
        <f t="shared" si="9"/>
        <v>0</v>
      </c>
      <c r="D42" s="174">
        <f t="shared" si="9"/>
        <v>0</v>
      </c>
      <c r="E42" s="174">
        <f t="shared" si="9"/>
        <v>0</v>
      </c>
      <c r="F42" s="174">
        <f t="shared" si="9"/>
        <v>0</v>
      </c>
      <c r="G42" s="174">
        <f t="shared" si="9"/>
        <v>0</v>
      </c>
      <c r="H42" s="174">
        <f t="shared" si="9"/>
        <v>0</v>
      </c>
      <c r="I42" s="174">
        <f t="shared" si="9"/>
        <v>0</v>
      </c>
      <c r="J42" s="174">
        <f t="shared" si="9"/>
        <v>0</v>
      </c>
      <c r="K42" s="174">
        <f t="shared" si="9"/>
        <v>0</v>
      </c>
      <c r="L42" s="174">
        <f t="shared" si="9"/>
        <v>0</v>
      </c>
      <c r="M42" s="174">
        <f t="shared" si="9"/>
        <v>0</v>
      </c>
      <c r="N42" s="174">
        <f t="shared" si="9"/>
        <v>0</v>
      </c>
      <c r="O42" s="174">
        <f t="shared" si="9"/>
        <v>0</v>
      </c>
      <c r="P42" s="174">
        <f t="shared" si="9"/>
        <v>0</v>
      </c>
      <c r="Q42" s="174">
        <f t="shared" si="9"/>
        <v>0</v>
      </c>
      <c r="R42" s="174">
        <f t="shared" si="9"/>
        <v>0</v>
      </c>
      <c r="S42" s="174">
        <f t="shared" si="9"/>
        <v>0</v>
      </c>
      <c r="T42" s="174">
        <f t="shared" si="9"/>
        <v>0.7142857142857143</v>
      </c>
      <c r="U42" s="174">
        <f t="shared" si="9"/>
        <v>0</v>
      </c>
      <c r="V42" s="174">
        <f t="shared" si="9"/>
        <v>0</v>
      </c>
      <c r="W42" s="174">
        <f t="shared" si="9"/>
        <v>0</v>
      </c>
      <c r="X42" s="174">
        <f t="shared" si="9"/>
        <v>0</v>
      </c>
      <c r="Y42" s="191">
        <f t="shared" si="9"/>
        <v>0.2857142857142857</v>
      </c>
    </row>
    <row r="43" spans="1:74" x14ac:dyDescent="0.35">
      <c r="A43" s="188" t="s">
        <v>16</v>
      </c>
      <c r="B43" s="174">
        <f t="shared" ref="B43:Y43" si="10">B17/$Z$17</f>
        <v>0.28204706448899231</v>
      </c>
      <c r="C43" s="174">
        <f t="shared" si="10"/>
        <v>8.5001055279817508E-2</v>
      </c>
      <c r="D43" s="174">
        <f t="shared" si="10"/>
        <v>1.1637804185646011E-2</v>
      </c>
      <c r="E43" s="174">
        <f t="shared" si="10"/>
        <v>1.2584087965747491E-2</v>
      </c>
      <c r="F43" s="174">
        <f t="shared" si="10"/>
        <v>6.8935039352523838E-3</v>
      </c>
      <c r="G43" s="174">
        <f t="shared" si="10"/>
        <v>1.0820333904406504E-2</v>
      </c>
      <c r="H43" s="174">
        <f t="shared" si="10"/>
        <v>4.2506472878317769E-2</v>
      </c>
      <c r="I43" s="174">
        <f t="shared" si="10"/>
        <v>6.8944948083205539E-3</v>
      </c>
      <c r="J43" s="174">
        <f t="shared" si="10"/>
        <v>1.8835506152826295E-2</v>
      </c>
      <c r="K43" s="174">
        <f t="shared" si="10"/>
        <v>2.2661267069027168E-2</v>
      </c>
      <c r="L43" s="174">
        <f t="shared" si="10"/>
        <v>9.9176485393044599E-3</v>
      </c>
      <c r="M43" s="174">
        <f t="shared" si="10"/>
        <v>6.8386095672758149E-2</v>
      </c>
      <c r="N43" s="174">
        <f t="shared" si="10"/>
        <v>1.6111596088429461E-2</v>
      </c>
      <c r="O43" s="174">
        <f t="shared" si="10"/>
        <v>2.1444474941315527E-2</v>
      </c>
      <c r="P43" s="174">
        <f t="shared" si="10"/>
        <v>2.9395240440304331E-2</v>
      </c>
      <c r="Q43" s="174">
        <f t="shared" si="10"/>
        <v>3.6055889204536978E-2</v>
      </c>
      <c r="R43" s="174">
        <f t="shared" si="10"/>
        <v>5.3693429817946871E-2</v>
      </c>
      <c r="S43" s="174">
        <f t="shared" si="10"/>
        <v>4.2872105040472175E-2</v>
      </c>
      <c r="T43" s="174">
        <f t="shared" si="10"/>
        <v>4.9387095463683917E-2</v>
      </c>
      <c r="U43" s="174">
        <f t="shared" si="10"/>
        <v>7.8748646219670523E-2</v>
      </c>
      <c r="V43" s="174">
        <f t="shared" si="10"/>
        <v>3.7444102373041896E-2</v>
      </c>
      <c r="W43" s="174">
        <f t="shared" si="10"/>
        <v>2.8936466209742048E-2</v>
      </c>
      <c r="X43" s="174">
        <f t="shared" si="10"/>
        <v>2.4722283050818885E-2</v>
      </c>
      <c r="Y43" s="196">
        <f t="shared" si="10"/>
        <v>3.0033362696205231E-3</v>
      </c>
    </row>
    <row r="44" spans="1:74" x14ac:dyDescent="0.35">
      <c r="A44" s="188" t="s">
        <v>20</v>
      </c>
      <c r="B44" s="174">
        <f t="shared" ref="B44:Y44" si="11">B21/$Z$21</f>
        <v>0</v>
      </c>
      <c r="C44" s="174">
        <f t="shared" si="11"/>
        <v>0</v>
      </c>
      <c r="D44" s="174">
        <f t="shared" si="11"/>
        <v>0</v>
      </c>
      <c r="E44" s="174">
        <f t="shared" si="11"/>
        <v>0</v>
      </c>
      <c r="F44" s="174">
        <f t="shared" si="11"/>
        <v>0</v>
      </c>
      <c r="G44" s="174">
        <f t="shared" si="11"/>
        <v>0</v>
      </c>
      <c r="H44" s="174">
        <f t="shared" si="11"/>
        <v>0</v>
      </c>
      <c r="I44" s="174">
        <f t="shared" si="11"/>
        <v>0</v>
      </c>
      <c r="J44" s="174">
        <f t="shared" si="11"/>
        <v>0</v>
      </c>
      <c r="K44" s="174">
        <f t="shared" si="11"/>
        <v>0</v>
      </c>
      <c r="L44" s="174">
        <f t="shared" si="11"/>
        <v>0</v>
      </c>
      <c r="M44" s="174">
        <f t="shared" si="11"/>
        <v>0</v>
      </c>
      <c r="N44" s="174">
        <f t="shared" si="11"/>
        <v>0</v>
      </c>
      <c r="O44" s="174">
        <f t="shared" si="11"/>
        <v>0</v>
      </c>
      <c r="P44" s="174">
        <f t="shared" si="11"/>
        <v>0</v>
      </c>
      <c r="Q44" s="174">
        <f t="shared" si="11"/>
        <v>0</v>
      </c>
      <c r="R44" s="174">
        <f t="shared" si="11"/>
        <v>0</v>
      </c>
      <c r="S44" s="174">
        <f t="shared" si="11"/>
        <v>0</v>
      </c>
      <c r="T44" s="174">
        <f t="shared" si="11"/>
        <v>0</v>
      </c>
      <c r="U44" s="174">
        <f t="shared" si="11"/>
        <v>0</v>
      </c>
      <c r="V44" s="174">
        <f t="shared" si="11"/>
        <v>0</v>
      </c>
      <c r="W44" s="174">
        <f t="shared" si="11"/>
        <v>0</v>
      </c>
      <c r="X44" s="174">
        <f t="shared" si="11"/>
        <v>0</v>
      </c>
      <c r="Y44" s="191">
        <f t="shared" si="11"/>
        <v>1</v>
      </c>
    </row>
    <row r="45" spans="1:74" x14ac:dyDescent="0.35">
      <c r="A45" s="188" t="s">
        <v>23</v>
      </c>
      <c r="B45" s="174">
        <f t="shared" ref="B45:Y45" si="12">B23/$Z$23</f>
        <v>0.13063992922441753</v>
      </c>
      <c r="C45" s="174">
        <f t="shared" si="12"/>
        <v>6.5762312002359186E-2</v>
      </c>
      <c r="D45" s="174">
        <f t="shared" si="12"/>
        <v>1.1795930404010615E-3</v>
      </c>
      <c r="E45" s="174">
        <f t="shared" si="12"/>
        <v>5.6030669419050421E-3</v>
      </c>
      <c r="F45" s="174">
        <f t="shared" si="12"/>
        <v>0</v>
      </c>
      <c r="G45" s="174">
        <f t="shared" si="12"/>
        <v>0</v>
      </c>
      <c r="H45" s="174">
        <f t="shared" si="12"/>
        <v>1.7104099085815391E-2</v>
      </c>
      <c r="I45" s="174">
        <f t="shared" si="12"/>
        <v>0</v>
      </c>
      <c r="J45" s="174">
        <f t="shared" si="12"/>
        <v>0</v>
      </c>
      <c r="K45" s="174">
        <f t="shared" si="12"/>
        <v>0</v>
      </c>
      <c r="L45" s="174">
        <f t="shared" si="12"/>
        <v>7.0775582424063687E-3</v>
      </c>
      <c r="M45" s="174">
        <f t="shared" si="12"/>
        <v>1.3860218224712471E-2</v>
      </c>
      <c r="N45" s="174">
        <f t="shared" si="12"/>
        <v>1.592450604541433E-2</v>
      </c>
      <c r="O45" s="174">
        <f t="shared" si="12"/>
        <v>7.0775582424063687E-3</v>
      </c>
      <c r="P45" s="174">
        <f t="shared" si="12"/>
        <v>2.9489826010026536E-4</v>
      </c>
      <c r="Q45" s="174">
        <f t="shared" si="12"/>
        <v>3.5387791212031844E-3</v>
      </c>
      <c r="R45" s="174">
        <f t="shared" si="12"/>
        <v>5.6030669419050421E-3</v>
      </c>
      <c r="S45" s="174">
        <f t="shared" si="12"/>
        <v>3.3323503391329987E-2</v>
      </c>
      <c r="T45" s="174">
        <f t="shared" si="12"/>
        <v>3.1259215570628128E-2</v>
      </c>
      <c r="U45" s="174">
        <f t="shared" si="12"/>
        <v>0.55765260984960185</v>
      </c>
      <c r="V45" s="174">
        <f t="shared" si="12"/>
        <v>5.0722500737245636E-2</v>
      </c>
      <c r="W45" s="174">
        <f t="shared" si="12"/>
        <v>2.5951046888823357E-2</v>
      </c>
      <c r="X45" s="174">
        <f t="shared" si="12"/>
        <v>2.0642878207018578E-3</v>
      </c>
      <c r="Y45" s="191">
        <f t="shared" si="12"/>
        <v>0</v>
      </c>
    </row>
    <row r="46" spans="1:74" x14ac:dyDescent="0.35">
      <c r="A46" s="188" t="s">
        <v>27</v>
      </c>
      <c r="B46" s="174">
        <f t="shared" ref="B46:Y46" si="13">B26/$Z$26</f>
        <v>0.17857142857142852</v>
      </c>
      <c r="C46" s="174">
        <f t="shared" si="13"/>
        <v>0.36904761904761901</v>
      </c>
      <c r="D46" s="174">
        <f t="shared" si="13"/>
        <v>0</v>
      </c>
      <c r="E46" s="174">
        <f t="shared" si="13"/>
        <v>0</v>
      </c>
      <c r="F46" s="174">
        <f t="shared" si="13"/>
        <v>0</v>
      </c>
      <c r="G46" s="174">
        <f t="shared" si="13"/>
        <v>3.5714285714285705E-2</v>
      </c>
      <c r="H46" s="174">
        <f t="shared" si="13"/>
        <v>0</v>
      </c>
      <c r="I46" s="174">
        <f t="shared" si="13"/>
        <v>0</v>
      </c>
      <c r="J46" s="174">
        <f t="shared" si="13"/>
        <v>0</v>
      </c>
      <c r="K46" s="174">
        <f t="shared" si="13"/>
        <v>3.5714285714285705E-2</v>
      </c>
      <c r="L46" s="174">
        <f t="shared" si="13"/>
        <v>0</v>
      </c>
      <c r="M46" s="174">
        <f t="shared" si="13"/>
        <v>0</v>
      </c>
      <c r="N46" s="174">
        <f t="shared" si="13"/>
        <v>0</v>
      </c>
      <c r="O46" s="174">
        <f t="shared" si="13"/>
        <v>0.29761904761904756</v>
      </c>
      <c r="P46" s="174">
        <f t="shared" si="13"/>
        <v>0</v>
      </c>
      <c r="Q46" s="174">
        <f t="shared" si="13"/>
        <v>0</v>
      </c>
      <c r="R46" s="174">
        <f t="shared" si="13"/>
        <v>0</v>
      </c>
      <c r="S46" s="174">
        <f t="shared" si="13"/>
        <v>1.1904761904761902E-2</v>
      </c>
      <c r="T46" s="174">
        <f t="shared" si="13"/>
        <v>0</v>
      </c>
      <c r="U46" s="174">
        <f t="shared" si="13"/>
        <v>2.3809523809523805E-2</v>
      </c>
      <c r="V46" s="174">
        <f t="shared" si="13"/>
        <v>0</v>
      </c>
      <c r="W46" s="174">
        <f t="shared" si="13"/>
        <v>0</v>
      </c>
      <c r="X46" s="174">
        <f t="shared" si="13"/>
        <v>0</v>
      </c>
      <c r="Y46" s="191">
        <f t="shared" si="13"/>
        <v>4.7619047619047609E-2</v>
      </c>
    </row>
    <row r="47" spans="1:74" x14ac:dyDescent="0.35">
      <c r="A47" s="188" t="s">
        <v>30</v>
      </c>
      <c r="B47" s="174">
        <f t="shared" ref="B47:Y47" si="14">B29/$Z$29</f>
        <v>0</v>
      </c>
      <c r="C47" s="174">
        <f t="shared" si="14"/>
        <v>0</v>
      </c>
      <c r="D47" s="174">
        <f t="shared" si="14"/>
        <v>0</v>
      </c>
      <c r="E47" s="174">
        <f t="shared" si="14"/>
        <v>0</v>
      </c>
      <c r="F47" s="174">
        <f t="shared" si="14"/>
        <v>0</v>
      </c>
      <c r="G47" s="174">
        <f t="shared" si="14"/>
        <v>0</v>
      </c>
      <c r="H47" s="174">
        <f t="shared" si="14"/>
        <v>0</v>
      </c>
      <c r="I47" s="174">
        <f t="shared" si="14"/>
        <v>0</v>
      </c>
      <c r="J47" s="174">
        <f t="shared" si="14"/>
        <v>0</v>
      </c>
      <c r="K47" s="174">
        <f t="shared" si="14"/>
        <v>0</v>
      </c>
      <c r="L47" s="174">
        <f t="shared" si="14"/>
        <v>0</v>
      </c>
      <c r="M47" s="174">
        <f t="shared" si="14"/>
        <v>0</v>
      </c>
      <c r="N47" s="174">
        <f t="shared" si="14"/>
        <v>0</v>
      </c>
      <c r="O47" s="174">
        <f t="shared" si="14"/>
        <v>0</v>
      </c>
      <c r="P47" s="174">
        <f t="shared" si="14"/>
        <v>0</v>
      </c>
      <c r="Q47" s="174">
        <f t="shared" si="14"/>
        <v>0</v>
      </c>
      <c r="R47" s="174">
        <f t="shared" si="14"/>
        <v>0</v>
      </c>
      <c r="S47" s="174">
        <f t="shared" si="14"/>
        <v>0</v>
      </c>
      <c r="T47" s="174">
        <f t="shared" si="14"/>
        <v>0</v>
      </c>
      <c r="U47" s="174">
        <f t="shared" si="14"/>
        <v>0</v>
      </c>
      <c r="V47" s="174">
        <f t="shared" si="14"/>
        <v>0.75</v>
      </c>
      <c r="W47" s="174">
        <f t="shared" si="14"/>
        <v>0</v>
      </c>
      <c r="X47" s="174">
        <f t="shared" si="14"/>
        <v>0</v>
      </c>
      <c r="Y47" s="191">
        <f t="shared" si="14"/>
        <v>0.25</v>
      </c>
    </row>
    <row r="48" spans="1:74" x14ac:dyDescent="0.35">
      <c r="A48" s="188" t="s">
        <v>35</v>
      </c>
      <c r="B48" s="174">
        <f t="shared" ref="B48:Y48" si="15">B32/$Z$32</f>
        <v>0.36961976452422302</v>
      </c>
      <c r="C48" s="174">
        <f t="shared" si="15"/>
        <v>0.11445666859679597</v>
      </c>
      <c r="D48" s="174">
        <f t="shared" si="15"/>
        <v>0</v>
      </c>
      <c r="E48" s="174">
        <f t="shared" si="15"/>
        <v>0.11542173325612816</v>
      </c>
      <c r="F48" s="174">
        <f t="shared" si="15"/>
        <v>5.7903879559930511E-4</v>
      </c>
      <c r="G48" s="174">
        <f t="shared" si="15"/>
        <v>6.369426751592357E-3</v>
      </c>
      <c r="H48" s="174">
        <f t="shared" si="15"/>
        <v>0</v>
      </c>
      <c r="I48" s="174">
        <f t="shared" si="15"/>
        <v>6.4852345107122178E-2</v>
      </c>
      <c r="J48" s="174">
        <f t="shared" si="15"/>
        <v>0</v>
      </c>
      <c r="K48" s="174">
        <f t="shared" si="15"/>
        <v>1.7757189731712024E-2</v>
      </c>
      <c r="L48" s="174">
        <f t="shared" si="15"/>
        <v>0</v>
      </c>
      <c r="M48" s="174">
        <f t="shared" si="15"/>
        <v>7.7205172746574015E-4</v>
      </c>
      <c r="N48" s="174">
        <f t="shared" si="15"/>
        <v>0</v>
      </c>
      <c r="O48" s="174">
        <f t="shared" si="15"/>
        <v>3.4742327735958305E-3</v>
      </c>
      <c r="P48" s="174">
        <f t="shared" si="15"/>
        <v>3.088206909862961E-2</v>
      </c>
      <c r="Q48" s="174">
        <f t="shared" si="15"/>
        <v>0</v>
      </c>
      <c r="R48" s="174">
        <f t="shared" si="15"/>
        <v>0.10750820304960433</v>
      </c>
      <c r="S48" s="174">
        <f t="shared" si="15"/>
        <v>0</v>
      </c>
      <c r="T48" s="174">
        <f t="shared" si="15"/>
        <v>3.35842501447597E-2</v>
      </c>
      <c r="U48" s="174">
        <f t="shared" si="15"/>
        <v>7.1800810654313846E-2</v>
      </c>
      <c r="V48" s="174">
        <f t="shared" si="15"/>
        <v>0</v>
      </c>
      <c r="W48" s="174">
        <f t="shared" si="15"/>
        <v>0</v>
      </c>
      <c r="X48" s="174">
        <f t="shared" si="15"/>
        <v>5.4236633854468246E-2</v>
      </c>
      <c r="Y48" s="196">
        <f t="shared" si="15"/>
        <v>8.6855819339895779E-3</v>
      </c>
    </row>
    <row r="49" spans="1:25" x14ac:dyDescent="0.35">
      <c r="A49" s="188" t="s">
        <v>39</v>
      </c>
      <c r="B49" s="174">
        <f>B34/$Z$34</f>
        <v>0.31901351232171377</v>
      </c>
      <c r="C49" s="174">
        <f t="shared" ref="C49:Y49" si="16">C34/$Z$34</f>
        <v>9.2422704303264464E-2</v>
      </c>
      <c r="D49" s="174">
        <f t="shared" si="16"/>
        <v>2.9810547279365364E-2</v>
      </c>
      <c r="E49" s="174">
        <f t="shared" si="16"/>
        <v>1.3693086467475168E-2</v>
      </c>
      <c r="F49" s="174">
        <f t="shared" si="16"/>
        <v>1.7583594316355835E-2</v>
      </c>
      <c r="G49" s="174">
        <f t="shared" si="16"/>
        <v>1.7034419735758206E-2</v>
      </c>
      <c r="H49" s="174">
        <f t="shared" si="16"/>
        <v>2.2510528452309695E-2</v>
      </c>
      <c r="I49" s="174">
        <f t="shared" si="16"/>
        <v>8.2864064279696264E-3</v>
      </c>
      <c r="J49" s="174">
        <f t="shared" si="16"/>
        <v>9.1076663645581011E-3</v>
      </c>
      <c r="K49" s="174">
        <f t="shared" si="16"/>
        <v>4.6429645920001905E-3</v>
      </c>
      <c r="L49" s="174">
        <f t="shared" si="16"/>
        <v>1.4232253310840942E-2</v>
      </c>
      <c r="M49" s="174">
        <f t="shared" si="16"/>
        <v>2.6476094330429203E-2</v>
      </c>
      <c r="N49" s="174">
        <f t="shared" si="16"/>
        <v>2.2214674720393204E-2</v>
      </c>
      <c r="O49" s="174">
        <f t="shared" si="16"/>
        <v>1.6858658850623889E-2</v>
      </c>
      <c r="P49" s="174">
        <f t="shared" si="16"/>
        <v>3.0832587444167774E-2</v>
      </c>
      <c r="Q49" s="174">
        <f t="shared" si="16"/>
        <v>4.5441381868356993E-2</v>
      </c>
      <c r="R49" s="174">
        <f t="shared" si="16"/>
        <v>6.2587137680819499E-2</v>
      </c>
      <c r="S49" s="174">
        <f t="shared" si="16"/>
        <v>4.711142301892151E-2</v>
      </c>
      <c r="T49" s="174">
        <f t="shared" si="16"/>
        <v>4.1400132477421608E-2</v>
      </c>
      <c r="U49" s="174">
        <f t="shared" si="16"/>
        <v>5.3817857931413221E-2</v>
      </c>
      <c r="V49" s="174">
        <f t="shared" si="16"/>
        <v>3.9118993872137395E-2</v>
      </c>
      <c r="W49" s="174">
        <f t="shared" si="16"/>
        <v>3.9531813032951106E-2</v>
      </c>
      <c r="X49" s="174">
        <f t="shared" si="16"/>
        <v>2.0594672255987913E-2</v>
      </c>
      <c r="Y49" s="196">
        <f t="shared" si="16"/>
        <v>5.6768889447654227E-3</v>
      </c>
    </row>
    <row r="50" spans="1:25" x14ac:dyDescent="0.35">
      <c r="A50" s="188" t="s">
        <v>40</v>
      </c>
      <c r="B50" s="174">
        <f>B36/$Z$36</f>
        <v>0.3214337758489571</v>
      </c>
      <c r="C50" s="174">
        <f t="shared" ref="C50:Y50" si="17">C36/$Z$36</f>
        <v>8.8142632700746071E-2</v>
      </c>
      <c r="D50" s="174">
        <f t="shared" si="17"/>
        <v>2.1808441953973197E-2</v>
      </c>
      <c r="E50" s="174">
        <f t="shared" si="17"/>
        <v>1.4504992283942933E-2</v>
      </c>
      <c r="F50" s="174">
        <f t="shared" si="17"/>
        <v>1.3252564522601958E-2</v>
      </c>
      <c r="G50" s="174">
        <f t="shared" si="17"/>
        <v>1.3382686887416603E-2</v>
      </c>
      <c r="H50" s="174">
        <f t="shared" si="17"/>
        <v>2.8169168368713669E-2</v>
      </c>
      <c r="I50" s="174">
        <f t="shared" si="17"/>
        <v>7.1577258992301862E-3</v>
      </c>
      <c r="J50" s="174">
        <f t="shared" si="17"/>
        <v>1.1445125041949524E-2</v>
      </c>
      <c r="K50" s="174">
        <f t="shared" si="17"/>
        <v>1.0925299472307335E-2</v>
      </c>
      <c r="L50" s="174">
        <f t="shared" si="17"/>
        <v>1.1591844647174204E-2</v>
      </c>
      <c r="M50" s="174">
        <f t="shared" si="17"/>
        <v>3.9472221032753316E-2</v>
      </c>
      <c r="N50" s="174">
        <f t="shared" si="17"/>
        <v>1.7736806936584262E-2</v>
      </c>
      <c r="O50" s="174">
        <f t="shared" si="17"/>
        <v>1.8684841308805267E-2</v>
      </c>
      <c r="P50" s="174">
        <f t="shared" si="17"/>
        <v>2.83444352274436E-2</v>
      </c>
      <c r="Q50" s="174">
        <f t="shared" si="17"/>
        <v>4.2230682388900563E-2</v>
      </c>
      <c r="R50" s="174">
        <f t="shared" si="17"/>
        <v>5.5753118040569642E-2</v>
      </c>
      <c r="S50" s="174">
        <f t="shared" si="17"/>
        <v>4.4366415284863403E-2</v>
      </c>
      <c r="T50" s="174">
        <f t="shared" si="17"/>
        <v>4.3200957063270984E-2</v>
      </c>
      <c r="U50" s="174">
        <f t="shared" si="17"/>
        <v>6.1808123286957298E-2</v>
      </c>
      <c r="V50" s="174">
        <f t="shared" si="17"/>
        <v>4.3469500413105315E-2</v>
      </c>
      <c r="W50" s="174">
        <f t="shared" si="17"/>
        <v>3.4288570907892287E-2</v>
      </c>
      <c r="X50" s="174">
        <f t="shared" si="17"/>
        <v>2.4690386778771067E-2</v>
      </c>
      <c r="Y50" s="196">
        <f t="shared" si="17"/>
        <v>4.1396837030700578E-3</v>
      </c>
    </row>
    <row r="52" spans="1:25" x14ac:dyDescent="0.35">
      <c r="K52" s="6"/>
      <c r="L52" s="6"/>
      <c r="M52" s="6"/>
    </row>
    <row r="53" spans="1:25" x14ac:dyDescent="0.35">
      <c r="E53" s="6"/>
      <c r="H53" s="6"/>
      <c r="K53" s="4"/>
      <c r="M53" s="4"/>
    </row>
    <row r="54" spans="1:25" x14ac:dyDescent="0.35">
      <c r="H54" s="4"/>
    </row>
    <row r="56" spans="1:25" x14ac:dyDescent="0.35">
      <c r="I56" s="6"/>
      <c r="J56" s="6"/>
      <c r="K56" s="6"/>
    </row>
    <row r="57" spans="1:25" x14ac:dyDescent="0.35">
      <c r="I57" s="4"/>
      <c r="J57" s="4"/>
      <c r="K57" s="4"/>
    </row>
  </sheetData>
  <hyperlinks>
    <hyperlink ref="B1" location="ÍNDICE!A1" display="ÍNDICE!A1" xr:uid="{371E577F-872C-4CE6-BBD8-F31983350C15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autoPageBreaks="0"/>
  </sheetPr>
  <dimension ref="A1:AA49"/>
  <sheetViews>
    <sheetView topLeftCell="AI20" zoomScaleNormal="100" workbookViewId="0">
      <selection activeCell="E1" sqref="E1:G1"/>
    </sheetView>
  </sheetViews>
  <sheetFormatPr baseColWidth="10" defaultRowHeight="14.5" x14ac:dyDescent="0.35"/>
  <cols>
    <col min="1" max="1" width="28.453125" customWidth="1"/>
    <col min="2" max="24" width="10.26953125" customWidth="1"/>
    <col min="25" max="25" width="18.453125" customWidth="1"/>
    <col min="26" max="26" width="16" customWidth="1"/>
    <col min="27" max="27" width="15.54296875" customWidth="1"/>
  </cols>
  <sheetData>
    <row r="1" spans="1:27" ht="21" x14ac:dyDescent="0.5">
      <c r="A1" s="337" t="s">
        <v>80</v>
      </c>
      <c r="B1" s="338" t="s">
        <v>79</v>
      </c>
      <c r="F1" s="337"/>
      <c r="G1" s="338"/>
    </row>
    <row r="3" spans="1:27" ht="18.5" x14ac:dyDescent="0.45">
      <c r="A3" s="53" t="s">
        <v>53</v>
      </c>
    </row>
    <row r="4" spans="1:27" ht="31" x14ac:dyDescent="0.35">
      <c r="A4" s="268" t="s">
        <v>134</v>
      </c>
      <c r="B4" s="177" t="s">
        <v>74</v>
      </c>
      <c r="C4" s="177">
        <v>2000</v>
      </c>
      <c r="D4" s="177">
        <v>2001</v>
      </c>
      <c r="E4" s="177">
        <v>2002</v>
      </c>
      <c r="F4" s="177">
        <v>2003</v>
      </c>
      <c r="G4" s="177">
        <v>2004</v>
      </c>
      <c r="H4" s="177">
        <v>2005</v>
      </c>
      <c r="I4" s="177">
        <v>2006</v>
      </c>
      <c r="J4" s="177">
        <v>2007</v>
      </c>
      <c r="K4" s="177">
        <v>2008</v>
      </c>
      <c r="L4" s="177">
        <v>2009</v>
      </c>
      <c r="M4" s="177">
        <v>2010</v>
      </c>
      <c r="N4" s="177">
        <v>2011</v>
      </c>
      <c r="O4" s="177">
        <v>2012</v>
      </c>
      <c r="P4" s="177">
        <v>2013</v>
      </c>
      <c r="Q4" s="177">
        <v>2014</v>
      </c>
      <c r="R4" s="177">
        <v>2015</v>
      </c>
      <c r="S4" s="177">
        <v>2016</v>
      </c>
      <c r="T4" s="177">
        <v>2017</v>
      </c>
      <c r="U4" s="177">
        <v>2018</v>
      </c>
      <c r="V4" s="177">
        <v>2019</v>
      </c>
      <c r="W4" s="177">
        <v>2020</v>
      </c>
      <c r="X4" s="177">
        <v>2021</v>
      </c>
      <c r="Y4" s="264" t="s">
        <v>75</v>
      </c>
      <c r="Z4" s="264" t="s">
        <v>73</v>
      </c>
      <c r="AA4" s="178" t="s">
        <v>76</v>
      </c>
    </row>
    <row r="5" spans="1:27" x14ac:dyDescent="0.35">
      <c r="A5" s="188" t="s">
        <v>6</v>
      </c>
      <c r="B5" s="180">
        <f>SUM(B6:B11)</f>
        <v>129.62</v>
      </c>
      <c r="C5" s="180">
        <f t="shared" ref="C5:Z5" si="0">SUM(C6:C11)</f>
        <v>19.54</v>
      </c>
      <c r="D5" s="180">
        <f t="shared" si="0"/>
        <v>19.529999999999998</v>
      </c>
      <c r="E5" s="180">
        <f t="shared" si="0"/>
        <v>24.220000000000002</v>
      </c>
      <c r="F5" s="180">
        <f t="shared" si="0"/>
        <v>11.44</v>
      </c>
      <c r="G5" s="180">
        <f t="shared" si="0"/>
        <v>20.059999999999999</v>
      </c>
      <c r="H5" s="180">
        <f t="shared" si="0"/>
        <v>42.03</v>
      </c>
      <c r="I5" s="180">
        <f t="shared" si="0"/>
        <v>49.519999999999996</v>
      </c>
      <c r="J5" s="180">
        <f t="shared" si="0"/>
        <v>22.07</v>
      </c>
      <c r="K5" s="180">
        <f t="shared" si="0"/>
        <v>14.86</v>
      </c>
      <c r="L5" s="180">
        <f t="shared" si="0"/>
        <v>15.55</v>
      </c>
      <c r="M5" s="180">
        <f t="shared" si="0"/>
        <v>30.27</v>
      </c>
      <c r="N5" s="180">
        <f t="shared" si="0"/>
        <v>6.1099999999999994</v>
      </c>
      <c r="O5" s="180">
        <f t="shared" si="0"/>
        <v>4.54</v>
      </c>
      <c r="P5" s="180">
        <f t="shared" si="0"/>
        <v>5.38</v>
      </c>
      <c r="Q5" s="180">
        <f t="shared" si="0"/>
        <v>11.33</v>
      </c>
      <c r="R5" s="180">
        <f t="shared" si="0"/>
        <v>8.07</v>
      </c>
      <c r="S5" s="180">
        <f t="shared" si="0"/>
        <v>50.800000000000004</v>
      </c>
      <c r="T5" s="180">
        <f t="shared" si="0"/>
        <v>41.72</v>
      </c>
      <c r="U5" s="180">
        <f t="shared" si="0"/>
        <v>67.63</v>
      </c>
      <c r="V5" s="180">
        <f t="shared" si="0"/>
        <v>92.81</v>
      </c>
      <c r="W5" s="180">
        <f t="shared" si="0"/>
        <v>118.98000000000002</v>
      </c>
      <c r="X5" s="180">
        <f t="shared" si="0"/>
        <v>47.45</v>
      </c>
      <c r="Y5" s="180">
        <f t="shared" si="0"/>
        <v>0.23</v>
      </c>
      <c r="Z5" s="180">
        <f t="shared" si="0"/>
        <v>853.76</v>
      </c>
      <c r="AA5" s="181">
        <f t="shared" ref="AA5:AA26" si="1">Z5/$Z$27</f>
        <v>0.36562814500760149</v>
      </c>
    </row>
    <row r="6" spans="1:27" x14ac:dyDescent="0.35">
      <c r="A6" s="193" t="s">
        <v>7</v>
      </c>
      <c r="B6" s="156">
        <v>2.78</v>
      </c>
      <c r="C6" s="156"/>
      <c r="D6" s="156"/>
      <c r="E6" s="156">
        <v>17.55</v>
      </c>
      <c r="F6" s="156"/>
      <c r="G6" s="156">
        <v>4.42</v>
      </c>
      <c r="H6" s="156">
        <v>12.76</v>
      </c>
      <c r="I6" s="156">
        <v>2.71</v>
      </c>
      <c r="J6" s="156">
        <v>3.33</v>
      </c>
      <c r="K6" s="156">
        <v>2.56</v>
      </c>
      <c r="L6" s="156">
        <v>11.08</v>
      </c>
      <c r="M6" s="156">
        <v>2.57</v>
      </c>
      <c r="N6" s="156">
        <v>1.56</v>
      </c>
      <c r="O6" s="156">
        <v>2.97</v>
      </c>
      <c r="P6" s="156">
        <v>0.85</v>
      </c>
      <c r="Q6" s="156">
        <v>4.92</v>
      </c>
      <c r="R6" s="156">
        <v>3.79</v>
      </c>
      <c r="S6" s="156">
        <v>16.68</v>
      </c>
      <c r="T6" s="156">
        <v>4.6100000000000003</v>
      </c>
      <c r="U6" s="156">
        <v>5.0200000000000005</v>
      </c>
      <c r="V6" s="156">
        <v>4.01</v>
      </c>
      <c r="W6" s="156">
        <v>3.02</v>
      </c>
      <c r="X6" s="156">
        <v>10</v>
      </c>
      <c r="Y6" s="156"/>
      <c r="Z6" s="156">
        <v>117.19</v>
      </c>
      <c r="AA6" s="174">
        <f t="shared" si="1"/>
        <v>5.0187362154985968E-2</v>
      </c>
    </row>
    <row r="7" spans="1:27" x14ac:dyDescent="0.35">
      <c r="A7" s="193" t="s">
        <v>8</v>
      </c>
      <c r="B7" s="156">
        <v>70.760000000000005</v>
      </c>
      <c r="C7" s="156"/>
      <c r="D7" s="156"/>
      <c r="E7" s="156">
        <v>2.1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>
        <v>5.78</v>
      </c>
      <c r="W7" s="156"/>
      <c r="X7" s="156"/>
      <c r="Y7" s="156"/>
      <c r="Z7" s="156">
        <v>78.64</v>
      </c>
      <c r="AA7" s="174">
        <f t="shared" si="1"/>
        <v>3.3678079698507522E-2</v>
      </c>
    </row>
    <row r="8" spans="1:27" x14ac:dyDescent="0.35">
      <c r="A8" s="193" t="s">
        <v>9</v>
      </c>
      <c r="B8" s="156">
        <v>4.32</v>
      </c>
      <c r="C8" s="156">
        <v>3.07</v>
      </c>
      <c r="D8" s="156">
        <v>2.77</v>
      </c>
      <c r="E8" s="156"/>
      <c r="F8" s="156">
        <v>1.31</v>
      </c>
      <c r="G8" s="156">
        <v>0.3</v>
      </c>
      <c r="H8" s="156">
        <v>5.25</v>
      </c>
      <c r="I8" s="156">
        <v>12.96</v>
      </c>
      <c r="J8" s="156">
        <v>9.82</v>
      </c>
      <c r="K8" s="156"/>
      <c r="L8" s="156">
        <v>3.26</v>
      </c>
      <c r="M8" s="156"/>
      <c r="N8" s="156">
        <v>1.75</v>
      </c>
      <c r="O8" s="156"/>
      <c r="P8" s="156"/>
      <c r="Q8" s="156"/>
      <c r="R8" s="156"/>
      <c r="S8" s="156">
        <v>8.24</v>
      </c>
      <c r="T8" s="156"/>
      <c r="U8" s="156">
        <v>18.850000000000001</v>
      </c>
      <c r="V8" s="156">
        <v>35.67</v>
      </c>
      <c r="W8" s="156">
        <v>22.620000000000005</v>
      </c>
      <c r="X8" s="156">
        <v>15</v>
      </c>
      <c r="Y8" s="156"/>
      <c r="Z8" s="156">
        <v>145.19</v>
      </c>
      <c r="AA8" s="174">
        <f t="shared" si="1"/>
        <v>6.2178540074088344E-2</v>
      </c>
    </row>
    <row r="9" spans="1:27" x14ac:dyDescent="0.35">
      <c r="A9" s="193" t="s">
        <v>11</v>
      </c>
      <c r="B9" s="156">
        <v>10.39</v>
      </c>
      <c r="C9" s="156">
        <v>16.149999999999999</v>
      </c>
      <c r="D9" s="156"/>
      <c r="E9" s="156"/>
      <c r="F9" s="156"/>
      <c r="G9" s="156">
        <v>15.34</v>
      </c>
      <c r="H9" s="156"/>
      <c r="I9" s="156"/>
      <c r="J9" s="156">
        <v>6.12</v>
      </c>
      <c r="K9" s="156">
        <v>7.41</v>
      </c>
      <c r="L9" s="156"/>
      <c r="M9" s="156">
        <v>1.51</v>
      </c>
      <c r="N9" s="156"/>
      <c r="O9" s="156"/>
      <c r="P9" s="156"/>
      <c r="Q9" s="156"/>
      <c r="R9" s="156"/>
      <c r="S9" s="156"/>
      <c r="T9" s="156"/>
      <c r="U9" s="156">
        <v>2.98</v>
      </c>
      <c r="V9" s="156">
        <v>7.0000000000000007E-2</v>
      </c>
      <c r="W9" s="156">
        <v>13.43</v>
      </c>
      <c r="X9" s="156"/>
      <c r="Y9" s="156"/>
      <c r="Z9" s="156">
        <v>73.399999999999991</v>
      </c>
      <c r="AA9" s="174">
        <f t="shared" si="1"/>
        <v>3.1434016402218365E-2</v>
      </c>
    </row>
    <row r="10" spans="1:27" x14ac:dyDescent="0.35">
      <c r="A10" s="193" t="s">
        <v>13</v>
      </c>
      <c r="B10" s="156">
        <v>7.5200000000000005</v>
      </c>
      <c r="C10" s="156">
        <v>0.32</v>
      </c>
      <c r="D10" s="156">
        <v>0.54</v>
      </c>
      <c r="E10" s="156"/>
      <c r="F10" s="156"/>
      <c r="G10" s="156"/>
      <c r="H10" s="156">
        <v>0.43</v>
      </c>
      <c r="I10" s="156">
        <v>1.0900000000000001</v>
      </c>
      <c r="J10" s="156"/>
      <c r="K10" s="156">
        <v>0.62</v>
      </c>
      <c r="L10" s="156">
        <v>1.2100000000000002</v>
      </c>
      <c r="M10" s="156">
        <v>8.33</v>
      </c>
      <c r="N10" s="156"/>
      <c r="O10" s="156">
        <v>1.54</v>
      </c>
      <c r="P10" s="156">
        <v>4.53</v>
      </c>
      <c r="Q10" s="156"/>
      <c r="R10" s="156">
        <v>0.1</v>
      </c>
      <c r="S10" s="156">
        <v>3.1</v>
      </c>
      <c r="T10" s="156">
        <v>8.7799999999999994</v>
      </c>
      <c r="U10" s="156">
        <v>2.4700000000000002</v>
      </c>
      <c r="V10" s="156">
        <v>6.64</v>
      </c>
      <c r="W10" s="156">
        <v>6.74</v>
      </c>
      <c r="X10" s="156"/>
      <c r="Y10" s="156">
        <v>0.23</v>
      </c>
      <c r="Z10" s="156">
        <v>54.190000000000005</v>
      </c>
      <c r="AA10" s="174">
        <f t="shared" si="1"/>
        <v>2.3207211837005633E-2</v>
      </c>
    </row>
    <row r="11" spans="1:27" x14ac:dyDescent="0.35">
      <c r="A11" s="193" t="s">
        <v>14</v>
      </c>
      <c r="B11" s="156">
        <v>33.85</v>
      </c>
      <c r="C11" s="156"/>
      <c r="D11" s="156">
        <v>16.22</v>
      </c>
      <c r="E11" s="156">
        <v>4.57</v>
      </c>
      <c r="F11" s="156">
        <v>10.129999999999999</v>
      </c>
      <c r="G11" s="156"/>
      <c r="H11" s="156">
        <v>23.590000000000003</v>
      </c>
      <c r="I11" s="156">
        <v>32.76</v>
      </c>
      <c r="J11" s="156">
        <v>2.8</v>
      </c>
      <c r="K11" s="156">
        <v>4.2699999999999996</v>
      </c>
      <c r="L11" s="156"/>
      <c r="M11" s="156">
        <v>17.86</v>
      </c>
      <c r="N11" s="156">
        <v>2.8</v>
      </c>
      <c r="O11" s="156">
        <v>0.03</v>
      </c>
      <c r="P11" s="156"/>
      <c r="Q11" s="156">
        <v>6.41</v>
      </c>
      <c r="R11" s="156">
        <v>4.18</v>
      </c>
      <c r="S11" s="156">
        <v>22.78</v>
      </c>
      <c r="T11" s="156">
        <v>28.33</v>
      </c>
      <c r="U11" s="156">
        <v>38.31</v>
      </c>
      <c r="V11" s="156">
        <v>40.64</v>
      </c>
      <c r="W11" s="156">
        <v>73.17</v>
      </c>
      <c r="X11" s="156">
        <v>22.450000000000003</v>
      </c>
      <c r="Y11" s="156"/>
      <c r="Z11" s="156">
        <v>385.15000000000003</v>
      </c>
      <c r="AA11" s="174">
        <f t="shared" si="1"/>
        <v>0.1649429348407957</v>
      </c>
    </row>
    <row r="12" spans="1:27" x14ac:dyDescent="0.35">
      <c r="A12" s="188" t="s">
        <v>16</v>
      </c>
      <c r="B12" s="180">
        <f>SUM(B13:B15)</f>
        <v>58.929999999999986</v>
      </c>
      <c r="C12" s="180">
        <f t="shared" ref="C12:Z12" si="2">SUM(C13:C15)</f>
        <v>8.1</v>
      </c>
      <c r="D12" s="180">
        <f t="shared" si="2"/>
        <v>14.02</v>
      </c>
      <c r="E12" s="180">
        <f t="shared" si="2"/>
        <v>0.87000000000000011</v>
      </c>
      <c r="F12" s="180">
        <f t="shared" si="2"/>
        <v>12.530000000000001</v>
      </c>
      <c r="G12" s="180">
        <f t="shared" si="2"/>
        <v>9.6900000000000013</v>
      </c>
      <c r="H12" s="180">
        <f t="shared" si="2"/>
        <v>26.21</v>
      </c>
      <c r="I12" s="180">
        <f t="shared" si="2"/>
        <v>8.07</v>
      </c>
      <c r="J12" s="180">
        <f t="shared" si="2"/>
        <v>18.840000000000003</v>
      </c>
      <c r="K12" s="180">
        <f t="shared" si="2"/>
        <v>6.66</v>
      </c>
      <c r="L12" s="180">
        <f t="shared" si="2"/>
        <v>11.54</v>
      </c>
      <c r="M12" s="180">
        <f t="shared" si="2"/>
        <v>77.63000000000001</v>
      </c>
      <c r="N12" s="180">
        <f t="shared" si="2"/>
        <v>6.7700000000000005</v>
      </c>
      <c r="O12" s="180">
        <f t="shared" si="2"/>
        <v>6.72</v>
      </c>
      <c r="P12" s="180">
        <f t="shared" si="2"/>
        <v>11.12</v>
      </c>
      <c r="Q12" s="180">
        <f t="shared" si="2"/>
        <v>8.67</v>
      </c>
      <c r="R12" s="180">
        <f t="shared" si="2"/>
        <v>51.97</v>
      </c>
      <c r="S12" s="180">
        <f t="shared" si="2"/>
        <v>18.95</v>
      </c>
      <c r="T12" s="180">
        <f t="shared" si="2"/>
        <v>26.599999999999998</v>
      </c>
      <c r="U12" s="180">
        <f t="shared" si="2"/>
        <v>21.67</v>
      </c>
      <c r="V12" s="180">
        <f t="shared" si="2"/>
        <v>30.86999999999999</v>
      </c>
      <c r="W12" s="180">
        <f t="shared" si="2"/>
        <v>39.019999999999996</v>
      </c>
      <c r="X12" s="180">
        <f t="shared" si="2"/>
        <v>14.75</v>
      </c>
      <c r="Y12" s="180">
        <f t="shared" si="2"/>
        <v>0.65</v>
      </c>
      <c r="Z12" s="180">
        <f t="shared" si="2"/>
        <v>490.84999999999991</v>
      </c>
      <c r="AA12" s="181">
        <f t="shared" si="1"/>
        <v>0.21020963148540711</v>
      </c>
    </row>
    <row r="13" spans="1:27" x14ac:dyDescent="0.35">
      <c r="A13" s="193" t="s">
        <v>17</v>
      </c>
      <c r="B13" s="156">
        <v>19.969999999999995</v>
      </c>
      <c r="C13" s="156">
        <v>3.5300000000000002</v>
      </c>
      <c r="D13" s="156">
        <v>0.06</v>
      </c>
      <c r="E13" s="156"/>
      <c r="F13" s="156">
        <v>0.56000000000000005</v>
      </c>
      <c r="G13" s="156">
        <v>1.56</v>
      </c>
      <c r="H13" s="156">
        <v>10.54</v>
      </c>
      <c r="I13" s="156">
        <v>0.22</v>
      </c>
      <c r="J13" s="156">
        <v>2.58</v>
      </c>
      <c r="K13" s="156">
        <v>2.96</v>
      </c>
      <c r="L13" s="156">
        <v>5.68</v>
      </c>
      <c r="M13" s="156">
        <v>60.970000000000006</v>
      </c>
      <c r="N13" s="156">
        <v>1.07</v>
      </c>
      <c r="O13" s="156">
        <v>3.17</v>
      </c>
      <c r="P13" s="156">
        <v>8.18</v>
      </c>
      <c r="Q13" s="156">
        <v>4.08</v>
      </c>
      <c r="R13" s="156">
        <v>33.46</v>
      </c>
      <c r="S13" s="156">
        <v>9.69</v>
      </c>
      <c r="T13" s="156">
        <v>12.629999999999999</v>
      </c>
      <c r="U13" s="156">
        <v>4.38</v>
      </c>
      <c r="V13" s="156">
        <v>5.74</v>
      </c>
      <c r="W13" s="156">
        <v>19.579999999999998</v>
      </c>
      <c r="X13" s="156">
        <v>7.7899999999999991</v>
      </c>
      <c r="Y13" s="156">
        <v>0.63</v>
      </c>
      <c r="Z13" s="156">
        <v>219.02999999999994</v>
      </c>
      <c r="AA13" s="174">
        <f t="shared" si="1"/>
        <v>9.3800989272178295E-2</v>
      </c>
    </row>
    <row r="14" spans="1:27" x14ac:dyDescent="0.35">
      <c r="A14" s="193" t="s">
        <v>18</v>
      </c>
      <c r="B14" s="156">
        <v>0.26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>
        <v>0.2</v>
      </c>
      <c r="M14" s="156"/>
      <c r="N14" s="156"/>
      <c r="O14" s="156"/>
      <c r="P14" s="156">
        <v>0.1</v>
      </c>
      <c r="Q14" s="156"/>
      <c r="R14" s="156"/>
      <c r="S14" s="156"/>
      <c r="T14" s="156"/>
      <c r="U14" s="156"/>
      <c r="V14" s="156"/>
      <c r="W14" s="156"/>
      <c r="X14" s="156"/>
      <c r="Y14" s="156"/>
      <c r="Z14" s="156">
        <v>0.56000000000000005</v>
      </c>
      <c r="AA14" s="174">
        <f t="shared" si="1"/>
        <v>2.3982355838204751E-4</v>
      </c>
    </row>
    <row r="15" spans="1:27" x14ac:dyDescent="0.35">
      <c r="A15" s="193" t="s">
        <v>19</v>
      </c>
      <c r="B15" s="156">
        <v>38.699999999999989</v>
      </c>
      <c r="C15" s="156">
        <v>4.5699999999999994</v>
      </c>
      <c r="D15" s="156">
        <v>13.959999999999999</v>
      </c>
      <c r="E15" s="156">
        <v>0.87000000000000011</v>
      </c>
      <c r="F15" s="156">
        <v>11.97</v>
      </c>
      <c r="G15" s="156">
        <v>8.1300000000000008</v>
      </c>
      <c r="H15" s="156">
        <v>15.67</v>
      </c>
      <c r="I15" s="156">
        <v>7.85</v>
      </c>
      <c r="J15" s="156">
        <v>16.260000000000002</v>
      </c>
      <c r="K15" s="156">
        <v>3.7</v>
      </c>
      <c r="L15" s="156">
        <v>5.6599999999999993</v>
      </c>
      <c r="M15" s="156">
        <v>16.66</v>
      </c>
      <c r="N15" s="156">
        <v>5.7</v>
      </c>
      <c r="O15" s="156">
        <v>3.55</v>
      </c>
      <c r="P15" s="156">
        <v>2.84</v>
      </c>
      <c r="Q15" s="156">
        <v>4.59</v>
      </c>
      <c r="R15" s="156">
        <v>18.509999999999998</v>
      </c>
      <c r="S15" s="156">
        <v>9.26</v>
      </c>
      <c r="T15" s="156">
        <v>13.969999999999999</v>
      </c>
      <c r="U15" s="156">
        <v>17.290000000000003</v>
      </c>
      <c r="V15" s="156">
        <v>25.129999999999992</v>
      </c>
      <c r="W15" s="156">
        <v>19.440000000000001</v>
      </c>
      <c r="X15" s="156">
        <v>6.96</v>
      </c>
      <c r="Y15" s="156">
        <v>0.02</v>
      </c>
      <c r="Z15" s="156">
        <v>271.25999999999993</v>
      </c>
      <c r="AA15" s="174">
        <f t="shared" si="1"/>
        <v>0.11616881865484675</v>
      </c>
    </row>
    <row r="16" spans="1:27" x14ac:dyDescent="0.35">
      <c r="A16" s="188" t="s">
        <v>20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>
        <f t="shared" si="1"/>
        <v>0</v>
      </c>
    </row>
    <row r="17" spans="1:27" x14ac:dyDescent="0.35">
      <c r="A17" s="193" t="s">
        <v>20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74">
        <f t="shared" si="1"/>
        <v>0</v>
      </c>
    </row>
    <row r="18" spans="1:27" x14ac:dyDescent="0.35">
      <c r="A18" s="188" t="s">
        <v>23</v>
      </c>
      <c r="B18" s="180">
        <v>0.17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>
        <v>0.13</v>
      </c>
      <c r="P18" s="180"/>
      <c r="Q18" s="180"/>
      <c r="R18" s="180"/>
      <c r="S18" s="180">
        <v>0.03</v>
      </c>
      <c r="T18" s="180">
        <v>0.1</v>
      </c>
      <c r="U18" s="180">
        <v>0.14000000000000001</v>
      </c>
      <c r="V18" s="180"/>
      <c r="W18" s="180">
        <v>1.43</v>
      </c>
      <c r="X18" s="180"/>
      <c r="Y18" s="180"/>
      <c r="Z18" s="180">
        <v>2</v>
      </c>
      <c r="AA18" s="186">
        <f t="shared" si="1"/>
        <v>8.5651270850731242E-4</v>
      </c>
    </row>
    <row r="19" spans="1:27" x14ac:dyDescent="0.35">
      <c r="A19" s="193" t="s">
        <v>26</v>
      </c>
      <c r="B19" s="156">
        <v>0.17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>
        <v>0.13</v>
      </c>
      <c r="P19" s="156"/>
      <c r="Q19" s="156"/>
      <c r="R19" s="156"/>
      <c r="S19" s="156">
        <v>0.03</v>
      </c>
      <c r="T19" s="156">
        <v>0.1</v>
      </c>
      <c r="U19" s="156">
        <v>0.14000000000000001</v>
      </c>
      <c r="V19" s="156"/>
      <c r="W19" s="156">
        <v>1.43</v>
      </c>
      <c r="X19" s="156"/>
      <c r="Y19" s="156"/>
      <c r="Z19" s="156">
        <v>2</v>
      </c>
      <c r="AA19" s="174">
        <f t="shared" si="1"/>
        <v>8.5651270850731242E-4</v>
      </c>
    </row>
    <row r="20" spans="1:27" x14ac:dyDescent="0.35">
      <c r="A20" s="188" t="s">
        <v>35</v>
      </c>
      <c r="B20" s="180">
        <v>0.19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>
        <v>0.48</v>
      </c>
      <c r="Y20" s="180">
        <v>0.1</v>
      </c>
      <c r="Z20" s="180">
        <v>0.76999999999999991</v>
      </c>
      <c r="AA20" s="186">
        <f t="shared" si="1"/>
        <v>3.2975739277531522E-4</v>
      </c>
    </row>
    <row r="21" spans="1:27" x14ac:dyDescent="0.35">
      <c r="A21" s="193" t="s">
        <v>35</v>
      </c>
      <c r="B21" s="156">
        <v>0.19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>
        <v>0.48</v>
      </c>
      <c r="Y21" s="156">
        <v>0.1</v>
      </c>
      <c r="Z21" s="156">
        <v>0.76999999999999991</v>
      </c>
      <c r="AA21" s="174">
        <f t="shared" si="1"/>
        <v>3.2975739277531522E-4</v>
      </c>
    </row>
    <row r="22" spans="1:27" x14ac:dyDescent="0.35">
      <c r="A22" s="188" t="s">
        <v>36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6">
        <f t="shared" si="1"/>
        <v>0</v>
      </c>
    </row>
    <row r="23" spans="1:27" x14ac:dyDescent="0.35">
      <c r="A23" s="193" t="s">
        <v>37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74">
        <f t="shared" si="1"/>
        <v>0</v>
      </c>
    </row>
    <row r="24" spans="1:27" x14ac:dyDescent="0.35">
      <c r="A24" s="193" t="s">
        <v>38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74">
        <f t="shared" si="1"/>
        <v>0</v>
      </c>
    </row>
    <row r="25" spans="1:27" x14ac:dyDescent="0.35">
      <c r="A25" s="188" t="s">
        <v>39</v>
      </c>
      <c r="B25" s="180">
        <v>75.649999999999991</v>
      </c>
      <c r="C25" s="180">
        <v>111.27000000000001</v>
      </c>
      <c r="D25" s="180">
        <v>12.830000000000002</v>
      </c>
      <c r="E25" s="180">
        <v>9.61</v>
      </c>
      <c r="F25" s="180">
        <v>69.240000000000009</v>
      </c>
      <c r="G25" s="180">
        <v>12.5</v>
      </c>
      <c r="H25" s="180">
        <v>18.25</v>
      </c>
      <c r="I25" s="180">
        <v>11.79</v>
      </c>
      <c r="J25" s="180">
        <v>44.900000000000006</v>
      </c>
      <c r="K25" s="180">
        <v>41.89</v>
      </c>
      <c r="L25" s="180">
        <v>3.36</v>
      </c>
      <c r="M25" s="180">
        <v>30.939999999999998</v>
      </c>
      <c r="N25" s="180">
        <v>49.79</v>
      </c>
      <c r="O25" s="180">
        <v>40.89</v>
      </c>
      <c r="P25" s="180">
        <v>22.73</v>
      </c>
      <c r="Q25" s="180">
        <v>84.740000000000009</v>
      </c>
      <c r="R25" s="180">
        <v>33.08</v>
      </c>
      <c r="S25" s="180">
        <v>53.76</v>
      </c>
      <c r="T25" s="180">
        <v>60.36</v>
      </c>
      <c r="U25" s="180">
        <v>44.440000000000012</v>
      </c>
      <c r="V25" s="180">
        <v>73.14</v>
      </c>
      <c r="W25" s="180">
        <v>45.28</v>
      </c>
      <c r="X25" s="180">
        <v>36.340000000000003</v>
      </c>
      <c r="Y25" s="180">
        <v>0.89000000000000012</v>
      </c>
      <c r="Z25" s="180">
        <v>987.67000000000019</v>
      </c>
      <c r="AA25" s="181">
        <f t="shared" si="1"/>
        <v>0.4229759534057087</v>
      </c>
    </row>
    <row r="26" spans="1:27" x14ac:dyDescent="0.35">
      <c r="A26" s="193" t="s">
        <v>39</v>
      </c>
      <c r="B26" s="156">
        <v>75.649999999999991</v>
      </c>
      <c r="C26" s="156">
        <v>111.27000000000001</v>
      </c>
      <c r="D26" s="156">
        <v>12.830000000000002</v>
      </c>
      <c r="E26" s="156">
        <v>9.61</v>
      </c>
      <c r="F26" s="156">
        <v>69.240000000000009</v>
      </c>
      <c r="G26" s="156">
        <v>12.5</v>
      </c>
      <c r="H26" s="156">
        <v>18.25</v>
      </c>
      <c r="I26" s="156">
        <v>11.79</v>
      </c>
      <c r="J26" s="156">
        <v>44.900000000000006</v>
      </c>
      <c r="K26" s="156">
        <v>41.89</v>
      </c>
      <c r="L26" s="156">
        <v>3.36</v>
      </c>
      <c r="M26" s="156">
        <v>30.939999999999998</v>
      </c>
      <c r="N26" s="156">
        <v>49.79</v>
      </c>
      <c r="O26" s="156">
        <v>40.89</v>
      </c>
      <c r="P26" s="156">
        <v>22.73</v>
      </c>
      <c r="Q26" s="156">
        <v>84.740000000000009</v>
      </c>
      <c r="R26" s="156">
        <v>33.08</v>
      </c>
      <c r="S26" s="156">
        <v>53.76</v>
      </c>
      <c r="T26" s="156">
        <v>60.36</v>
      </c>
      <c r="U26" s="156">
        <v>44.440000000000012</v>
      </c>
      <c r="V26" s="156">
        <v>73.14</v>
      </c>
      <c r="W26" s="156">
        <v>45.28</v>
      </c>
      <c r="X26" s="156">
        <v>36.340000000000003</v>
      </c>
      <c r="Y26" s="156">
        <v>0.89000000000000012</v>
      </c>
      <c r="Z26" s="156">
        <v>987.67000000000019</v>
      </c>
      <c r="AA26" s="174">
        <f t="shared" si="1"/>
        <v>0.4229759534057087</v>
      </c>
    </row>
    <row r="27" spans="1:27" x14ac:dyDescent="0.35">
      <c r="A27" s="194" t="s">
        <v>40</v>
      </c>
      <c r="B27" s="184">
        <f>SUM(B25,B22,B20,B18,B16,B12,B5)</f>
        <v>264.55999999999995</v>
      </c>
      <c r="C27" s="184">
        <f t="shared" ref="C27:Z27" si="3">SUM(C25,C22,C20,C18,C16,C12,C5)</f>
        <v>138.91</v>
      </c>
      <c r="D27" s="184">
        <f t="shared" si="3"/>
        <v>46.379999999999995</v>
      </c>
      <c r="E27" s="184">
        <f t="shared" si="3"/>
        <v>34.700000000000003</v>
      </c>
      <c r="F27" s="184">
        <f t="shared" si="3"/>
        <v>93.210000000000008</v>
      </c>
      <c r="G27" s="184">
        <f t="shared" si="3"/>
        <v>42.25</v>
      </c>
      <c r="H27" s="184">
        <f t="shared" si="3"/>
        <v>86.490000000000009</v>
      </c>
      <c r="I27" s="184">
        <f t="shared" si="3"/>
        <v>69.38</v>
      </c>
      <c r="J27" s="184">
        <f t="shared" si="3"/>
        <v>85.81</v>
      </c>
      <c r="K27" s="184">
        <f t="shared" si="3"/>
        <v>63.41</v>
      </c>
      <c r="L27" s="184">
        <f t="shared" si="3"/>
        <v>30.45</v>
      </c>
      <c r="M27" s="184">
        <f t="shared" si="3"/>
        <v>138.84</v>
      </c>
      <c r="N27" s="184">
        <f t="shared" si="3"/>
        <v>62.67</v>
      </c>
      <c r="O27" s="184">
        <f t="shared" si="3"/>
        <v>52.28</v>
      </c>
      <c r="P27" s="184">
        <f t="shared" si="3"/>
        <v>39.230000000000004</v>
      </c>
      <c r="Q27" s="184">
        <f t="shared" si="3"/>
        <v>104.74000000000001</v>
      </c>
      <c r="R27" s="184">
        <f t="shared" si="3"/>
        <v>93.12</v>
      </c>
      <c r="S27" s="184">
        <f t="shared" si="3"/>
        <v>123.53999999999999</v>
      </c>
      <c r="T27" s="184">
        <f t="shared" si="3"/>
        <v>128.78</v>
      </c>
      <c r="U27" s="184">
        <f t="shared" si="3"/>
        <v>133.88</v>
      </c>
      <c r="V27" s="184">
        <f t="shared" si="3"/>
        <v>196.82</v>
      </c>
      <c r="W27" s="184">
        <f t="shared" si="3"/>
        <v>204.71</v>
      </c>
      <c r="X27" s="184">
        <f t="shared" si="3"/>
        <v>99.02000000000001</v>
      </c>
      <c r="Y27" s="184">
        <f t="shared" si="3"/>
        <v>1.87</v>
      </c>
      <c r="Z27" s="184">
        <f t="shared" si="3"/>
        <v>2335.0500000000002</v>
      </c>
      <c r="AA27" s="187">
        <v>1</v>
      </c>
    </row>
    <row r="30" spans="1:27" ht="15.5" x14ac:dyDescent="0.35">
      <c r="A30" s="108" t="s">
        <v>110</v>
      </c>
      <c r="B30" s="189" t="s">
        <v>74</v>
      </c>
      <c r="C30" s="189">
        <v>2000</v>
      </c>
      <c r="D30" s="189">
        <v>2001</v>
      </c>
      <c r="E30" s="189">
        <v>2002</v>
      </c>
      <c r="F30" s="189">
        <v>2003</v>
      </c>
      <c r="G30" s="189">
        <v>2004</v>
      </c>
      <c r="H30" s="189">
        <v>2005</v>
      </c>
      <c r="I30" s="189">
        <v>2006</v>
      </c>
      <c r="J30" s="189">
        <v>2007</v>
      </c>
      <c r="K30" s="189">
        <v>2008</v>
      </c>
      <c r="L30" s="189">
        <v>2009</v>
      </c>
      <c r="M30" s="189">
        <v>2010</v>
      </c>
      <c r="N30" s="189">
        <v>2011</v>
      </c>
      <c r="O30" s="189">
        <v>2012</v>
      </c>
      <c r="P30" s="189">
        <v>2013</v>
      </c>
      <c r="Q30" s="189">
        <v>2014</v>
      </c>
      <c r="R30" s="189">
        <v>2015</v>
      </c>
      <c r="S30" s="189">
        <v>2016</v>
      </c>
      <c r="T30" s="189">
        <v>2017</v>
      </c>
      <c r="U30" s="189">
        <v>2018</v>
      </c>
      <c r="V30" s="189">
        <v>2019</v>
      </c>
      <c r="W30" s="189">
        <v>2020</v>
      </c>
      <c r="X30" s="189">
        <v>2021</v>
      </c>
      <c r="Y30" s="190" t="s">
        <v>75</v>
      </c>
    </row>
    <row r="31" spans="1:27" x14ac:dyDescent="0.35">
      <c r="A31" s="188" t="s">
        <v>6</v>
      </c>
      <c r="B31" s="174">
        <f>B5/$Z$5</f>
        <v>0.15182252623688156</v>
      </c>
      <c r="C31" s="174">
        <f t="shared" ref="C31:Y31" si="4">C5/$Z$5</f>
        <v>2.2886994002998502E-2</v>
      </c>
      <c r="D31" s="174">
        <f t="shared" si="4"/>
        <v>2.2875281109445273E-2</v>
      </c>
      <c r="E31" s="174">
        <f t="shared" si="4"/>
        <v>2.836862818590705E-2</v>
      </c>
      <c r="F31" s="174">
        <f t="shared" si="4"/>
        <v>1.3399550224887556E-2</v>
      </c>
      <c r="G31" s="174">
        <f t="shared" si="4"/>
        <v>2.3496064467766115E-2</v>
      </c>
      <c r="H31" s="174">
        <f t="shared" si="4"/>
        <v>4.9229291604197901E-2</v>
      </c>
      <c r="I31" s="174">
        <f t="shared" si="4"/>
        <v>5.8002248875562212E-2</v>
      </c>
      <c r="J31" s="174">
        <f t="shared" si="4"/>
        <v>2.5850356071964019E-2</v>
      </c>
      <c r="K31" s="174">
        <f t="shared" si="4"/>
        <v>1.7405359820089953E-2</v>
      </c>
      <c r="L31" s="174">
        <f t="shared" si="4"/>
        <v>1.821354947526237E-2</v>
      </c>
      <c r="M31" s="174">
        <f t="shared" si="4"/>
        <v>3.5454928785607194E-2</v>
      </c>
      <c r="N31" s="174">
        <f t="shared" si="4"/>
        <v>7.1565779610194896E-3</v>
      </c>
      <c r="O31" s="174">
        <f t="shared" si="4"/>
        <v>5.3176536731634185E-3</v>
      </c>
      <c r="P31" s="174">
        <f t="shared" si="4"/>
        <v>6.3015367316341829E-3</v>
      </c>
      <c r="Q31" s="174">
        <f t="shared" si="4"/>
        <v>1.3270708395802099E-2</v>
      </c>
      <c r="R31" s="174">
        <f t="shared" si="4"/>
        <v>9.4523050974512756E-3</v>
      </c>
      <c r="S31" s="174">
        <f t="shared" si="4"/>
        <v>5.9501499250374817E-2</v>
      </c>
      <c r="T31" s="174">
        <f t="shared" si="4"/>
        <v>4.8866191904047979E-2</v>
      </c>
      <c r="U31" s="174">
        <f t="shared" si="4"/>
        <v>7.9214299100449775E-2</v>
      </c>
      <c r="V31" s="174">
        <f t="shared" si="4"/>
        <v>0.10870736506746627</v>
      </c>
      <c r="W31" s="174">
        <f t="shared" si="4"/>
        <v>0.13936000749625191</v>
      </c>
      <c r="X31" s="174">
        <f t="shared" si="4"/>
        <v>5.5577679910044982E-2</v>
      </c>
      <c r="Y31" s="191">
        <f t="shared" si="4"/>
        <v>2.6939655172413793E-4</v>
      </c>
    </row>
    <row r="32" spans="1:27" x14ac:dyDescent="0.35">
      <c r="A32" s="188" t="s">
        <v>16</v>
      </c>
      <c r="B32" s="174">
        <f>B12/$Z$12</f>
        <v>0.12005704390343282</v>
      </c>
      <c r="C32" s="174">
        <f t="shared" ref="C32:Y32" si="5">C12/$Z$12</f>
        <v>1.6501986350208823E-2</v>
      </c>
      <c r="D32" s="174">
        <f t="shared" si="5"/>
        <v>2.8562697361719472E-2</v>
      </c>
      <c r="E32" s="174">
        <f t="shared" si="5"/>
        <v>1.7724355709483554E-3</v>
      </c>
      <c r="F32" s="174">
        <f t="shared" si="5"/>
        <v>2.5527146786187234E-2</v>
      </c>
      <c r="G32" s="174">
        <f t="shared" si="5"/>
        <v>1.9741265152286854E-2</v>
      </c>
      <c r="H32" s="174">
        <f t="shared" si="5"/>
        <v>5.3397168177651028E-2</v>
      </c>
      <c r="I32" s="174">
        <f t="shared" si="5"/>
        <v>1.6440867882245087E-2</v>
      </c>
      <c r="J32" s="174">
        <f t="shared" si="5"/>
        <v>3.8382397881226459E-2</v>
      </c>
      <c r="K32" s="174">
        <f t="shared" si="5"/>
        <v>1.3568299887949479E-2</v>
      </c>
      <c r="L32" s="174">
        <f t="shared" si="5"/>
        <v>2.3510237343383929E-2</v>
      </c>
      <c r="M32" s="174">
        <f t="shared" si="5"/>
        <v>0.1581542222674952</v>
      </c>
      <c r="N32" s="174">
        <f t="shared" si="5"/>
        <v>1.3792400937149845E-2</v>
      </c>
      <c r="O32" s="174">
        <f t="shared" si="5"/>
        <v>1.3690536823876951E-2</v>
      </c>
      <c r="P32" s="174">
        <f t="shared" si="5"/>
        <v>2.265457879189162E-2</v>
      </c>
      <c r="Q32" s="174">
        <f t="shared" si="5"/>
        <v>1.7663237241519816E-2</v>
      </c>
      <c r="R32" s="174">
        <f t="shared" si="5"/>
        <v>0.105877559335846</v>
      </c>
      <c r="S32" s="174">
        <f t="shared" si="5"/>
        <v>3.8606498930426815E-2</v>
      </c>
      <c r="T32" s="174">
        <f t="shared" si="5"/>
        <v>5.419170826117959E-2</v>
      </c>
      <c r="U32" s="174">
        <f t="shared" si="5"/>
        <v>4.4147906692472254E-2</v>
      </c>
      <c r="V32" s="174">
        <f t="shared" si="5"/>
        <v>6.2890903534684725E-2</v>
      </c>
      <c r="W32" s="174">
        <f t="shared" si="5"/>
        <v>7.9494753998166454E-2</v>
      </c>
      <c r="X32" s="174">
        <f t="shared" si="5"/>
        <v>3.0049913415503723E-2</v>
      </c>
      <c r="Y32" s="196">
        <f t="shared" si="5"/>
        <v>1.3242334725476217E-3</v>
      </c>
    </row>
    <row r="33" spans="1:26" x14ac:dyDescent="0.35">
      <c r="A33" s="188" t="s">
        <v>20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91"/>
    </row>
    <row r="34" spans="1:26" x14ac:dyDescent="0.35">
      <c r="A34" s="188" t="s">
        <v>23</v>
      </c>
      <c r="B34" s="174">
        <f>B18/$Z$18</f>
        <v>8.5000000000000006E-2</v>
      </c>
      <c r="C34" s="174">
        <f t="shared" ref="C34:Y34" si="6">C18/$Z$18</f>
        <v>0</v>
      </c>
      <c r="D34" s="174">
        <f t="shared" si="6"/>
        <v>0</v>
      </c>
      <c r="E34" s="174">
        <f t="shared" si="6"/>
        <v>0</v>
      </c>
      <c r="F34" s="174">
        <f t="shared" si="6"/>
        <v>0</v>
      </c>
      <c r="G34" s="174">
        <f t="shared" si="6"/>
        <v>0</v>
      </c>
      <c r="H34" s="174">
        <f t="shared" si="6"/>
        <v>0</v>
      </c>
      <c r="I34" s="174">
        <f t="shared" si="6"/>
        <v>0</v>
      </c>
      <c r="J34" s="174">
        <f t="shared" si="6"/>
        <v>0</v>
      </c>
      <c r="K34" s="174">
        <f t="shared" si="6"/>
        <v>0</v>
      </c>
      <c r="L34" s="174">
        <f t="shared" si="6"/>
        <v>0</v>
      </c>
      <c r="M34" s="174">
        <f t="shared" si="6"/>
        <v>0</v>
      </c>
      <c r="N34" s="174">
        <f t="shared" si="6"/>
        <v>0</v>
      </c>
      <c r="O34" s="174">
        <f t="shared" si="6"/>
        <v>6.5000000000000002E-2</v>
      </c>
      <c r="P34" s="174">
        <f t="shared" si="6"/>
        <v>0</v>
      </c>
      <c r="Q34" s="174">
        <f t="shared" si="6"/>
        <v>0</v>
      </c>
      <c r="R34" s="174">
        <f t="shared" si="6"/>
        <v>0</v>
      </c>
      <c r="S34" s="174">
        <f t="shared" si="6"/>
        <v>1.4999999999999999E-2</v>
      </c>
      <c r="T34" s="174">
        <f t="shared" si="6"/>
        <v>0.05</v>
      </c>
      <c r="U34" s="174">
        <f t="shared" si="6"/>
        <v>7.0000000000000007E-2</v>
      </c>
      <c r="V34" s="174">
        <f t="shared" si="6"/>
        <v>0</v>
      </c>
      <c r="W34" s="174">
        <f t="shared" si="6"/>
        <v>0.71499999999999997</v>
      </c>
      <c r="X34" s="174">
        <f t="shared" si="6"/>
        <v>0</v>
      </c>
      <c r="Y34" s="191">
        <f t="shared" si="6"/>
        <v>0</v>
      </c>
    </row>
    <row r="35" spans="1:26" x14ac:dyDescent="0.35">
      <c r="A35" s="188" t="s">
        <v>35</v>
      </c>
      <c r="B35" s="174">
        <f>B20/$Z$20</f>
        <v>0.24675324675324678</v>
      </c>
      <c r="C35" s="174">
        <f t="shared" ref="C35:Y35" si="7">C20/$Z$20</f>
        <v>0</v>
      </c>
      <c r="D35" s="174">
        <f t="shared" si="7"/>
        <v>0</v>
      </c>
      <c r="E35" s="174">
        <f t="shared" si="7"/>
        <v>0</v>
      </c>
      <c r="F35" s="174">
        <f t="shared" si="7"/>
        <v>0</v>
      </c>
      <c r="G35" s="174">
        <f t="shared" si="7"/>
        <v>0</v>
      </c>
      <c r="H35" s="174">
        <f t="shared" si="7"/>
        <v>0</v>
      </c>
      <c r="I35" s="174">
        <f t="shared" si="7"/>
        <v>0</v>
      </c>
      <c r="J35" s="174">
        <f t="shared" si="7"/>
        <v>0</v>
      </c>
      <c r="K35" s="174">
        <f t="shared" si="7"/>
        <v>0</v>
      </c>
      <c r="L35" s="174">
        <f t="shared" si="7"/>
        <v>0</v>
      </c>
      <c r="M35" s="174">
        <f t="shared" si="7"/>
        <v>0</v>
      </c>
      <c r="N35" s="174">
        <f t="shared" si="7"/>
        <v>0</v>
      </c>
      <c r="O35" s="174">
        <f t="shared" si="7"/>
        <v>0</v>
      </c>
      <c r="P35" s="174">
        <f t="shared" si="7"/>
        <v>0</v>
      </c>
      <c r="Q35" s="174">
        <f t="shared" si="7"/>
        <v>0</v>
      </c>
      <c r="R35" s="174">
        <f t="shared" si="7"/>
        <v>0</v>
      </c>
      <c r="S35" s="174">
        <f t="shared" si="7"/>
        <v>0</v>
      </c>
      <c r="T35" s="174">
        <f t="shared" si="7"/>
        <v>0</v>
      </c>
      <c r="U35" s="174">
        <f t="shared" si="7"/>
        <v>0</v>
      </c>
      <c r="V35" s="174">
        <f t="shared" si="7"/>
        <v>0</v>
      </c>
      <c r="W35" s="174">
        <f t="shared" si="7"/>
        <v>0</v>
      </c>
      <c r="X35" s="174">
        <f t="shared" si="7"/>
        <v>0.62337662337662347</v>
      </c>
      <c r="Y35" s="191">
        <f t="shared" si="7"/>
        <v>0.12987012987012989</v>
      </c>
    </row>
    <row r="36" spans="1:26" x14ac:dyDescent="0.35">
      <c r="A36" s="188" t="s">
        <v>36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91"/>
    </row>
    <row r="37" spans="1:26" x14ac:dyDescent="0.35">
      <c r="A37" s="188" t="s">
        <v>39</v>
      </c>
      <c r="B37" s="174">
        <f>B25/$Z$25</f>
        <v>7.6594409063756086E-2</v>
      </c>
      <c r="C37" s="174">
        <f t="shared" ref="C37:Y37" si="8">C25/$Z$25</f>
        <v>0.11265908653700121</v>
      </c>
      <c r="D37" s="174">
        <f t="shared" si="8"/>
        <v>1.29901687810706E-2</v>
      </c>
      <c r="E37" s="174">
        <f t="shared" si="8"/>
        <v>9.7299705367177268E-3</v>
      </c>
      <c r="F37" s="174">
        <f t="shared" si="8"/>
        <v>7.0104387092854895E-2</v>
      </c>
      <c r="G37" s="174">
        <f t="shared" si="8"/>
        <v>1.265604908522077E-2</v>
      </c>
      <c r="H37" s="174">
        <f t="shared" si="8"/>
        <v>1.8477831664422323E-2</v>
      </c>
      <c r="I37" s="174">
        <f t="shared" si="8"/>
        <v>1.1937185497180229E-2</v>
      </c>
      <c r="J37" s="174">
        <f t="shared" si="8"/>
        <v>4.5460528314113013E-2</v>
      </c>
      <c r="K37" s="174">
        <f t="shared" si="8"/>
        <v>4.2412951694391847E-2</v>
      </c>
      <c r="L37" s="174">
        <f t="shared" si="8"/>
        <v>3.4019459941073429E-3</v>
      </c>
      <c r="M37" s="174">
        <f t="shared" si="8"/>
        <v>3.1326252695738445E-2</v>
      </c>
      <c r="N37" s="174">
        <f t="shared" si="8"/>
        <v>5.0411574716251371E-2</v>
      </c>
      <c r="O37" s="174">
        <f t="shared" si="8"/>
        <v>4.1400467767574181E-2</v>
      </c>
      <c r="P37" s="174">
        <f t="shared" si="8"/>
        <v>2.301375965656545E-2</v>
      </c>
      <c r="Q37" s="174">
        <f t="shared" si="8"/>
        <v>8.5797887958528649E-2</v>
      </c>
      <c r="R37" s="174">
        <f t="shared" si="8"/>
        <v>3.3492968299128241E-2</v>
      </c>
      <c r="S37" s="174">
        <f t="shared" si="8"/>
        <v>5.4431135905717486E-2</v>
      </c>
      <c r="T37" s="174">
        <f t="shared" si="8"/>
        <v>6.1113529822714049E-2</v>
      </c>
      <c r="U37" s="174">
        <f t="shared" si="8"/>
        <v>4.4994785707776895E-2</v>
      </c>
      <c r="V37" s="174">
        <f t="shared" si="8"/>
        <v>7.405307440744377E-2</v>
      </c>
      <c r="W37" s="174">
        <f t="shared" si="8"/>
        <v>4.5845272206303717E-2</v>
      </c>
      <c r="X37" s="174">
        <f t="shared" si="8"/>
        <v>3.6793665900553822E-2</v>
      </c>
      <c r="Y37" s="196">
        <f t="shared" si="8"/>
        <v>9.0111069486771892E-4</v>
      </c>
    </row>
    <row r="38" spans="1:26" x14ac:dyDescent="0.35">
      <c r="A38" s="188" t="s">
        <v>40</v>
      </c>
      <c r="B38" s="174">
        <f>B27/$Z$27</f>
        <v>0.11329950108134726</v>
      </c>
      <c r="C38" s="174">
        <f t="shared" ref="C38:Y38" si="9">C27/$Z$27</f>
        <v>5.9489090169375383E-2</v>
      </c>
      <c r="D38" s="174">
        <f t="shared" si="9"/>
        <v>1.9862529710284575E-2</v>
      </c>
      <c r="E38" s="174">
        <f t="shared" si="9"/>
        <v>1.4860495492601872E-2</v>
      </c>
      <c r="F38" s="174">
        <f t="shared" si="9"/>
        <v>3.9917774779983296E-2</v>
      </c>
      <c r="G38" s="174">
        <f t="shared" si="9"/>
        <v>1.8093830967216975E-2</v>
      </c>
      <c r="H38" s="174">
        <f t="shared" si="9"/>
        <v>3.7039892079398729E-2</v>
      </c>
      <c r="I38" s="174">
        <f t="shared" si="9"/>
        <v>2.9712425858118667E-2</v>
      </c>
      <c r="J38" s="174">
        <f t="shared" si="9"/>
        <v>3.6748677758506237E-2</v>
      </c>
      <c r="K38" s="174">
        <f t="shared" si="9"/>
        <v>2.7155735423224338E-2</v>
      </c>
      <c r="L38" s="174">
        <f t="shared" si="9"/>
        <v>1.304040598702383E-2</v>
      </c>
      <c r="M38" s="174">
        <f t="shared" si="9"/>
        <v>5.9459112224577629E-2</v>
      </c>
      <c r="N38" s="174">
        <f t="shared" si="9"/>
        <v>2.6838825721076636E-2</v>
      </c>
      <c r="O38" s="174">
        <f t="shared" si="9"/>
        <v>2.2389242200381146E-2</v>
      </c>
      <c r="P38" s="174">
        <f t="shared" si="9"/>
        <v>1.6800496777370933E-2</v>
      </c>
      <c r="Q38" s="174">
        <f t="shared" si="9"/>
        <v>4.4855570544527955E-2</v>
      </c>
      <c r="R38" s="174">
        <f t="shared" si="9"/>
        <v>3.9879231708100468E-2</v>
      </c>
      <c r="S38" s="174">
        <f t="shared" si="9"/>
        <v>5.2906790004496683E-2</v>
      </c>
      <c r="T38" s="174">
        <f t="shared" si="9"/>
        <v>5.5150853300785847E-2</v>
      </c>
      <c r="U38" s="174">
        <f t="shared" si="9"/>
        <v>5.7334960707479489E-2</v>
      </c>
      <c r="V38" s="174">
        <f t="shared" si="9"/>
        <v>8.4289415644204613E-2</v>
      </c>
      <c r="W38" s="174">
        <f t="shared" si="9"/>
        <v>8.7668358279265959E-2</v>
      </c>
      <c r="X38" s="174">
        <f t="shared" si="9"/>
        <v>4.2405944198197043E-2</v>
      </c>
      <c r="Y38" s="196">
        <f t="shared" si="9"/>
        <v>8.008393824543371E-4</v>
      </c>
      <c r="Z38" s="112">
        <f>SUM(R38:X38)</f>
        <v>0.41963555384253004</v>
      </c>
    </row>
    <row r="39" spans="1:26" x14ac:dyDescent="0.35">
      <c r="X39" s="112">
        <f>SUM(T38:X38)</f>
        <v>0.32684953212993295</v>
      </c>
    </row>
    <row r="45" spans="1:26" x14ac:dyDescent="0.35">
      <c r="G45" s="6"/>
    </row>
    <row r="46" spans="1:26" x14ac:dyDescent="0.35">
      <c r="H46" s="6"/>
    </row>
    <row r="47" spans="1:26" x14ac:dyDescent="0.35">
      <c r="G47" s="6"/>
    </row>
    <row r="48" spans="1:26" x14ac:dyDescent="0.35">
      <c r="H48" s="6"/>
      <c r="O48" s="6"/>
      <c r="P48" s="6"/>
    </row>
    <row r="49" spans="15:16" x14ac:dyDescent="0.35">
      <c r="O49" s="4"/>
      <c r="P49" s="4"/>
    </row>
  </sheetData>
  <hyperlinks>
    <hyperlink ref="B1" location="ÍNDICE!A1" display="ÍNDICE!A1" xr:uid="{42FF9B3C-8323-4E89-98AD-88ED5E8A064D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pageSetUpPr autoPageBreaks="0"/>
  </sheetPr>
  <dimension ref="A1:G16"/>
  <sheetViews>
    <sheetView topLeftCell="A6" zoomScaleNormal="100" workbookViewId="0">
      <selection activeCell="B2" sqref="B2"/>
    </sheetView>
  </sheetViews>
  <sheetFormatPr baseColWidth="10" defaultRowHeight="14.5" x14ac:dyDescent="0.35"/>
  <cols>
    <col min="1" max="1" width="16.1796875" customWidth="1"/>
    <col min="2" max="2" width="14.1796875" customWidth="1"/>
    <col min="3" max="3" width="17.26953125" customWidth="1"/>
    <col min="4" max="4" width="12.54296875" customWidth="1"/>
  </cols>
  <sheetData>
    <row r="1" spans="1:7" ht="21" x14ac:dyDescent="0.5">
      <c r="A1" s="337" t="s">
        <v>80</v>
      </c>
      <c r="B1" s="338" t="s">
        <v>79</v>
      </c>
      <c r="F1" s="337"/>
      <c r="G1" s="338"/>
    </row>
    <row r="2" spans="1:7" x14ac:dyDescent="0.35">
      <c r="B2" s="48"/>
    </row>
    <row r="4" spans="1:7" ht="21.75" customHeight="1" x14ac:dyDescent="0.35">
      <c r="A4" s="331" t="s">
        <v>81</v>
      </c>
      <c r="B4" s="331"/>
    </row>
    <row r="5" spans="1:7" x14ac:dyDescent="0.35">
      <c r="A5" s="79" t="s">
        <v>82</v>
      </c>
      <c r="B5" s="79" t="s">
        <v>83</v>
      </c>
      <c r="C5" s="79" t="s">
        <v>84</v>
      </c>
      <c r="D5" s="79" t="s">
        <v>85</v>
      </c>
    </row>
    <row r="6" spans="1:7" x14ac:dyDescent="0.35">
      <c r="A6" s="56" t="s">
        <v>64</v>
      </c>
      <c r="B6" s="332" t="s">
        <v>86</v>
      </c>
      <c r="C6" s="56" t="s">
        <v>87</v>
      </c>
      <c r="D6" s="51">
        <v>9483.93</v>
      </c>
      <c r="E6" s="52">
        <f>D6/$D$14</f>
        <v>8.7745189198491197E-2</v>
      </c>
    </row>
    <row r="7" spans="1:7" x14ac:dyDescent="0.35">
      <c r="A7" s="56" t="s">
        <v>64</v>
      </c>
      <c r="B7" s="333"/>
      <c r="C7" s="56" t="s">
        <v>142</v>
      </c>
      <c r="D7" s="51">
        <v>21061.119999999999</v>
      </c>
      <c r="E7" s="52">
        <f t="shared" ref="E7:E12" si="0">D7/$D$14</f>
        <v>0.19485719096747095</v>
      </c>
    </row>
    <row r="8" spans="1:7" x14ac:dyDescent="0.35">
      <c r="A8" s="56" t="s">
        <v>64</v>
      </c>
      <c r="B8" s="332" t="s">
        <v>89</v>
      </c>
      <c r="C8" s="56" t="s">
        <v>87</v>
      </c>
      <c r="D8" s="51">
        <v>4121.6099999999997</v>
      </c>
      <c r="E8" s="52">
        <f t="shared" si="0"/>
        <v>3.8133078718673934E-2</v>
      </c>
    </row>
    <row r="9" spans="1:7" x14ac:dyDescent="0.35">
      <c r="A9" s="56" t="s">
        <v>64</v>
      </c>
      <c r="B9" s="334"/>
      <c r="C9" s="56" t="s">
        <v>142</v>
      </c>
      <c r="D9" s="51">
        <v>41575.83</v>
      </c>
      <c r="E9" s="52">
        <f t="shared" si="0"/>
        <v>0.38465900417172061</v>
      </c>
    </row>
    <row r="10" spans="1:7" x14ac:dyDescent="0.35">
      <c r="A10" s="56" t="s">
        <v>64</v>
      </c>
      <c r="B10" s="333"/>
      <c r="C10" s="56" t="s">
        <v>90</v>
      </c>
      <c r="D10" s="51">
        <v>30667.94</v>
      </c>
      <c r="E10" s="52">
        <f t="shared" si="0"/>
        <v>0.28373935674640954</v>
      </c>
      <c r="F10" s="283"/>
    </row>
    <row r="11" spans="1:7" x14ac:dyDescent="0.35">
      <c r="A11" s="56" t="s">
        <v>64</v>
      </c>
      <c r="B11" s="57" t="s">
        <v>91</v>
      </c>
      <c r="C11" s="56" t="s">
        <v>87</v>
      </c>
      <c r="D11" s="51">
        <v>1154.33</v>
      </c>
      <c r="E11" s="52">
        <f t="shared" si="0"/>
        <v>1.0679845195767401E-2</v>
      </c>
    </row>
    <row r="12" spans="1:7" x14ac:dyDescent="0.35">
      <c r="A12" s="56" t="s">
        <v>64</v>
      </c>
      <c r="B12" s="335" t="s">
        <v>92</v>
      </c>
      <c r="C12" s="336"/>
      <c r="D12" s="51">
        <v>2.5</v>
      </c>
      <c r="E12" s="329">
        <f t="shared" si="0"/>
        <v>2.3129965425327682E-5</v>
      </c>
    </row>
    <row r="13" spans="1:7" x14ac:dyDescent="0.35">
      <c r="A13" s="56" t="s">
        <v>64</v>
      </c>
      <c r="B13" s="335" t="s">
        <v>93</v>
      </c>
      <c r="C13" s="336"/>
      <c r="D13" s="51">
        <v>17.64</v>
      </c>
      <c r="E13" s="330"/>
    </row>
    <row r="14" spans="1:7" x14ac:dyDescent="0.35">
      <c r="A14" s="56" t="s">
        <v>64</v>
      </c>
      <c r="B14" s="328" t="s">
        <v>94</v>
      </c>
      <c r="C14" s="328"/>
      <c r="D14" s="51">
        <v>108084.9</v>
      </c>
    </row>
    <row r="15" spans="1:7" x14ac:dyDescent="0.35">
      <c r="D15" s="6"/>
      <c r="E15" s="283"/>
    </row>
    <row r="16" spans="1:7" x14ac:dyDescent="0.35">
      <c r="D16" s="6"/>
    </row>
  </sheetData>
  <mergeCells count="7">
    <mergeCell ref="B14:C14"/>
    <mergeCell ref="E12:E13"/>
    <mergeCell ref="A4:B4"/>
    <mergeCell ref="B6:B7"/>
    <mergeCell ref="B8:B10"/>
    <mergeCell ref="B12:C12"/>
    <mergeCell ref="B13:C13"/>
  </mergeCells>
  <hyperlinks>
    <hyperlink ref="B1" location="ÍNDICE!A1" display="ÍNDICE!A1" xr:uid="{9D2F47DF-2DDD-43E9-888B-FE232738B5AF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pageSetUpPr autoPageBreaks="0"/>
  </sheetPr>
  <dimension ref="A1:G49"/>
  <sheetViews>
    <sheetView topLeftCell="A30" zoomScaleNormal="100" workbookViewId="0">
      <selection activeCell="B2" sqref="B2"/>
    </sheetView>
  </sheetViews>
  <sheetFormatPr baseColWidth="10" defaultRowHeight="14.5" x14ac:dyDescent="0.35"/>
  <cols>
    <col min="1" max="1" width="20.54296875" customWidth="1"/>
    <col min="2" max="2" width="19.453125" customWidth="1"/>
    <col min="3" max="3" width="14.453125" customWidth="1"/>
    <col min="5" max="5" width="12" bestFit="1" customWidth="1"/>
  </cols>
  <sheetData>
    <row r="1" spans="1:7" ht="21" x14ac:dyDescent="0.5">
      <c r="A1" s="337" t="s">
        <v>80</v>
      </c>
      <c r="B1" s="338" t="s">
        <v>79</v>
      </c>
      <c r="F1" s="337"/>
      <c r="G1" s="338"/>
    </row>
    <row r="2" spans="1:7" x14ac:dyDescent="0.35">
      <c r="B2" s="48"/>
    </row>
    <row r="5" spans="1:7" ht="20" x14ac:dyDescent="0.35">
      <c r="A5" s="331" t="s">
        <v>95</v>
      </c>
      <c r="B5" s="331"/>
      <c r="C5" s="331"/>
      <c r="E5" s="48"/>
    </row>
    <row r="6" spans="1:7" x14ac:dyDescent="0.35">
      <c r="A6" s="79" t="s">
        <v>82</v>
      </c>
      <c r="B6" s="79" t="s">
        <v>83</v>
      </c>
      <c r="C6" s="79" t="s">
        <v>84</v>
      </c>
      <c r="D6" s="79" t="s">
        <v>85</v>
      </c>
    </row>
    <row r="7" spans="1:7" x14ac:dyDescent="0.35">
      <c r="A7" s="56" t="s">
        <v>96</v>
      </c>
      <c r="B7" s="332" t="s">
        <v>97</v>
      </c>
      <c r="C7" s="56" t="s">
        <v>98</v>
      </c>
      <c r="D7" s="51">
        <v>2944.3</v>
      </c>
      <c r="E7" s="59">
        <f t="shared" ref="E7:E19" si="0">D7/$D$20</f>
        <v>3.7482540059202124E-2</v>
      </c>
    </row>
    <row r="8" spans="1:7" x14ac:dyDescent="0.35">
      <c r="A8" s="56" t="s">
        <v>96</v>
      </c>
      <c r="B8" s="334"/>
      <c r="C8" s="60" t="s">
        <v>90</v>
      </c>
      <c r="D8" s="51">
        <v>9456.7099999999991</v>
      </c>
      <c r="E8" s="59">
        <f t="shared" si="0"/>
        <v>0.12038906069464975</v>
      </c>
    </row>
    <row r="9" spans="1:7" x14ac:dyDescent="0.35">
      <c r="A9" s="56" t="s">
        <v>96</v>
      </c>
      <c r="B9" s="334"/>
      <c r="C9" s="56" t="s">
        <v>87</v>
      </c>
      <c r="D9" s="51">
        <v>27158.38</v>
      </c>
      <c r="E9" s="59">
        <f t="shared" si="0"/>
        <v>0.34574094565534547</v>
      </c>
    </row>
    <row r="10" spans="1:7" x14ac:dyDescent="0.35">
      <c r="A10" s="56" t="s">
        <v>96</v>
      </c>
      <c r="B10" s="333"/>
      <c r="C10" s="56" t="s">
        <v>142</v>
      </c>
      <c r="D10" s="51">
        <v>2286.5700000000002</v>
      </c>
      <c r="E10" s="59">
        <f t="shared" si="0"/>
        <v>2.910927949705186E-2</v>
      </c>
      <c r="F10" s="112"/>
    </row>
    <row r="11" spans="1:7" x14ac:dyDescent="0.35">
      <c r="A11" s="56" t="s">
        <v>96</v>
      </c>
      <c r="B11" s="57" t="s">
        <v>99</v>
      </c>
      <c r="C11" s="56" t="s">
        <v>87</v>
      </c>
      <c r="D11" s="51">
        <v>9859.4500000000007</v>
      </c>
      <c r="E11" s="59">
        <f t="shared" si="0"/>
        <v>0.12551615989766679</v>
      </c>
    </row>
    <row r="12" spans="1:7" x14ac:dyDescent="0.35">
      <c r="A12" s="56" t="s">
        <v>96</v>
      </c>
      <c r="B12" s="334" t="s">
        <v>100</v>
      </c>
      <c r="C12" s="56" t="s">
        <v>90</v>
      </c>
      <c r="D12" s="51">
        <v>5.13</v>
      </c>
      <c r="E12" s="58">
        <f t="shared" si="0"/>
        <v>6.5307689604899934E-5</v>
      </c>
    </row>
    <row r="13" spans="1:7" x14ac:dyDescent="0.35">
      <c r="A13" s="56" t="s">
        <v>96</v>
      </c>
      <c r="B13" s="334"/>
      <c r="C13" s="56" t="s">
        <v>87</v>
      </c>
      <c r="D13" s="51">
        <v>18681.96</v>
      </c>
      <c r="E13" s="59">
        <f t="shared" si="0"/>
        <v>0.23783150972537159</v>
      </c>
    </row>
    <row r="14" spans="1:7" x14ac:dyDescent="0.35">
      <c r="A14" s="56" t="s">
        <v>96</v>
      </c>
      <c r="B14" s="333"/>
      <c r="C14" s="56" t="s">
        <v>142</v>
      </c>
      <c r="D14" s="51">
        <v>3097.47</v>
      </c>
      <c r="E14" s="59">
        <f t="shared" si="0"/>
        <v>3.943247745038779E-2</v>
      </c>
    </row>
    <row r="15" spans="1:7" x14ac:dyDescent="0.35">
      <c r="A15" s="56" t="s">
        <v>96</v>
      </c>
      <c r="B15" s="332" t="s">
        <v>101</v>
      </c>
      <c r="C15" s="56" t="s">
        <v>98</v>
      </c>
      <c r="D15" s="51">
        <v>468.68</v>
      </c>
      <c r="E15" s="59">
        <f t="shared" si="0"/>
        <v>5.9665512600437622E-3</v>
      </c>
    </row>
    <row r="16" spans="1:7" x14ac:dyDescent="0.35">
      <c r="A16" s="56" t="s">
        <v>96</v>
      </c>
      <c r="B16" s="334"/>
      <c r="C16" s="56" t="s">
        <v>90</v>
      </c>
      <c r="D16" s="51">
        <v>1570.98</v>
      </c>
      <c r="E16" s="59">
        <f t="shared" si="0"/>
        <v>1.9999429671638536E-2</v>
      </c>
    </row>
    <row r="17" spans="1:6" x14ac:dyDescent="0.35">
      <c r="A17" s="56" t="s">
        <v>96</v>
      </c>
      <c r="B17" s="333"/>
      <c r="C17" s="56" t="s">
        <v>87</v>
      </c>
      <c r="D17" s="51">
        <v>2099.21</v>
      </c>
      <c r="E17" s="59">
        <f t="shared" si="0"/>
        <v>2.6724084813938009E-2</v>
      </c>
    </row>
    <row r="18" spans="1:6" x14ac:dyDescent="0.35">
      <c r="A18" s="56" t="s">
        <v>96</v>
      </c>
      <c r="B18" s="328" t="s">
        <v>92</v>
      </c>
      <c r="C18" s="328"/>
      <c r="D18" s="51">
        <v>7.49</v>
      </c>
      <c r="E18" s="59">
        <f t="shared" si="0"/>
        <v>9.5351772931910427E-5</v>
      </c>
    </row>
    <row r="19" spans="1:6" x14ac:dyDescent="0.35">
      <c r="A19" s="56" t="s">
        <v>96</v>
      </c>
      <c r="B19" s="335" t="s">
        <v>93</v>
      </c>
      <c r="C19" s="336"/>
      <c r="D19" s="51">
        <v>510.34</v>
      </c>
      <c r="E19" s="59">
        <f t="shared" si="0"/>
        <v>6.4969057140281932E-3</v>
      </c>
    </row>
    <row r="20" spans="1:6" x14ac:dyDescent="0.35">
      <c r="A20" s="56" t="s">
        <v>96</v>
      </c>
      <c r="B20" s="328" t="s">
        <v>94</v>
      </c>
      <c r="C20" s="328"/>
      <c r="D20" s="51">
        <v>78551.240000000005</v>
      </c>
    </row>
    <row r="22" spans="1:6" x14ac:dyDescent="0.35">
      <c r="F22" s="6"/>
    </row>
    <row r="23" spans="1:6" x14ac:dyDescent="0.35">
      <c r="B23" s="56" t="s">
        <v>97</v>
      </c>
      <c r="C23" s="61">
        <f>SUM(D7:D10)</f>
        <v>41845.96</v>
      </c>
      <c r="E23" s="81">
        <v>0.53131005210418736</v>
      </c>
    </row>
    <row r="24" spans="1:6" x14ac:dyDescent="0.35">
      <c r="B24" s="56" t="s">
        <v>99</v>
      </c>
      <c r="C24" s="61">
        <f>D11</f>
        <v>9859.4500000000007</v>
      </c>
      <c r="E24" s="81">
        <v>0.12562951171299341</v>
      </c>
    </row>
    <row r="25" spans="1:6" x14ac:dyDescent="0.35">
      <c r="B25" s="56" t="s">
        <v>100</v>
      </c>
      <c r="C25" s="61">
        <f>SUM(D12:D14)</f>
        <v>21784.560000000001</v>
      </c>
      <c r="E25" s="81">
        <v>0.25329881978022117</v>
      </c>
    </row>
    <row r="26" spans="1:6" x14ac:dyDescent="0.35">
      <c r="B26" s="56" t="s">
        <v>101</v>
      </c>
      <c r="C26" s="61">
        <f>SUM(D15:D17)</f>
        <v>4138.87</v>
      </c>
      <c r="D26" s="6">
        <f>SUM(C23:C26)</f>
        <v>77628.84</v>
      </c>
      <c r="E26" s="81">
        <v>5.2621572219519568E-2</v>
      </c>
    </row>
    <row r="27" spans="1:6" x14ac:dyDescent="0.35">
      <c r="C27" s="120" t="s">
        <v>119</v>
      </c>
    </row>
    <row r="28" spans="1:6" x14ac:dyDescent="0.35">
      <c r="A28" s="118" t="s">
        <v>45</v>
      </c>
      <c r="B28" s="80">
        <f>SUM(D7:D10)</f>
        <v>41845.96</v>
      </c>
      <c r="C28" s="81">
        <f>B28/D20</f>
        <v>0.53272182590624917</v>
      </c>
    </row>
    <row r="29" spans="1:6" x14ac:dyDescent="0.35">
      <c r="A29" s="56" t="s">
        <v>98</v>
      </c>
      <c r="B29" s="82">
        <f>D7</f>
        <v>2944.3</v>
      </c>
      <c r="C29" s="3"/>
    </row>
    <row r="30" spans="1:6" x14ac:dyDescent="0.35">
      <c r="A30" s="60" t="s">
        <v>90</v>
      </c>
      <c r="B30" s="82">
        <f>D8</f>
        <v>9456.7099999999991</v>
      </c>
      <c r="C30" s="3"/>
      <c r="E30" s="6"/>
    </row>
    <row r="31" spans="1:6" x14ac:dyDescent="0.35">
      <c r="A31" s="56" t="s">
        <v>87</v>
      </c>
      <c r="B31" s="82">
        <f>D9</f>
        <v>27158.38</v>
      </c>
      <c r="C31" s="83"/>
      <c r="E31" s="4"/>
    </row>
    <row r="32" spans="1:6" x14ac:dyDescent="0.35">
      <c r="A32" s="56" t="s">
        <v>88</v>
      </c>
      <c r="B32" s="82">
        <f>D10</f>
        <v>2286.5700000000002</v>
      </c>
      <c r="C32" s="3"/>
      <c r="E32" s="6"/>
    </row>
    <row r="33" spans="1:5" x14ac:dyDescent="0.35">
      <c r="A33" s="118" t="s">
        <v>108</v>
      </c>
      <c r="B33" s="80">
        <f>D11</f>
        <v>9859.4500000000007</v>
      </c>
      <c r="C33" s="81">
        <f>B33/D20</f>
        <v>0.12551615989766679</v>
      </c>
      <c r="E33" s="4"/>
    </row>
    <row r="34" spans="1:5" x14ac:dyDescent="0.35">
      <c r="A34" s="56" t="s">
        <v>87</v>
      </c>
      <c r="B34" s="80">
        <f>D11</f>
        <v>9859.4500000000007</v>
      </c>
      <c r="C34" s="3"/>
      <c r="E34" s="6"/>
    </row>
    <row r="35" spans="1:5" x14ac:dyDescent="0.35">
      <c r="A35" s="118" t="s">
        <v>67</v>
      </c>
      <c r="B35" s="80">
        <f>SUM(D12:D14)</f>
        <v>21784.560000000001</v>
      </c>
      <c r="C35" s="81">
        <f>B35/D20</f>
        <v>0.27732929486536434</v>
      </c>
      <c r="E35" s="4"/>
    </row>
    <row r="36" spans="1:5" x14ac:dyDescent="0.35">
      <c r="A36" s="56" t="s">
        <v>90</v>
      </c>
      <c r="B36" s="80">
        <f>D12</f>
        <v>5.13</v>
      </c>
      <c r="C36" s="81"/>
    </row>
    <row r="37" spans="1:5" x14ac:dyDescent="0.35">
      <c r="A37" s="56" t="s">
        <v>87</v>
      </c>
      <c r="B37" s="80">
        <f>D13</f>
        <v>18681.96</v>
      </c>
      <c r="C37" s="81"/>
    </row>
    <row r="38" spans="1:5" x14ac:dyDescent="0.35">
      <c r="A38" s="56" t="s">
        <v>88</v>
      </c>
      <c r="B38" s="80">
        <f>D14</f>
        <v>3097.47</v>
      </c>
      <c r="C38" s="81"/>
    </row>
    <row r="39" spans="1:5" x14ac:dyDescent="0.35">
      <c r="A39" s="118" t="s">
        <v>47</v>
      </c>
      <c r="B39" s="80">
        <f>SUM(D15:D17)</f>
        <v>4138.87</v>
      </c>
      <c r="C39" s="81">
        <f>B39/D20</f>
        <v>5.2690065745620303E-2</v>
      </c>
    </row>
    <row r="40" spans="1:5" x14ac:dyDescent="0.35">
      <c r="A40" s="56" t="s">
        <v>98</v>
      </c>
      <c r="B40" s="80">
        <f>D15</f>
        <v>468.68</v>
      </c>
      <c r="C40" s="81"/>
    </row>
    <row r="41" spans="1:5" x14ac:dyDescent="0.35">
      <c r="A41" s="56" t="s">
        <v>90</v>
      </c>
      <c r="B41" s="80">
        <f>D16</f>
        <v>1570.98</v>
      </c>
      <c r="C41" s="81"/>
    </row>
    <row r="42" spans="1:5" x14ac:dyDescent="0.35">
      <c r="A42" s="56" t="s">
        <v>87</v>
      </c>
      <c r="B42" s="80">
        <f>D17</f>
        <v>2099.21</v>
      </c>
      <c r="C42" s="81"/>
    </row>
    <row r="43" spans="1:5" x14ac:dyDescent="0.35">
      <c r="A43" s="119" t="s">
        <v>109</v>
      </c>
      <c r="B43" s="3"/>
      <c r="C43" s="3"/>
    </row>
    <row r="44" spans="1:5" x14ac:dyDescent="0.35">
      <c r="A44" s="56" t="s">
        <v>98</v>
      </c>
      <c r="B44" s="83">
        <f>B29+B40</f>
        <v>3412.98</v>
      </c>
      <c r="C44" s="81">
        <f>B44/B$48</f>
        <v>4.3965361327053198E-2</v>
      </c>
    </row>
    <row r="45" spans="1:5" x14ac:dyDescent="0.35">
      <c r="A45" s="56" t="s">
        <v>90</v>
      </c>
      <c r="B45" s="83">
        <f>B30+B36+B41</f>
        <v>11032.819999999998</v>
      </c>
      <c r="C45" s="81">
        <f t="shared" ref="C45:C48" si="1">B45/B$48</f>
        <v>0.14212269563734301</v>
      </c>
    </row>
    <row r="46" spans="1:5" x14ac:dyDescent="0.35">
      <c r="A46" s="56" t="s">
        <v>87</v>
      </c>
      <c r="B46" s="83">
        <f>B31+B34+B37+B42</f>
        <v>57799</v>
      </c>
      <c r="C46" s="81">
        <f t="shared" si="1"/>
        <v>0.74455576046222005</v>
      </c>
      <c r="D46" s="4"/>
    </row>
    <row r="47" spans="1:5" x14ac:dyDescent="0.35">
      <c r="A47" s="56" t="s">
        <v>88</v>
      </c>
      <c r="B47" s="83">
        <f>B32+B38</f>
        <v>5384.04</v>
      </c>
      <c r="C47" s="81">
        <f t="shared" si="1"/>
        <v>6.9356182573383815E-2</v>
      </c>
    </row>
    <row r="48" spans="1:5" x14ac:dyDescent="0.35">
      <c r="B48" s="83">
        <f>SUM(B44:B47)</f>
        <v>77628.84</v>
      </c>
      <c r="C48" s="81">
        <f t="shared" si="1"/>
        <v>1</v>
      </c>
    </row>
    <row r="49" spans="2:2" x14ac:dyDescent="0.35">
      <c r="B49" s="6"/>
    </row>
  </sheetData>
  <mergeCells count="7">
    <mergeCell ref="B20:C20"/>
    <mergeCell ref="A5:C5"/>
    <mergeCell ref="B7:B10"/>
    <mergeCell ref="B12:B14"/>
    <mergeCell ref="B15:B17"/>
    <mergeCell ref="B18:C18"/>
    <mergeCell ref="B19:C19"/>
  </mergeCells>
  <hyperlinks>
    <hyperlink ref="B1" location="ÍNDICE!A1" display="ÍNDICE!A1" xr:uid="{ACC88A6C-E5BF-4262-AF80-7058A470187B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>
    <pageSetUpPr autoPageBreaks="0"/>
  </sheetPr>
  <dimension ref="A1:G18"/>
  <sheetViews>
    <sheetView topLeftCell="A9" workbookViewId="0">
      <selection activeCell="B2" sqref="B2"/>
    </sheetView>
  </sheetViews>
  <sheetFormatPr baseColWidth="10" defaultRowHeight="14.5" x14ac:dyDescent="0.35"/>
  <cols>
    <col min="1" max="1" width="16.7265625" customWidth="1"/>
    <col min="2" max="2" width="17.1796875" bestFit="1" customWidth="1"/>
  </cols>
  <sheetData>
    <row r="1" spans="1:7" ht="21" x14ac:dyDescent="0.5">
      <c r="A1" s="337" t="s">
        <v>80</v>
      </c>
      <c r="B1" s="338" t="s">
        <v>79</v>
      </c>
      <c r="F1" s="337"/>
      <c r="G1" s="338"/>
    </row>
    <row r="2" spans="1:7" x14ac:dyDescent="0.35">
      <c r="B2" s="48"/>
    </row>
    <row r="5" spans="1:7" ht="20.25" customHeight="1" x14ac:dyDescent="0.35">
      <c r="A5" s="331" t="s">
        <v>102</v>
      </c>
      <c r="B5" s="331"/>
      <c r="C5" s="48"/>
    </row>
    <row r="6" spans="1:7" x14ac:dyDescent="0.35">
      <c r="A6" s="79" t="s">
        <v>82</v>
      </c>
      <c r="B6" s="79" t="s">
        <v>84</v>
      </c>
      <c r="C6" s="79" t="s">
        <v>85</v>
      </c>
    </row>
    <row r="7" spans="1:7" x14ac:dyDescent="0.35">
      <c r="A7" s="56" t="s">
        <v>48</v>
      </c>
      <c r="B7" s="56" t="s">
        <v>103</v>
      </c>
      <c r="C7" s="51">
        <v>18636.919999999998</v>
      </c>
      <c r="D7" s="52">
        <f>C7/$C$11</f>
        <v>0.61865089244517024</v>
      </c>
    </row>
    <row r="8" spans="1:7" x14ac:dyDescent="0.35">
      <c r="A8" s="56" t="s">
        <v>48</v>
      </c>
      <c r="B8" s="56" t="s">
        <v>104</v>
      </c>
      <c r="C8" s="51">
        <v>11461.26</v>
      </c>
      <c r="D8" s="52">
        <f t="shared" ref="D8:D10" si="0">C8/$C$11</f>
        <v>0.38045550056265376</v>
      </c>
    </row>
    <row r="9" spans="1:7" x14ac:dyDescent="0.35">
      <c r="A9" s="56" t="s">
        <v>48</v>
      </c>
      <c r="B9" s="56" t="s">
        <v>92</v>
      </c>
      <c r="C9" s="51">
        <v>26.92</v>
      </c>
      <c r="D9" s="58">
        <f t="shared" si="0"/>
        <v>8.9360699217595969E-4</v>
      </c>
    </row>
    <row r="10" spans="1:7" x14ac:dyDescent="0.35">
      <c r="A10" s="56" t="s">
        <v>48</v>
      </c>
      <c r="B10" s="56" t="s">
        <v>93</v>
      </c>
      <c r="C10" s="51">
        <v>0</v>
      </c>
      <c r="D10" s="52">
        <f t="shared" si="0"/>
        <v>0</v>
      </c>
    </row>
    <row r="11" spans="1:7" x14ac:dyDescent="0.35">
      <c r="A11" s="56" t="s">
        <v>48</v>
      </c>
      <c r="B11" s="63" t="s">
        <v>94</v>
      </c>
      <c r="C11" s="51">
        <f>SUM(C7:C10)</f>
        <v>30125.1</v>
      </c>
    </row>
    <row r="17" spans="3:4" x14ac:dyDescent="0.35">
      <c r="D17" s="6"/>
    </row>
    <row r="18" spans="3:4" x14ac:dyDescent="0.35">
      <c r="C18" s="6"/>
    </row>
  </sheetData>
  <mergeCells count="1">
    <mergeCell ref="A5:B5"/>
  </mergeCells>
  <hyperlinks>
    <hyperlink ref="B1" location="ÍNDICE!A1" display="ÍNDICE!A1" xr:uid="{37CC8C59-DEA5-4142-B04E-476BCA116875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"/>
  <sheetViews>
    <sheetView topLeftCell="A37" zoomScale="80" zoomScaleNormal="80" workbookViewId="0">
      <selection activeCell="B55" sqref="B55"/>
    </sheetView>
  </sheetViews>
  <sheetFormatPr baseColWidth="10" defaultRowHeight="14.5" x14ac:dyDescent="0.35"/>
  <cols>
    <col min="1" max="1" width="28" customWidth="1"/>
    <col min="6" max="6" width="13" customWidth="1"/>
    <col min="7" max="7" width="15" customWidth="1"/>
    <col min="8" max="8" width="13.7265625" customWidth="1"/>
    <col min="10" max="10" width="21.54296875" customWidth="1"/>
  </cols>
  <sheetData>
    <row r="1" spans="1:11" ht="21" x14ac:dyDescent="0.5">
      <c r="A1" s="337" t="s">
        <v>80</v>
      </c>
      <c r="B1" s="338" t="s">
        <v>79</v>
      </c>
      <c r="J1" s="337"/>
      <c r="K1" s="338"/>
    </row>
    <row r="4" spans="1:11" x14ac:dyDescent="0.35">
      <c r="B4" s="6"/>
      <c r="C4" s="6"/>
    </row>
    <row r="5" spans="1:11" ht="17.5" x14ac:dyDescent="0.35">
      <c r="A5" s="152" t="s">
        <v>133</v>
      </c>
    </row>
    <row r="7" spans="1:11" ht="43" customHeight="1" x14ac:dyDescent="0.35">
      <c r="A7" s="315" t="s">
        <v>134</v>
      </c>
      <c r="B7" s="315" t="s">
        <v>1</v>
      </c>
      <c r="C7" s="315"/>
      <c r="D7" s="315" t="s">
        <v>121</v>
      </c>
      <c r="E7" s="315"/>
      <c r="F7" s="315" t="s">
        <v>122</v>
      </c>
      <c r="G7" s="315"/>
      <c r="H7" s="315" t="s">
        <v>5</v>
      </c>
      <c r="I7" s="315"/>
      <c r="J7" s="315" t="s">
        <v>136</v>
      </c>
    </row>
    <row r="8" spans="1:11" x14ac:dyDescent="0.35">
      <c r="A8" s="315"/>
      <c r="B8" s="258">
        <v>2020</v>
      </c>
      <c r="C8" s="258">
        <v>2021</v>
      </c>
      <c r="D8" s="258">
        <v>2020</v>
      </c>
      <c r="E8" s="258">
        <v>2021</v>
      </c>
      <c r="F8" s="258">
        <v>2020</v>
      </c>
      <c r="G8" s="258">
        <v>2021</v>
      </c>
      <c r="H8" s="258" t="s">
        <v>3</v>
      </c>
      <c r="I8" s="259" t="s">
        <v>4</v>
      </c>
      <c r="J8" s="315"/>
    </row>
    <row r="9" spans="1:11" x14ac:dyDescent="0.35">
      <c r="A9" s="200" t="s">
        <v>6</v>
      </c>
      <c r="B9" s="199">
        <v>68467.199999999997</v>
      </c>
      <c r="C9" s="199">
        <f>'NAR-REPR'!D9+'PC-REPR'!D9+'LIM-REPR'!D9+'POM-REPR'!D9</f>
        <v>70651.5</v>
      </c>
      <c r="D9" s="199">
        <v>86870</v>
      </c>
      <c r="E9" s="199">
        <v>88876</v>
      </c>
      <c r="F9" s="270">
        <f>IFERROR(B9/D9,"")</f>
        <v>0.78815701623114998</v>
      </c>
      <c r="G9" s="270">
        <f>IFERROR(C9/E9,"")</f>
        <v>0.79494464197308612</v>
      </c>
      <c r="H9" s="154">
        <f>C9-B9</f>
        <v>2184.3000000000029</v>
      </c>
      <c r="I9" s="292">
        <f t="shared" ref="I9:I50" si="0">IFERROR((C9/B9)-1,"")</f>
        <v>3.1902867358384768E-2</v>
      </c>
      <c r="J9" s="279">
        <f>G9/F9-1</f>
        <v>8.6120222267302982E-3</v>
      </c>
      <c r="K9" s="282"/>
    </row>
    <row r="10" spans="1:11" x14ac:dyDescent="0.35">
      <c r="A10" s="147" t="s">
        <v>7</v>
      </c>
      <c r="B10" s="156">
        <v>4949.57</v>
      </c>
      <c r="C10" s="156">
        <f>'NAR-REPR'!D10+'PC-REPR'!D10+'LIM-REPR'!D10+'POM-REPR'!D10</f>
        <v>5973.76</v>
      </c>
      <c r="D10" s="156">
        <v>9323</v>
      </c>
      <c r="E10" s="156">
        <v>10318</v>
      </c>
      <c r="F10" s="157">
        <f>IFERROR(B10/D10,"")</f>
        <v>0.5308988523007615</v>
      </c>
      <c r="G10" s="157">
        <f>IFERROR(C10/E10,"")</f>
        <v>0.57896491568133357</v>
      </c>
      <c r="H10" s="158">
        <f>C10-B10</f>
        <v>1024.1900000000005</v>
      </c>
      <c r="I10" s="159">
        <f>IFERROR((C10/B10)-1,"")</f>
        <v>0.20692504601409833</v>
      </c>
      <c r="J10" s="274">
        <f t="shared" ref="J10:J51" si="1">G10/F10-1</f>
        <v>9.0537139367070862E-2</v>
      </c>
      <c r="K10" s="282"/>
    </row>
    <row r="11" spans="1:11" x14ac:dyDescent="0.35">
      <c r="A11" s="147" t="s">
        <v>8</v>
      </c>
      <c r="B11" s="156">
        <v>1404.83</v>
      </c>
      <c r="C11" s="156">
        <f>'NAR-REPR'!D11+'PC-REPR'!D11+'LIM-REPR'!D11+'POM-REPR'!D11</f>
        <v>1360.9200000000003</v>
      </c>
      <c r="D11" s="156">
        <v>2881</v>
      </c>
      <c r="E11" s="156">
        <v>2881</v>
      </c>
      <c r="F11" s="157">
        <f t="shared" ref="F11:F18" si="2">IFERROR(B11/D11,"")</f>
        <v>0.48761888233252343</v>
      </c>
      <c r="G11" s="157">
        <f t="shared" ref="G11:G18" si="3">IFERROR(C11/E11,"")</f>
        <v>0.47237764665046872</v>
      </c>
      <c r="H11" s="158">
        <f t="shared" ref="H11:H26" si="4">C11-B11</f>
        <v>-43.909999999999627</v>
      </c>
      <c r="I11" s="159">
        <f t="shared" si="0"/>
        <v>-3.1256450958478732E-2</v>
      </c>
      <c r="J11" s="274">
        <f t="shared" si="1"/>
        <v>-3.1256450958478732E-2</v>
      </c>
      <c r="K11" s="282"/>
    </row>
    <row r="12" spans="1:11" x14ac:dyDescent="0.35">
      <c r="A12" s="147" t="s">
        <v>9</v>
      </c>
      <c r="B12" s="156">
        <v>12097.729999999996</v>
      </c>
      <c r="C12" s="156">
        <f>'NAR-REPR'!D12+'PC-REPR'!D12+'LIM-REPR'!D12+'POM-REPR'!D12</f>
        <v>12316.540000000005</v>
      </c>
      <c r="D12" s="156">
        <v>12030</v>
      </c>
      <c r="E12" s="156">
        <v>12260</v>
      </c>
      <c r="F12" s="157">
        <f t="shared" si="2"/>
        <v>1.0056300914380711</v>
      </c>
      <c r="G12" s="157">
        <f t="shared" si="3"/>
        <v>1.0046117455138666</v>
      </c>
      <c r="H12" s="158">
        <f t="shared" si="4"/>
        <v>218.81000000000859</v>
      </c>
      <c r="I12" s="159">
        <f t="shared" si="0"/>
        <v>1.8086864229901689E-2</v>
      </c>
      <c r="J12" s="160">
        <f t="shared" si="1"/>
        <v>-1.0126446422743518E-3</v>
      </c>
      <c r="K12" s="282"/>
    </row>
    <row r="13" spans="1:11" x14ac:dyDescent="0.35">
      <c r="A13" s="147" t="s">
        <v>10</v>
      </c>
      <c r="B13" s="156">
        <v>255.34999999999997</v>
      </c>
      <c r="C13" s="156">
        <f>'NAR-REPR'!D13+'PC-REPR'!D13+'LIM-REPR'!D13+'POM-REPR'!D13</f>
        <v>251.64</v>
      </c>
      <c r="D13" s="156">
        <v>827</v>
      </c>
      <c r="E13" s="156">
        <v>827</v>
      </c>
      <c r="F13" s="157">
        <f t="shared" si="2"/>
        <v>0.30876662636033853</v>
      </c>
      <c r="G13" s="157">
        <f t="shared" si="3"/>
        <v>0.30428053204353084</v>
      </c>
      <c r="H13" s="158">
        <f t="shared" si="4"/>
        <v>-3.7099999999999795</v>
      </c>
      <c r="I13" s="159">
        <f t="shared" si="0"/>
        <v>-1.4529077736440077E-2</v>
      </c>
      <c r="J13" s="160">
        <f t="shared" si="1"/>
        <v>-1.4529077736439966E-2</v>
      </c>
      <c r="K13" s="282"/>
    </row>
    <row r="14" spans="1:11" x14ac:dyDescent="0.35">
      <c r="A14" s="147" t="s">
        <v>11</v>
      </c>
      <c r="B14" s="156">
        <v>16108.529999999999</v>
      </c>
      <c r="C14" s="156">
        <f>'NAR-REPR'!D14+'PC-REPR'!D14+'LIM-REPR'!D14+'POM-REPR'!D14</f>
        <v>15691.549999999997</v>
      </c>
      <c r="D14" s="156">
        <v>20576</v>
      </c>
      <c r="E14" s="156">
        <v>20600</v>
      </c>
      <c r="F14" s="157">
        <f t="shared" si="2"/>
        <v>0.78287956842923789</v>
      </c>
      <c r="G14" s="157">
        <f t="shared" si="3"/>
        <v>0.76172572815533968</v>
      </c>
      <c r="H14" s="158">
        <f t="shared" si="4"/>
        <v>-416.98000000000138</v>
      </c>
      <c r="I14" s="159">
        <f t="shared" si="0"/>
        <v>-2.588566430332262E-2</v>
      </c>
      <c r="J14" s="274">
        <f t="shared" si="1"/>
        <v>-2.7020554791512885E-2</v>
      </c>
      <c r="K14" s="282"/>
    </row>
    <row r="15" spans="1:11" x14ac:dyDescent="0.35">
      <c r="A15" s="147" t="s">
        <v>12</v>
      </c>
      <c r="B15" s="156">
        <v>0.66</v>
      </c>
      <c r="C15" s="156">
        <f>'NAR-REPR'!D15</f>
        <v>1.0000000000000002</v>
      </c>
      <c r="D15" s="156">
        <v>4490</v>
      </c>
      <c r="E15" s="156"/>
      <c r="F15" s="157">
        <f t="shared" si="2"/>
        <v>1.469933184855234E-4</v>
      </c>
      <c r="G15" s="157" t="str">
        <f t="shared" si="3"/>
        <v/>
      </c>
      <c r="H15" s="158">
        <f t="shared" si="4"/>
        <v>0.34000000000000019</v>
      </c>
      <c r="I15" s="159">
        <f t="shared" si="0"/>
        <v>0.51515151515151536</v>
      </c>
      <c r="J15" s="160"/>
      <c r="K15" s="282"/>
    </row>
    <row r="16" spans="1:11" x14ac:dyDescent="0.35">
      <c r="A16" s="147" t="s">
        <v>13</v>
      </c>
      <c r="B16" s="156">
        <v>4051.93</v>
      </c>
      <c r="C16" s="156">
        <f>'NAR-REPR'!D16+'PC-REPR'!D15+'LIM-REPR'!D15+'POM-REPR'!D15</f>
        <v>4096.1600000000008</v>
      </c>
      <c r="D16" s="156">
        <v>32983</v>
      </c>
      <c r="E16" s="156">
        <v>11192</v>
      </c>
      <c r="F16" s="157">
        <f t="shared" si="2"/>
        <v>0.12284904344662401</v>
      </c>
      <c r="G16" s="157">
        <f t="shared" si="3"/>
        <v>0.36598999285203726</v>
      </c>
      <c r="H16" s="158">
        <f t="shared" si="4"/>
        <v>44.230000000000928</v>
      </c>
      <c r="I16" s="159">
        <f t="shared" si="0"/>
        <v>1.091578581071273E-2</v>
      </c>
      <c r="J16" s="274">
        <f t="shared" si="1"/>
        <v>1.9791847179587867</v>
      </c>
      <c r="K16" s="282"/>
    </row>
    <row r="17" spans="1:11" x14ac:dyDescent="0.35">
      <c r="A17" s="147" t="s">
        <v>14</v>
      </c>
      <c r="B17" s="156">
        <v>29598.599999999995</v>
      </c>
      <c r="C17" s="156">
        <f>'NAR-REPR'!D17+'PC-REPR'!D16+'LIM-REPR'!D16+'POM-REPR'!D16</f>
        <v>30959.930000000004</v>
      </c>
      <c r="D17" s="156">
        <v>30184</v>
      </c>
      <c r="E17" s="156">
        <v>30797</v>
      </c>
      <c r="F17" s="157">
        <f t="shared" si="2"/>
        <v>0.98060561887092479</v>
      </c>
      <c r="G17" s="157">
        <f t="shared" si="3"/>
        <v>1.0052904503685425</v>
      </c>
      <c r="H17" s="158">
        <f t="shared" si="4"/>
        <v>1361.330000000009</v>
      </c>
      <c r="I17" s="159">
        <f t="shared" si="0"/>
        <v>4.5993053725514432E-2</v>
      </c>
      <c r="J17" s="274">
        <f t="shared" si="1"/>
        <v>2.5173047168585372E-2</v>
      </c>
      <c r="K17" s="282"/>
    </row>
    <row r="18" spans="1:11" x14ac:dyDescent="0.35">
      <c r="A18" s="153" t="s">
        <v>15</v>
      </c>
      <c r="B18" s="154">
        <v>0.22999999999999998</v>
      </c>
      <c r="C18" s="154">
        <f>'NAR-REPR'!D18+'LIM-REPR'!D19</f>
        <v>0.25</v>
      </c>
      <c r="D18" s="154"/>
      <c r="E18" s="154"/>
      <c r="F18" s="155" t="str">
        <f t="shared" si="2"/>
        <v/>
      </c>
      <c r="G18" s="155" t="str">
        <f t="shared" si="3"/>
        <v/>
      </c>
      <c r="H18" s="154">
        <f t="shared" si="4"/>
        <v>2.0000000000000018E-2</v>
      </c>
      <c r="I18" s="155">
        <f t="shared" si="0"/>
        <v>8.6956521739130599E-2</v>
      </c>
      <c r="J18" s="271"/>
      <c r="K18" s="282"/>
    </row>
    <row r="19" spans="1:11" x14ac:dyDescent="0.35">
      <c r="A19" s="147" t="s">
        <v>15</v>
      </c>
      <c r="B19" s="156">
        <v>0.22999999999999998</v>
      </c>
      <c r="C19" s="156">
        <v>0.25</v>
      </c>
      <c r="D19" s="156"/>
      <c r="E19" s="156"/>
      <c r="F19" s="157" t="str">
        <f t="shared" ref="F19:F20" si="5">IFERROR(B19/D19,"")</f>
        <v/>
      </c>
      <c r="G19" s="157" t="str">
        <f t="shared" ref="G19:G20" si="6">IFERROR(C19/E19,"")</f>
        <v/>
      </c>
      <c r="H19" s="158">
        <f t="shared" si="4"/>
        <v>2.0000000000000018E-2</v>
      </c>
      <c r="I19" s="159">
        <f t="shared" si="0"/>
        <v>8.6956521739130599E-2</v>
      </c>
      <c r="J19" s="160"/>
      <c r="K19" s="282"/>
    </row>
    <row r="20" spans="1:11" x14ac:dyDescent="0.35">
      <c r="A20" s="153" t="s">
        <v>16</v>
      </c>
      <c r="B20" s="154">
        <v>111188.22999999995</v>
      </c>
      <c r="C20" s="154">
        <f>'NAR-REPR'!D20+'PC-REPR'!D17+'LIM-REPR'!D21+'POM-REPR'!D17</f>
        <v>111372.22999999998</v>
      </c>
      <c r="D20" s="154">
        <v>159098</v>
      </c>
      <c r="E20" s="154">
        <v>158785</v>
      </c>
      <c r="F20" s="155">
        <f t="shared" si="5"/>
        <v>0.69886629624508134</v>
      </c>
      <c r="G20" s="155">
        <f t="shared" si="6"/>
        <v>0.70140271436218771</v>
      </c>
      <c r="H20" s="154">
        <f t="shared" si="4"/>
        <v>184.0000000000291</v>
      </c>
      <c r="I20" s="271">
        <f t="shared" si="0"/>
        <v>1.65485141727717E-3</v>
      </c>
      <c r="J20" s="271">
        <f t="shared" si="1"/>
        <v>3.6293324355949341E-3</v>
      </c>
      <c r="K20" s="282"/>
    </row>
    <row r="21" spans="1:11" x14ac:dyDescent="0.35">
      <c r="A21" s="147" t="s">
        <v>17</v>
      </c>
      <c r="B21" s="156">
        <v>22130.479999999996</v>
      </c>
      <c r="C21" s="156">
        <f>'NAR-REPR'!D21+'PC-REPR'!D18+'LIM-REPR'!D22+'POM-REPR'!D18</f>
        <v>22693.87</v>
      </c>
      <c r="D21" s="156">
        <v>33033</v>
      </c>
      <c r="E21" s="156">
        <v>33968</v>
      </c>
      <c r="F21" s="157">
        <f t="shared" ref="F21" si="7">IFERROR(B21/D21,"")</f>
        <v>0.66995065540520071</v>
      </c>
      <c r="G21" s="157">
        <f t="shared" ref="G21" si="8">IFERROR(C21/E21,"")</f>
        <v>0.66809556052755537</v>
      </c>
      <c r="H21" s="158">
        <f t="shared" si="4"/>
        <v>563.39000000000306</v>
      </c>
      <c r="I21" s="159">
        <f t="shared" si="0"/>
        <v>2.5457649359616363E-2</v>
      </c>
      <c r="J21" s="160">
        <f t="shared" si="1"/>
        <v>-2.7690022581190465E-3</v>
      </c>
      <c r="K21" s="282"/>
    </row>
    <row r="22" spans="1:11" x14ac:dyDescent="0.35">
      <c r="A22" s="147" t="s">
        <v>18</v>
      </c>
      <c r="B22" s="156">
        <v>24675.799999999952</v>
      </c>
      <c r="C22" s="156">
        <f>'NAR-REPR'!D22+'PC-REPR'!D19+'LIM-REPR'!D23+'POM-REPR'!D19</f>
        <v>24703.49</v>
      </c>
      <c r="D22" s="156">
        <v>34125</v>
      </c>
      <c r="E22" s="156">
        <v>32824</v>
      </c>
      <c r="F22" s="157">
        <f t="shared" ref="F22:F24" si="9">IFERROR(B22/D22,"")</f>
        <v>0.72310036630036489</v>
      </c>
      <c r="G22" s="157">
        <f t="shared" ref="G22:G24" si="10">IFERROR(C22/E22,"")</f>
        <v>0.75260449670972462</v>
      </c>
      <c r="H22" s="158">
        <f t="shared" si="4"/>
        <v>27.690000000049622</v>
      </c>
      <c r="I22" s="159">
        <f t="shared" si="0"/>
        <v>1.1221520680200214E-3</v>
      </c>
      <c r="J22" s="274">
        <f t="shared" si="1"/>
        <v>4.0802261739007584E-2</v>
      </c>
      <c r="K22" s="282"/>
    </row>
    <row r="23" spans="1:11" x14ac:dyDescent="0.35">
      <c r="A23" s="147" t="s">
        <v>19</v>
      </c>
      <c r="B23" s="156">
        <v>64381.950000000004</v>
      </c>
      <c r="C23" s="156">
        <f>'NAR-REPR'!D23+'PC-REPR'!D20+'LIM-REPR'!D24+'POM-REPR'!D20</f>
        <v>63974.869999999966</v>
      </c>
      <c r="D23" s="156">
        <v>91940</v>
      </c>
      <c r="E23" s="156">
        <v>91993</v>
      </c>
      <c r="F23" s="157">
        <f t="shared" si="9"/>
        <v>0.70026049597563633</v>
      </c>
      <c r="G23" s="157">
        <f t="shared" si="10"/>
        <v>0.69543193503853518</v>
      </c>
      <c r="H23" s="158">
        <f t="shared" si="4"/>
        <v>-407.08000000003813</v>
      </c>
      <c r="I23" s="159">
        <f t="shared" si="0"/>
        <v>-6.3228901889432754E-3</v>
      </c>
      <c r="J23" s="160">
        <f t="shared" si="1"/>
        <v>-6.8953781697678185E-3</v>
      </c>
      <c r="K23" s="282"/>
    </row>
    <row r="24" spans="1:11" x14ac:dyDescent="0.35">
      <c r="A24" s="153" t="s">
        <v>20</v>
      </c>
      <c r="B24" s="154">
        <v>0.65000000000000013</v>
      </c>
      <c r="C24" s="154">
        <f>'NAR-REPR'!D24+'PC-REPR'!D23+'LIM-REPR'!D27+'POM-REPR'!D21</f>
        <v>0.15</v>
      </c>
      <c r="D24" s="154">
        <v>8</v>
      </c>
      <c r="E24" s="154">
        <v>8</v>
      </c>
      <c r="F24" s="155">
        <f t="shared" si="9"/>
        <v>8.1250000000000017E-2</v>
      </c>
      <c r="G24" s="155">
        <f t="shared" si="10"/>
        <v>1.8749999999999999E-2</v>
      </c>
      <c r="H24" s="154">
        <f t="shared" si="4"/>
        <v>-0.50000000000000011</v>
      </c>
      <c r="I24" s="271">
        <f t="shared" si="0"/>
        <v>-0.76923076923076927</v>
      </c>
      <c r="J24" s="273">
        <f t="shared" si="1"/>
        <v>-0.76923076923076927</v>
      </c>
      <c r="K24" s="282"/>
    </row>
    <row r="25" spans="1:11" x14ac:dyDescent="0.35">
      <c r="A25" s="147" t="s">
        <v>20</v>
      </c>
      <c r="B25" s="156">
        <v>0.65000000000000013</v>
      </c>
      <c r="C25" s="156">
        <f>'NAR-REPR'!D25+'PC-REPR'!D24+'LIM-REPR'!D28+'POM-REPR'!D22</f>
        <v>0.15</v>
      </c>
      <c r="D25" s="156">
        <v>8</v>
      </c>
      <c r="E25" s="156">
        <v>8</v>
      </c>
      <c r="F25" s="157">
        <f t="shared" ref="F25:F26" si="11">IFERROR(B25/D25,"")</f>
        <v>8.1250000000000017E-2</v>
      </c>
      <c r="G25" s="157">
        <f t="shared" ref="G25:G26" si="12">IFERROR(C25/E25,"")</f>
        <v>1.8749999999999999E-2</v>
      </c>
      <c r="H25" s="158">
        <f t="shared" si="4"/>
        <v>-0.50000000000000011</v>
      </c>
      <c r="I25" s="159">
        <f t="shared" si="0"/>
        <v>-0.76923076923076927</v>
      </c>
      <c r="J25" s="274">
        <f t="shared" si="1"/>
        <v>-0.76923076923076927</v>
      </c>
      <c r="K25" s="282"/>
    </row>
    <row r="26" spans="1:11" x14ac:dyDescent="0.35">
      <c r="A26" s="153" t="s">
        <v>21</v>
      </c>
      <c r="B26" s="154">
        <v>0</v>
      </c>
      <c r="C26" s="154">
        <f>'NAR-REPR'!D26</f>
        <v>0</v>
      </c>
      <c r="D26" s="154">
        <v>3</v>
      </c>
      <c r="E26" s="154">
        <v>3</v>
      </c>
      <c r="F26" s="155">
        <f t="shared" si="11"/>
        <v>0</v>
      </c>
      <c r="G26" s="155">
        <f t="shared" si="12"/>
        <v>0</v>
      </c>
      <c r="H26" s="154">
        <f t="shared" si="4"/>
        <v>0</v>
      </c>
      <c r="I26" s="155" t="str">
        <f t="shared" si="0"/>
        <v/>
      </c>
      <c r="J26" s="273"/>
      <c r="K26" s="282"/>
    </row>
    <row r="27" spans="1:11" x14ac:dyDescent="0.35">
      <c r="A27" s="147" t="s">
        <v>22</v>
      </c>
      <c r="B27" s="156">
        <v>0</v>
      </c>
      <c r="C27" s="156">
        <f>'NAR-REPR'!D27</f>
        <v>0</v>
      </c>
      <c r="D27" s="156">
        <v>3</v>
      </c>
      <c r="E27" s="156">
        <v>3</v>
      </c>
      <c r="F27" s="157">
        <f t="shared" ref="F27:F28" si="13">IFERROR(B27/D27,"")</f>
        <v>0</v>
      </c>
      <c r="G27" s="157">
        <f t="shared" ref="G27:G28" si="14">IFERROR(C27/E27,"")</f>
        <v>0</v>
      </c>
      <c r="H27" s="158">
        <f t="shared" ref="H27:H51" si="15">C27-B27</f>
        <v>0</v>
      </c>
      <c r="I27" s="159" t="str">
        <f t="shared" si="0"/>
        <v/>
      </c>
      <c r="J27" s="274"/>
      <c r="K27" s="282"/>
    </row>
    <row r="28" spans="1:11" x14ac:dyDescent="0.35">
      <c r="A28" s="153" t="s">
        <v>23</v>
      </c>
      <c r="B28" s="154">
        <v>7936.1899999999978</v>
      </c>
      <c r="C28" s="154">
        <f>'NAR-REPR'!D28+'PC-REPR'!D25+'LIM-REPR'!D29+'POM-REPR'!D23</f>
        <v>7763.0099999999957</v>
      </c>
      <c r="D28" s="154">
        <v>8797</v>
      </c>
      <c r="E28" s="154">
        <v>9120</v>
      </c>
      <c r="F28" s="155">
        <f t="shared" si="13"/>
        <v>0.90214732295100575</v>
      </c>
      <c r="G28" s="155">
        <f t="shared" si="14"/>
        <v>0.85120723684210475</v>
      </c>
      <c r="H28" s="154">
        <f t="shared" si="15"/>
        <v>-173.18000000000211</v>
      </c>
      <c r="I28" s="271">
        <f t="shared" si="0"/>
        <v>-2.1821554171460367E-2</v>
      </c>
      <c r="J28" s="273">
        <f t="shared" si="1"/>
        <v>-5.646537412788788E-2</v>
      </c>
      <c r="K28" s="282"/>
    </row>
    <row r="29" spans="1:11" x14ac:dyDescent="0.35">
      <c r="A29" s="147" t="s">
        <v>24</v>
      </c>
      <c r="B29" s="156">
        <v>3.83</v>
      </c>
      <c r="C29" s="156">
        <f>'NAR-REPR'!D29+'PC-REPR'!D26+'LIM-REPR'!D30</f>
        <v>4.5400000000000009</v>
      </c>
      <c r="D29" s="156">
        <v>5</v>
      </c>
      <c r="E29" s="156">
        <v>9</v>
      </c>
      <c r="F29" s="157">
        <f t="shared" ref="F29" si="16">IFERROR(B29/D29,"")</f>
        <v>0.76600000000000001</v>
      </c>
      <c r="G29" s="157">
        <f t="shared" ref="G29" si="17">IFERROR(C29/E29,"")</f>
        <v>0.50444444444444458</v>
      </c>
      <c r="H29" s="158">
        <f t="shared" si="15"/>
        <v>0.71000000000000085</v>
      </c>
      <c r="I29" s="159">
        <f t="shared" si="0"/>
        <v>0.18537859007832913</v>
      </c>
      <c r="J29" s="274">
        <f t="shared" si="1"/>
        <v>-0.34145633884537263</v>
      </c>
      <c r="K29" s="282"/>
    </row>
    <row r="30" spans="1:11" x14ac:dyDescent="0.35">
      <c r="A30" s="147" t="s">
        <v>25</v>
      </c>
      <c r="B30" s="156">
        <v>0.15000000000000002</v>
      </c>
      <c r="C30" s="156">
        <f>'NAR-REPR'!D30</f>
        <v>0.22000000000000003</v>
      </c>
      <c r="D30" s="156">
        <v>2178</v>
      </c>
      <c r="E30" s="156"/>
      <c r="F30" s="157">
        <f t="shared" ref="F30:F33" si="18">IFERROR(B30/D30,"")</f>
        <v>6.8870523415977969E-5</v>
      </c>
      <c r="G30" s="157" t="str">
        <f t="shared" ref="G30:G33" si="19">IFERROR(C30/E30,"")</f>
        <v/>
      </c>
      <c r="H30" s="158">
        <f t="shared" si="15"/>
        <v>7.0000000000000007E-2</v>
      </c>
      <c r="I30" s="159">
        <f t="shared" si="0"/>
        <v>0.46666666666666656</v>
      </c>
      <c r="J30" s="160"/>
      <c r="K30" s="282"/>
    </row>
    <row r="31" spans="1:11" x14ac:dyDescent="0.35">
      <c r="A31" s="147" t="s">
        <v>52</v>
      </c>
      <c r="B31" s="156">
        <v>0.18</v>
      </c>
      <c r="C31" s="156">
        <v>0</v>
      </c>
      <c r="D31" s="156"/>
      <c r="E31" s="156"/>
      <c r="F31" s="157" t="str">
        <f t="shared" si="18"/>
        <v/>
      </c>
      <c r="G31" s="157" t="str">
        <f t="shared" si="19"/>
        <v/>
      </c>
      <c r="H31" s="158">
        <f t="shared" si="15"/>
        <v>-0.18</v>
      </c>
      <c r="I31" s="159">
        <f t="shared" si="0"/>
        <v>-1</v>
      </c>
      <c r="J31" s="274"/>
      <c r="K31" s="282"/>
    </row>
    <row r="32" spans="1:11" x14ac:dyDescent="0.35">
      <c r="A32" s="147" t="s">
        <v>26</v>
      </c>
      <c r="B32" s="156">
        <v>7932.0299999999979</v>
      </c>
      <c r="C32" s="156">
        <f>'NAR-REPR'!D31+'LIM-REPR'!D32+'PC-REPR'!D27+'POM-REPR'!D24</f>
        <v>7758.0699999999961</v>
      </c>
      <c r="D32" s="156">
        <v>8792</v>
      </c>
      <c r="E32" s="156">
        <v>9111</v>
      </c>
      <c r="F32" s="157">
        <f t="shared" si="18"/>
        <v>0.90218721565059123</v>
      </c>
      <c r="G32" s="157">
        <f t="shared" si="19"/>
        <v>0.85150587202282912</v>
      </c>
      <c r="H32" s="158">
        <f t="shared" si="15"/>
        <v>-173.96000000000186</v>
      </c>
      <c r="I32" s="159">
        <f t="shared" si="0"/>
        <v>-2.1931334097324617E-2</v>
      </c>
      <c r="J32" s="274">
        <f t="shared" si="1"/>
        <v>-5.6176082689460949E-2</v>
      </c>
      <c r="K32" s="282"/>
    </row>
    <row r="33" spans="1:11" x14ac:dyDescent="0.35">
      <c r="A33" s="153" t="s">
        <v>27</v>
      </c>
      <c r="B33" s="154">
        <v>80.099999999999994</v>
      </c>
      <c r="C33" s="154">
        <f>'NAR-REPR'!D32+'PC-REPR'!D28+'LIM-REPR'!D33</f>
        <v>63.629999999999995</v>
      </c>
      <c r="D33" s="154">
        <v>70</v>
      </c>
      <c r="E33" s="154">
        <v>68</v>
      </c>
      <c r="F33" s="155">
        <f t="shared" si="18"/>
        <v>1.1442857142857141</v>
      </c>
      <c r="G33" s="155">
        <f t="shared" si="19"/>
        <v>0.935735294117647</v>
      </c>
      <c r="H33" s="154">
        <f t="shared" si="15"/>
        <v>-16.47</v>
      </c>
      <c r="I33" s="271">
        <f t="shared" si="0"/>
        <v>-0.20561797752808986</v>
      </c>
      <c r="J33" s="273">
        <f t="shared" si="1"/>
        <v>-0.18225380039656303</v>
      </c>
      <c r="K33" s="282"/>
    </row>
    <row r="34" spans="1:11" x14ac:dyDescent="0.35">
      <c r="A34" s="147" t="s">
        <v>28</v>
      </c>
      <c r="B34" s="156">
        <v>73.459999999999994</v>
      </c>
      <c r="C34" s="156">
        <f>'NAR-REPR'!D33+'PC-REPR'!D29+'LIM-REPR'!D34</f>
        <v>54.36999999999999</v>
      </c>
      <c r="D34" s="156">
        <v>63</v>
      </c>
      <c r="E34" s="156">
        <v>59</v>
      </c>
      <c r="F34" s="157">
        <f t="shared" ref="F34:F36" si="20">IFERROR(B34/D34,"")</f>
        <v>1.166031746031746</v>
      </c>
      <c r="G34" s="157">
        <f t="shared" ref="G34:G36" si="21">IFERROR(C34/E34,"")</f>
        <v>0.92152542372881341</v>
      </c>
      <c r="H34" s="158">
        <f t="shared" si="15"/>
        <v>-19.090000000000003</v>
      </c>
      <c r="I34" s="159">
        <f t="shared" si="0"/>
        <v>-0.25986931663490342</v>
      </c>
      <c r="J34" s="274">
        <f t="shared" si="1"/>
        <v>-0.2096909652203206</v>
      </c>
      <c r="K34" s="282"/>
    </row>
    <row r="35" spans="1:11" x14ac:dyDescent="0.35">
      <c r="A35" s="147" t="s">
        <v>29</v>
      </c>
      <c r="B35" s="156">
        <v>6.6399999999999988</v>
      </c>
      <c r="C35" s="156">
        <f>'NAR-REPR'!D34+'PC-REPR'!D30+'LIM-REPR'!D35</f>
        <v>9.26</v>
      </c>
      <c r="D35" s="156">
        <v>7</v>
      </c>
      <c r="E35" s="156">
        <v>9</v>
      </c>
      <c r="F35" s="157">
        <f t="shared" si="20"/>
        <v>0.9485714285714284</v>
      </c>
      <c r="G35" s="157">
        <f t="shared" si="21"/>
        <v>1.028888888888889</v>
      </c>
      <c r="H35" s="158">
        <f t="shared" si="15"/>
        <v>2.620000000000001</v>
      </c>
      <c r="I35" s="159">
        <f t="shared" si="0"/>
        <v>0.39457831325301229</v>
      </c>
      <c r="J35" s="274">
        <f t="shared" si="1"/>
        <v>8.4672021419009758E-2</v>
      </c>
      <c r="K35" s="282"/>
    </row>
    <row r="36" spans="1:11" x14ac:dyDescent="0.35">
      <c r="A36" s="153" t="s">
        <v>30</v>
      </c>
      <c r="B36" s="154">
        <v>0.08</v>
      </c>
      <c r="C36" s="154">
        <f>'NAR-REPR'!D35+'LIM-REPR'!D36</f>
        <v>0.13</v>
      </c>
      <c r="D36" s="154">
        <v>277</v>
      </c>
      <c r="E36" s="154">
        <v>275</v>
      </c>
      <c r="F36" s="155">
        <f t="shared" si="20"/>
        <v>2.8880866425992781E-4</v>
      </c>
      <c r="G36" s="155">
        <f t="shared" si="21"/>
        <v>4.7272727272727272E-4</v>
      </c>
      <c r="H36" s="154">
        <f t="shared" si="15"/>
        <v>0.05</v>
      </c>
      <c r="I36" s="155">
        <f t="shared" si="0"/>
        <v>0.625</v>
      </c>
      <c r="J36" s="273">
        <f t="shared" si="1"/>
        <v>0.63681818181818173</v>
      </c>
      <c r="K36" s="282"/>
    </row>
    <row r="37" spans="1:11" x14ac:dyDescent="0.35">
      <c r="A37" s="147" t="s">
        <v>31</v>
      </c>
      <c r="B37" s="156">
        <v>0.06</v>
      </c>
      <c r="C37" s="156">
        <v>0.11</v>
      </c>
      <c r="D37" s="156">
        <v>181</v>
      </c>
      <c r="E37" s="156">
        <v>178</v>
      </c>
      <c r="F37" s="157">
        <f t="shared" ref="F37" si="22">IFERROR(B37/D37,"")</f>
        <v>3.3149171270718233E-4</v>
      </c>
      <c r="G37" s="157">
        <f t="shared" ref="G37" si="23">IFERROR(C37/E37,"")</f>
        <v>6.179775280898876E-4</v>
      </c>
      <c r="H37" s="158">
        <f t="shared" si="15"/>
        <v>0.05</v>
      </c>
      <c r="I37" s="159">
        <f t="shared" si="0"/>
        <v>0.83333333333333348</v>
      </c>
      <c r="J37" s="274">
        <f t="shared" si="1"/>
        <v>0.86423220973782744</v>
      </c>
      <c r="K37" s="282"/>
    </row>
    <row r="38" spans="1:11" x14ac:dyDescent="0.35">
      <c r="A38" s="147" t="s">
        <v>32</v>
      </c>
      <c r="B38" s="156">
        <v>0.02</v>
      </c>
      <c r="C38" s="156"/>
      <c r="D38" s="156">
        <v>18</v>
      </c>
      <c r="E38" s="156">
        <v>17</v>
      </c>
      <c r="F38" s="157">
        <f t="shared" ref="F38:F41" si="24">IFERROR(B38/D38,"")</f>
        <v>1.1111111111111111E-3</v>
      </c>
      <c r="G38" s="157">
        <f t="shared" ref="G38:G41" si="25">IFERROR(C38/E38,"")</f>
        <v>0</v>
      </c>
      <c r="H38" s="158">
        <f t="shared" si="15"/>
        <v>-0.02</v>
      </c>
      <c r="I38" s="159">
        <f t="shared" si="0"/>
        <v>-1</v>
      </c>
      <c r="J38" s="160">
        <f t="shared" si="1"/>
        <v>-1</v>
      </c>
      <c r="K38" s="282"/>
    </row>
    <row r="39" spans="1:11" x14ac:dyDescent="0.35">
      <c r="A39" s="147" t="s">
        <v>33</v>
      </c>
      <c r="B39" s="156">
        <v>0</v>
      </c>
      <c r="C39" s="156"/>
      <c r="D39" s="156">
        <v>3</v>
      </c>
      <c r="E39" s="156">
        <v>3</v>
      </c>
      <c r="F39" s="157">
        <f t="shared" si="24"/>
        <v>0</v>
      </c>
      <c r="G39" s="157">
        <f t="shared" si="25"/>
        <v>0</v>
      </c>
      <c r="H39" s="158">
        <f t="shared" si="15"/>
        <v>0</v>
      </c>
      <c r="I39" s="159" t="str">
        <f t="shared" si="0"/>
        <v/>
      </c>
      <c r="J39" s="274"/>
      <c r="K39" s="282"/>
    </row>
    <row r="40" spans="1:11" x14ac:dyDescent="0.35">
      <c r="A40" s="147" t="s">
        <v>34</v>
      </c>
      <c r="B40" s="156">
        <v>0</v>
      </c>
      <c r="C40" s="156">
        <v>0.02</v>
      </c>
      <c r="D40" s="156">
        <v>75</v>
      </c>
      <c r="E40" s="156">
        <v>77</v>
      </c>
      <c r="F40" s="157">
        <f t="shared" si="24"/>
        <v>0</v>
      </c>
      <c r="G40" s="157">
        <f t="shared" si="25"/>
        <v>2.5974025974025974E-4</v>
      </c>
      <c r="H40" s="158">
        <f t="shared" si="15"/>
        <v>0.02</v>
      </c>
      <c r="I40" s="159" t="str">
        <f t="shared" si="0"/>
        <v/>
      </c>
      <c r="J40" s="274"/>
      <c r="K40" s="282"/>
    </row>
    <row r="41" spans="1:11" x14ac:dyDescent="0.35">
      <c r="A41" s="153" t="s">
        <v>35</v>
      </c>
      <c r="B41" s="154">
        <v>779.54999999999984</v>
      </c>
      <c r="C41" s="154">
        <f>'NAR-REPR'!D40+'PC-REPR'!D31+'LIM-REPR'!D41+'POM-REPR'!D25</f>
        <v>773.96</v>
      </c>
      <c r="D41" s="154">
        <v>2130</v>
      </c>
      <c r="E41" s="154">
        <v>2130</v>
      </c>
      <c r="F41" s="155">
        <f t="shared" si="24"/>
        <v>0.36598591549295767</v>
      </c>
      <c r="G41" s="155">
        <f t="shared" si="25"/>
        <v>0.36336150234741788</v>
      </c>
      <c r="H41" s="161">
        <f t="shared" si="15"/>
        <v>-5.5899999999998045</v>
      </c>
      <c r="I41" s="271">
        <f t="shared" si="0"/>
        <v>-7.1708036687829768E-3</v>
      </c>
      <c r="J41" s="271">
        <f t="shared" si="1"/>
        <v>-7.1708036687829768E-3</v>
      </c>
      <c r="K41" s="282"/>
    </row>
    <row r="42" spans="1:11" x14ac:dyDescent="0.35">
      <c r="A42" s="147" t="s">
        <v>35</v>
      </c>
      <c r="B42" s="156">
        <v>779.54999999999984</v>
      </c>
      <c r="C42" s="156">
        <v>773.96</v>
      </c>
      <c r="D42" s="156">
        <v>2130</v>
      </c>
      <c r="E42" s="156">
        <v>2130</v>
      </c>
      <c r="F42" s="157">
        <f t="shared" ref="F42:F43" si="26">IFERROR(B42/D42,"")</f>
        <v>0.36598591549295767</v>
      </c>
      <c r="G42" s="157">
        <f t="shared" ref="G42:G43" si="27">IFERROR(C42/E42,"")</f>
        <v>0.36336150234741788</v>
      </c>
      <c r="H42" s="158">
        <f t="shared" si="15"/>
        <v>-5.5899999999998045</v>
      </c>
      <c r="I42" s="159">
        <f t="shared" si="0"/>
        <v>-7.1708036687829768E-3</v>
      </c>
      <c r="J42" s="160">
        <f t="shared" si="1"/>
        <v>-7.1708036687829768E-3</v>
      </c>
      <c r="K42" s="282"/>
    </row>
    <row r="43" spans="1:11" x14ac:dyDescent="0.35">
      <c r="A43" s="153" t="s">
        <v>36</v>
      </c>
      <c r="B43" s="154">
        <v>227.32999999999998</v>
      </c>
      <c r="C43" s="154"/>
      <c r="D43" s="154">
        <v>1336</v>
      </c>
      <c r="E43" s="154">
        <v>1298</v>
      </c>
      <c r="F43" s="155">
        <f t="shared" si="26"/>
        <v>0.17015718562874249</v>
      </c>
      <c r="G43" s="155">
        <f t="shared" si="27"/>
        <v>0</v>
      </c>
      <c r="H43" s="154">
        <f t="shared" si="15"/>
        <v>-227.32999999999998</v>
      </c>
      <c r="I43" s="271">
        <f>IFERROR((C43/B43)-1,"")</f>
        <v>-1</v>
      </c>
      <c r="J43" s="273">
        <f t="shared" si="1"/>
        <v>-1</v>
      </c>
      <c r="K43" s="282"/>
    </row>
    <row r="44" spans="1:11" x14ac:dyDescent="0.35">
      <c r="A44" s="147" t="s">
        <v>37</v>
      </c>
      <c r="B44" s="156">
        <v>120.14</v>
      </c>
      <c r="C44" s="156"/>
      <c r="D44" s="156">
        <v>770</v>
      </c>
      <c r="E44" s="156">
        <v>781</v>
      </c>
      <c r="F44" s="157">
        <f t="shared" ref="F44:F46" si="28">IFERROR(B44/D44,"")</f>
        <v>0.15602597402597404</v>
      </c>
      <c r="G44" s="157">
        <f t="shared" ref="G44:G46" si="29">IFERROR(C44/E44,"")</f>
        <v>0</v>
      </c>
      <c r="H44" s="158">
        <f t="shared" si="15"/>
        <v>-120.14</v>
      </c>
      <c r="I44" s="159">
        <f t="shared" si="0"/>
        <v>-1</v>
      </c>
      <c r="J44" s="274">
        <f t="shared" si="1"/>
        <v>-1</v>
      </c>
      <c r="K44" s="282"/>
    </row>
    <row r="45" spans="1:11" x14ac:dyDescent="0.35">
      <c r="A45" s="147" t="s">
        <v>38</v>
      </c>
      <c r="B45" s="156">
        <v>107.19</v>
      </c>
      <c r="C45" s="156"/>
      <c r="D45" s="156">
        <v>566</v>
      </c>
      <c r="E45" s="156">
        <v>517</v>
      </c>
      <c r="F45" s="157">
        <f t="shared" si="28"/>
        <v>0.18938162544169612</v>
      </c>
      <c r="G45" s="157">
        <f t="shared" si="29"/>
        <v>0</v>
      </c>
      <c r="H45" s="158">
        <f t="shared" si="15"/>
        <v>-107.19</v>
      </c>
      <c r="I45" s="159">
        <f t="shared" si="0"/>
        <v>-1</v>
      </c>
      <c r="J45" s="274">
        <f t="shared" si="1"/>
        <v>-1</v>
      </c>
      <c r="K45" s="282"/>
    </row>
    <row r="46" spans="1:11" x14ac:dyDescent="0.35">
      <c r="A46" s="153" t="s">
        <v>39</v>
      </c>
      <c r="B46" s="154">
        <v>26719.730000000003</v>
      </c>
      <c r="C46" s="154">
        <f>'NAR-REPR'!D45+'PC-REPR'!D36+'LIM-REPR'!D46+'POM-REPR'!D30</f>
        <v>28470.81</v>
      </c>
      <c r="D46" s="154">
        <v>39379</v>
      </c>
      <c r="E46" s="154">
        <v>39940</v>
      </c>
      <c r="F46" s="155">
        <f t="shared" si="28"/>
        <v>0.6785273876939486</v>
      </c>
      <c r="G46" s="155">
        <f t="shared" si="29"/>
        <v>0.71283950926389583</v>
      </c>
      <c r="H46" s="154">
        <f t="shared" si="15"/>
        <v>1751.0799999999981</v>
      </c>
      <c r="I46" s="294">
        <f>IFERROR((C46/B46)-1,"")</f>
        <v>6.5535093356107854E-2</v>
      </c>
      <c r="J46" s="273">
        <f t="shared" si="1"/>
        <v>5.0568513802458082E-2</v>
      </c>
      <c r="K46" s="282"/>
    </row>
    <row r="47" spans="1:11" x14ac:dyDescent="0.35">
      <c r="A47" s="147" t="s">
        <v>39</v>
      </c>
      <c r="B47" s="156">
        <v>26719.730000000003</v>
      </c>
      <c r="C47" s="156">
        <v>28298.850000000002</v>
      </c>
      <c r="D47" s="156">
        <v>39379</v>
      </c>
      <c r="E47" s="156">
        <v>39940</v>
      </c>
      <c r="F47" s="157">
        <f t="shared" ref="F47:F48" si="30">IFERROR(B47/D47,"")</f>
        <v>0.6785273876939486</v>
      </c>
      <c r="G47" s="157">
        <f t="shared" ref="G47:G48" si="31">IFERROR(C47/E47,"")</f>
        <v>0.70853405107661493</v>
      </c>
      <c r="H47" s="158">
        <f t="shared" si="15"/>
        <v>1579.119999999999</v>
      </c>
      <c r="I47" s="159">
        <f t="shared" si="0"/>
        <v>5.9099399582256185E-2</v>
      </c>
      <c r="J47" s="274">
        <f t="shared" si="1"/>
        <v>4.4223216228083784E-2</v>
      </c>
      <c r="K47" s="282"/>
    </row>
    <row r="48" spans="1:11" x14ac:dyDescent="0.35">
      <c r="A48" s="153" t="s">
        <v>123</v>
      </c>
      <c r="B48" s="154">
        <v>0</v>
      </c>
      <c r="C48" s="154"/>
      <c r="D48" s="154">
        <v>1</v>
      </c>
      <c r="E48" s="154">
        <v>1</v>
      </c>
      <c r="F48" s="155">
        <f t="shared" si="30"/>
        <v>0</v>
      </c>
      <c r="G48" s="155">
        <f t="shared" si="31"/>
        <v>0</v>
      </c>
      <c r="H48" s="154">
        <f t="shared" si="15"/>
        <v>0</v>
      </c>
      <c r="I48" s="155" t="str">
        <f t="shared" si="0"/>
        <v/>
      </c>
      <c r="J48" s="273"/>
      <c r="K48" s="282"/>
    </row>
    <row r="49" spans="1:11" x14ac:dyDescent="0.35">
      <c r="A49" s="147" t="s">
        <v>124</v>
      </c>
      <c r="B49" s="156">
        <v>0</v>
      </c>
      <c r="C49" s="156"/>
      <c r="D49" s="156">
        <v>0</v>
      </c>
      <c r="E49" s="156"/>
      <c r="F49" s="157" t="str">
        <f t="shared" ref="F49:F51" si="32">IFERROR(B49/D49,"")</f>
        <v/>
      </c>
      <c r="G49" s="157" t="str">
        <f t="shared" ref="G49:G51" si="33">IFERROR(C49/E49,"")</f>
        <v/>
      </c>
      <c r="H49" s="158">
        <f t="shared" si="15"/>
        <v>0</v>
      </c>
      <c r="I49" s="159" t="str">
        <f t="shared" si="0"/>
        <v/>
      </c>
      <c r="J49" s="160"/>
      <c r="K49" s="282"/>
    </row>
    <row r="50" spans="1:11" x14ac:dyDescent="0.35">
      <c r="A50" s="147" t="s">
        <v>125</v>
      </c>
      <c r="B50" s="156">
        <v>0</v>
      </c>
      <c r="C50" s="156"/>
      <c r="D50" s="156">
        <v>1</v>
      </c>
      <c r="E50" s="156">
        <v>1</v>
      </c>
      <c r="F50" s="157">
        <f t="shared" si="32"/>
        <v>0</v>
      </c>
      <c r="G50" s="157">
        <f t="shared" si="33"/>
        <v>0</v>
      </c>
      <c r="H50" s="158">
        <f t="shared" si="15"/>
        <v>0</v>
      </c>
      <c r="I50" s="159" t="str">
        <f t="shared" si="0"/>
        <v/>
      </c>
      <c r="J50" s="274"/>
      <c r="K50" s="282"/>
    </row>
    <row r="51" spans="1:11" ht="15.5" x14ac:dyDescent="0.35">
      <c r="A51" s="260" t="s">
        <v>40</v>
      </c>
      <c r="B51" s="261">
        <v>215399.8600000001</v>
      </c>
      <c r="C51" s="261">
        <f>'NAR-REPR'!D47+'PC-REPR'!D38+'LIM-REPR'!D50+'POM-REPR'!D32</f>
        <v>219095.79999999996</v>
      </c>
      <c r="D51" s="261">
        <v>297969</v>
      </c>
      <c r="E51" s="261">
        <v>300504</v>
      </c>
      <c r="F51" s="262">
        <f t="shared" si="32"/>
        <v>0.72289352248052685</v>
      </c>
      <c r="G51" s="262">
        <f t="shared" si="33"/>
        <v>0.72909445464952205</v>
      </c>
      <c r="H51" s="261">
        <f t="shared" si="15"/>
        <v>3695.9399999998568</v>
      </c>
      <c r="I51" s="291">
        <f>IFERROR((C51/B51)-1,"")</f>
        <v>1.7158506973959264E-2</v>
      </c>
      <c r="J51" s="272">
        <f t="shared" si="1"/>
        <v>8.5779329543822502E-3</v>
      </c>
      <c r="K51" s="282"/>
    </row>
    <row r="52" spans="1:11" x14ac:dyDescent="0.35">
      <c r="B52" s="6"/>
      <c r="C52" s="282">
        <f>C51/B51-1</f>
        <v>1.7158506973959264E-2</v>
      </c>
      <c r="G52" s="112"/>
    </row>
    <row r="54" spans="1:11" x14ac:dyDescent="0.35">
      <c r="C54" s="6"/>
    </row>
    <row r="55" spans="1:11" x14ac:dyDescent="0.35">
      <c r="A55" s="257" t="s">
        <v>64</v>
      </c>
      <c r="B55" s="339">
        <f>'NAR-REPR'!F47</f>
        <v>143173</v>
      </c>
      <c r="C55" s="282">
        <f>B55/$B$59</f>
        <v>0.47644290924580041</v>
      </c>
    </row>
    <row r="56" spans="1:11" x14ac:dyDescent="0.35">
      <c r="A56" s="257" t="s">
        <v>70</v>
      </c>
      <c r="B56" s="339">
        <f>'PC-REPR'!F38</f>
        <v>102384</v>
      </c>
      <c r="C56" s="282">
        <f t="shared" ref="C56:C58" si="34">B56/$B$59</f>
        <v>0.3407076112131619</v>
      </c>
    </row>
    <row r="57" spans="1:11" x14ac:dyDescent="0.35">
      <c r="A57" s="257" t="s">
        <v>48</v>
      </c>
      <c r="B57" s="339">
        <f>'LIM-REPR'!F50</f>
        <v>50412</v>
      </c>
      <c r="C57" s="282">
        <f t="shared" si="34"/>
        <v>0.16775816628064852</v>
      </c>
    </row>
    <row r="58" spans="1:11" x14ac:dyDescent="0.35">
      <c r="A58" s="257" t="s">
        <v>53</v>
      </c>
      <c r="B58" s="339">
        <f>'POM-REPR'!F32</f>
        <v>2831</v>
      </c>
      <c r="C58" s="282">
        <f t="shared" si="34"/>
        <v>9.4208396560445124E-3</v>
      </c>
    </row>
    <row r="59" spans="1:11" x14ac:dyDescent="0.35">
      <c r="A59" s="269" t="s">
        <v>135</v>
      </c>
      <c r="B59" s="340">
        <f>E51</f>
        <v>300504</v>
      </c>
    </row>
    <row r="60" spans="1:11" x14ac:dyDescent="0.35">
      <c r="B60" s="6"/>
    </row>
  </sheetData>
  <mergeCells count="6">
    <mergeCell ref="J7:J8"/>
    <mergeCell ref="A7:A8"/>
    <mergeCell ref="B7:C7"/>
    <mergeCell ref="D7:E7"/>
    <mergeCell ref="F7:G7"/>
    <mergeCell ref="H7:I7"/>
  </mergeCells>
  <conditionalFormatting sqref="J10:J17 J19 J21:J23 J27 J25 J29:J32 J34:J35 J37:J40 J42 J44:J45 J47 J49:J51">
    <cfRule type="cellIs" dxfId="266" priority="27" operator="lessThan">
      <formula>0</formula>
    </cfRule>
  </conditionalFormatting>
  <conditionalFormatting sqref="H10:H17 H19 H21:H23 H25 H27 H29:H32 H34:H35 H37:H40 H42 H44:H45 H47 H49:H50">
    <cfRule type="cellIs" dxfId="265" priority="26" operator="lessThan">
      <formula>0</formula>
    </cfRule>
  </conditionalFormatting>
  <conditionalFormatting sqref="H41">
    <cfRule type="cellIs" dxfId="264" priority="24" operator="lessThan">
      <formula>0</formula>
    </cfRule>
  </conditionalFormatting>
  <conditionalFormatting sqref="I10:I17 I19 I21:I23 I25 I27 I29:I32 I49:I50 I47 I44:I45 I42 I37:I40 I34:I35">
    <cfRule type="cellIs" dxfId="263" priority="25" operator="lessThan">
      <formula>0</formula>
    </cfRule>
  </conditionalFormatting>
  <conditionalFormatting sqref="H43">
    <cfRule type="cellIs" dxfId="262" priority="23" operator="lessThan">
      <formula>0</formula>
    </cfRule>
  </conditionalFormatting>
  <conditionalFormatting sqref="H33">
    <cfRule type="cellIs" dxfId="261" priority="22" operator="lessThan">
      <formula>0</formula>
    </cfRule>
  </conditionalFormatting>
  <conditionalFormatting sqref="H28">
    <cfRule type="cellIs" dxfId="260" priority="21" operator="lessThan">
      <formula>0</formula>
    </cfRule>
  </conditionalFormatting>
  <conditionalFormatting sqref="H24">
    <cfRule type="cellIs" dxfId="259" priority="20" operator="lessThan">
      <formula>0</formula>
    </cfRule>
  </conditionalFormatting>
  <conditionalFormatting sqref="H9">
    <cfRule type="cellIs" dxfId="258" priority="19" operator="lessThan">
      <formula>0</formula>
    </cfRule>
  </conditionalFormatting>
  <conditionalFormatting sqref="J9">
    <cfRule type="cellIs" dxfId="257" priority="18" operator="lessThan">
      <formula>0</formula>
    </cfRule>
  </conditionalFormatting>
  <conditionalFormatting sqref="J18">
    <cfRule type="cellIs" dxfId="256" priority="17" operator="lessThan">
      <formula>0</formula>
    </cfRule>
  </conditionalFormatting>
  <conditionalFormatting sqref="J20">
    <cfRule type="cellIs" dxfId="255" priority="16" operator="lessThan">
      <formula>0</formula>
    </cfRule>
  </conditionalFormatting>
  <conditionalFormatting sqref="J24">
    <cfRule type="cellIs" dxfId="254" priority="15" operator="lessThan">
      <formula>0</formula>
    </cfRule>
  </conditionalFormatting>
  <conditionalFormatting sqref="J26">
    <cfRule type="cellIs" dxfId="253" priority="14" operator="lessThan">
      <formula>0</formula>
    </cfRule>
  </conditionalFormatting>
  <conditionalFormatting sqref="J28">
    <cfRule type="cellIs" dxfId="252" priority="13" operator="lessThan">
      <formula>0</formula>
    </cfRule>
  </conditionalFormatting>
  <conditionalFormatting sqref="J33">
    <cfRule type="cellIs" dxfId="251" priority="12" operator="lessThan">
      <formula>0</formula>
    </cfRule>
  </conditionalFormatting>
  <conditionalFormatting sqref="J36">
    <cfRule type="cellIs" dxfId="250" priority="11" operator="lessThan">
      <formula>0</formula>
    </cfRule>
  </conditionalFormatting>
  <conditionalFormatting sqref="J41">
    <cfRule type="cellIs" dxfId="249" priority="10" operator="lessThan">
      <formula>0</formula>
    </cfRule>
  </conditionalFormatting>
  <conditionalFormatting sqref="J43">
    <cfRule type="cellIs" dxfId="248" priority="9" operator="lessThan">
      <formula>0</formula>
    </cfRule>
  </conditionalFormatting>
  <conditionalFormatting sqref="J46">
    <cfRule type="cellIs" dxfId="247" priority="8" operator="lessThan">
      <formula>0</formula>
    </cfRule>
  </conditionalFormatting>
  <conditionalFormatting sqref="J48">
    <cfRule type="cellIs" dxfId="246" priority="7" operator="lessThan">
      <formula>0</formula>
    </cfRule>
  </conditionalFormatting>
  <conditionalFormatting sqref="I41">
    <cfRule type="cellIs" dxfId="245" priority="6" operator="lessThan">
      <formula>0</formula>
    </cfRule>
  </conditionalFormatting>
  <conditionalFormatting sqref="I43">
    <cfRule type="cellIs" dxfId="244" priority="5" operator="lessThan">
      <formula>0</formula>
    </cfRule>
  </conditionalFormatting>
  <conditionalFormatting sqref="I33">
    <cfRule type="cellIs" dxfId="243" priority="4" operator="lessThan">
      <formula>0</formula>
    </cfRule>
  </conditionalFormatting>
  <conditionalFormatting sqref="I28">
    <cfRule type="cellIs" dxfId="242" priority="3" operator="lessThan">
      <formula>0</formula>
    </cfRule>
  </conditionalFormatting>
  <conditionalFormatting sqref="I24">
    <cfRule type="cellIs" dxfId="241" priority="2" operator="lessThan">
      <formula>0</formula>
    </cfRule>
  </conditionalFormatting>
  <conditionalFormatting sqref="I20">
    <cfRule type="cellIs" dxfId="240" priority="1" operator="lessThan">
      <formula>0</formula>
    </cfRule>
  </conditionalFormatting>
  <hyperlinks>
    <hyperlink ref="B1" location="ÍNDICE!A1" display="ÍNDICE!A1" xr:uid="{2577E2AB-C61B-4054-89CB-2CBDBA35BF0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pageSetUpPr autoPageBreaks="0"/>
  </sheetPr>
  <dimension ref="A1:V43"/>
  <sheetViews>
    <sheetView zoomScaleNormal="100" workbookViewId="0">
      <selection activeCell="A26" sqref="A26"/>
    </sheetView>
  </sheetViews>
  <sheetFormatPr baseColWidth="10" defaultRowHeight="14.5" x14ac:dyDescent="0.35"/>
  <cols>
    <col min="1" max="1" width="14.7265625" bestFit="1" customWidth="1"/>
    <col min="2" max="2" width="14.7265625" customWidth="1"/>
    <col min="3" max="3" width="11.1796875" customWidth="1"/>
    <col min="4" max="4" width="14.81640625" bestFit="1" customWidth="1"/>
    <col min="5" max="5" width="10.26953125" bestFit="1" customWidth="1"/>
    <col min="6" max="6" width="14.81640625" bestFit="1" customWidth="1"/>
    <col min="7" max="7" width="11.7265625" bestFit="1" customWidth="1"/>
    <col min="8" max="8" width="14.81640625" bestFit="1" customWidth="1"/>
    <col min="9" max="9" width="10.26953125" bestFit="1" customWidth="1"/>
    <col min="10" max="10" width="14.81640625" bestFit="1" customWidth="1"/>
    <col min="11" max="11" width="10.26953125" bestFit="1" customWidth="1"/>
    <col min="12" max="12" width="14.81640625" bestFit="1" customWidth="1"/>
    <col min="13" max="13" width="11.7265625" bestFit="1" customWidth="1"/>
    <col min="14" max="14" width="14.81640625" bestFit="1" customWidth="1"/>
    <col min="15" max="15" width="10.26953125" bestFit="1" customWidth="1"/>
    <col min="16" max="16" width="11.7265625" bestFit="1" customWidth="1"/>
    <col min="17" max="18" width="6.54296875" bestFit="1" customWidth="1"/>
    <col min="19" max="19" width="11.7265625" bestFit="1" customWidth="1"/>
    <col min="20" max="20" width="5" bestFit="1" customWidth="1"/>
    <col min="21" max="21" width="5.54296875" bestFit="1" customWidth="1"/>
    <col min="22" max="22" width="11.7265625" bestFit="1" customWidth="1"/>
  </cols>
  <sheetData>
    <row r="1" spans="1:22" x14ac:dyDescent="0.35">
      <c r="A1" s="3" t="s">
        <v>72</v>
      </c>
      <c r="B1" s="48" t="s">
        <v>42</v>
      </c>
      <c r="G1" s="3" t="s">
        <v>80</v>
      </c>
      <c r="H1" s="48" t="s">
        <v>79</v>
      </c>
    </row>
    <row r="4" spans="1:22" ht="15" customHeight="1" x14ac:dyDescent="0.35"/>
    <row r="5" spans="1:22" ht="15" customHeight="1" x14ac:dyDescent="0.35"/>
    <row r="6" spans="1:22" ht="15" customHeight="1" x14ac:dyDescent="0.35">
      <c r="A6" s="140" t="s">
        <v>59</v>
      </c>
    </row>
    <row r="9" spans="1:22" x14ac:dyDescent="0.35">
      <c r="B9" s="316" t="s">
        <v>64</v>
      </c>
      <c r="C9" s="317"/>
      <c r="D9" s="318"/>
      <c r="E9" s="316" t="s">
        <v>65</v>
      </c>
      <c r="F9" s="317"/>
      <c r="G9" s="318"/>
      <c r="H9" s="316" t="s">
        <v>66</v>
      </c>
      <c r="I9" s="317"/>
      <c r="J9" s="318"/>
      <c r="K9" s="316" t="s">
        <v>67</v>
      </c>
      <c r="L9" s="317"/>
      <c r="M9" s="318"/>
      <c r="N9" s="316" t="s">
        <v>68</v>
      </c>
      <c r="O9" s="317"/>
      <c r="P9" s="318"/>
      <c r="Q9" s="316" t="s">
        <v>48</v>
      </c>
      <c r="R9" s="317"/>
      <c r="S9" s="318"/>
      <c r="T9" s="316" t="s">
        <v>53</v>
      </c>
      <c r="U9" s="317"/>
      <c r="V9" s="318"/>
    </row>
    <row r="10" spans="1:22" x14ac:dyDescent="0.35">
      <c r="B10" s="319" t="s">
        <v>54</v>
      </c>
      <c r="C10" s="320"/>
      <c r="D10" s="90" t="s">
        <v>55</v>
      </c>
      <c r="E10" s="319" t="s">
        <v>54</v>
      </c>
      <c r="F10" s="320"/>
      <c r="G10" s="90" t="s">
        <v>55</v>
      </c>
      <c r="H10" s="319" t="s">
        <v>54</v>
      </c>
      <c r="I10" s="320"/>
      <c r="J10" s="90" t="s">
        <v>55</v>
      </c>
      <c r="K10" s="319" t="s">
        <v>54</v>
      </c>
      <c r="L10" s="320"/>
      <c r="M10" s="90" t="s">
        <v>55</v>
      </c>
      <c r="N10" s="319" t="s">
        <v>54</v>
      </c>
      <c r="O10" s="320"/>
      <c r="P10" s="90" t="s">
        <v>55</v>
      </c>
      <c r="Q10" s="319" t="s">
        <v>54</v>
      </c>
      <c r="R10" s="320"/>
      <c r="S10" s="90" t="s">
        <v>55</v>
      </c>
      <c r="T10" s="319" t="s">
        <v>54</v>
      </c>
      <c r="U10" s="320"/>
      <c r="V10" s="90" t="s">
        <v>55</v>
      </c>
    </row>
    <row r="11" spans="1:22" x14ac:dyDescent="0.35">
      <c r="A11" s="104" t="s">
        <v>58</v>
      </c>
      <c r="B11" s="102" t="s">
        <v>61</v>
      </c>
      <c r="C11" s="102" t="s">
        <v>62</v>
      </c>
      <c r="D11" s="102" t="s">
        <v>4</v>
      </c>
      <c r="E11" s="102" t="s">
        <v>61</v>
      </c>
      <c r="F11" s="102" t="s">
        <v>62</v>
      </c>
      <c r="G11" s="102" t="s">
        <v>4</v>
      </c>
      <c r="H11" s="102" t="s">
        <v>61</v>
      </c>
      <c r="I11" s="102" t="s">
        <v>62</v>
      </c>
      <c r="J11" s="102" t="s">
        <v>4</v>
      </c>
      <c r="K11" s="102" t="s">
        <v>61</v>
      </c>
      <c r="L11" s="102" t="s">
        <v>62</v>
      </c>
      <c r="M11" s="102" t="s">
        <v>4</v>
      </c>
      <c r="N11" s="102" t="s">
        <v>61</v>
      </c>
      <c r="O11" s="102" t="s">
        <v>62</v>
      </c>
      <c r="P11" s="102" t="s">
        <v>4</v>
      </c>
      <c r="Q11" s="102" t="s">
        <v>61</v>
      </c>
      <c r="R11" s="102" t="s">
        <v>62</v>
      </c>
      <c r="S11" s="102" t="s">
        <v>4</v>
      </c>
      <c r="T11" s="102" t="s">
        <v>61</v>
      </c>
      <c r="U11" s="102" t="s">
        <v>62</v>
      </c>
      <c r="V11" s="103" t="s">
        <v>4</v>
      </c>
    </row>
    <row r="12" spans="1:22" x14ac:dyDescent="0.35">
      <c r="A12" s="117" t="s">
        <v>6</v>
      </c>
      <c r="B12" s="18">
        <v>50354.649999999994</v>
      </c>
      <c r="C12" s="19">
        <v>51387.970000000008</v>
      </c>
      <c r="D12" s="20">
        <f>(C12/B12)-1</f>
        <v>2.0520845641862628E-2</v>
      </c>
      <c r="E12" s="18">
        <v>2491.0700000000002</v>
      </c>
      <c r="F12" s="19">
        <v>2493.0999999999995</v>
      </c>
      <c r="G12" s="21">
        <f>(F12/E12)-1</f>
        <v>8.1491086159735104E-4</v>
      </c>
      <c r="H12" s="18">
        <v>6525.61</v>
      </c>
      <c r="I12" s="19">
        <v>6368.89</v>
      </c>
      <c r="J12" s="22">
        <f>(I12/H12)-1</f>
        <v>-2.4016145617038021E-2</v>
      </c>
      <c r="K12" s="18">
        <v>4923.4400000000005</v>
      </c>
      <c r="L12" s="19">
        <v>5484.36</v>
      </c>
      <c r="M12" s="22">
        <f>(L12/K12)-1</f>
        <v>0.11392847277513263</v>
      </c>
      <c r="N12" s="2">
        <v>136.25</v>
      </c>
      <c r="O12" s="2">
        <v>88.9</v>
      </c>
      <c r="P12" s="22">
        <f>(O12/N12)-1</f>
        <v>-0.34752293577981652</v>
      </c>
      <c r="Q12" s="9">
        <v>3283.02</v>
      </c>
      <c r="R12" s="9">
        <v>3956.2400000000007</v>
      </c>
      <c r="S12" s="22">
        <f>(R12/Q12)-1</f>
        <v>0.20506119365705988</v>
      </c>
      <c r="T12" s="18">
        <v>753.16</v>
      </c>
      <c r="U12" s="19">
        <v>853.76</v>
      </c>
      <c r="V12" s="22">
        <f>(U12/T12)-1</f>
        <v>0.13357055605714585</v>
      </c>
    </row>
    <row r="13" spans="1:22" x14ac:dyDescent="0.35">
      <c r="A13" s="14" t="s">
        <v>49</v>
      </c>
      <c r="B13" s="9"/>
      <c r="C13" s="2"/>
      <c r="D13" s="23"/>
      <c r="E13" s="9"/>
      <c r="F13" s="2"/>
      <c r="G13" s="24"/>
      <c r="H13" s="9"/>
      <c r="I13" s="2"/>
      <c r="J13" s="24"/>
      <c r="K13" s="9"/>
      <c r="L13" s="2"/>
      <c r="M13" s="24"/>
      <c r="N13" s="9"/>
      <c r="O13" s="2"/>
      <c r="P13" s="24"/>
      <c r="Q13" s="25">
        <v>0.13</v>
      </c>
      <c r="R13" s="25">
        <v>0.13</v>
      </c>
      <c r="S13" s="24">
        <f t="shared" ref="S13:S21" si="0">(R13/Q13)-1</f>
        <v>0</v>
      </c>
      <c r="T13" s="9"/>
      <c r="U13" s="2"/>
      <c r="V13" s="24"/>
    </row>
    <row r="14" spans="1:22" x14ac:dyDescent="0.35">
      <c r="A14" s="14" t="s">
        <v>15</v>
      </c>
      <c r="B14" s="26">
        <v>0.18</v>
      </c>
      <c r="C14" s="26">
        <v>0.18</v>
      </c>
      <c r="D14" s="23">
        <f t="shared" ref="D14:D21" si="1">(C14/B14)-1</f>
        <v>0</v>
      </c>
      <c r="E14" s="9"/>
      <c r="F14" s="2"/>
      <c r="G14" s="24"/>
      <c r="H14" s="9"/>
      <c r="I14" s="2"/>
      <c r="J14" s="24"/>
      <c r="K14" s="9"/>
      <c r="L14" s="2"/>
      <c r="M14" s="24"/>
      <c r="N14" s="9"/>
      <c r="O14" s="2"/>
      <c r="P14" s="24"/>
      <c r="Q14" s="25">
        <v>0.05</v>
      </c>
      <c r="R14" s="25">
        <v>7.0000000000000007E-2</v>
      </c>
      <c r="S14" s="24">
        <f t="shared" si="0"/>
        <v>0.40000000000000013</v>
      </c>
      <c r="T14" s="9"/>
      <c r="U14" s="2"/>
      <c r="V14" s="24"/>
    </row>
    <row r="15" spans="1:22" x14ac:dyDescent="0.35">
      <c r="A15" s="14" t="s">
        <v>16</v>
      </c>
      <c r="B15" s="9">
        <v>48576.2</v>
      </c>
      <c r="C15" s="2">
        <v>48693.510000000009</v>
      </c>
      <c r="D15" s="27">
        <f t="shared" si="1"/>
        <v>2.4149686471979237E-3</v>
      </c>
      <c r="E15" s="9">
        <v>33532.170000000006</v>
      </c>
      <c r="F15" s="2">
        <v>32604.800000000014</v>
      </c>
      <c r="G15" s="24">
        <f t="shared" ref="G15:G21" si="2">(F15/E15)-1</f>
        <v>-2.7656128428311999E-2</v>
      </c>
      <c r="H15" s="9">
        <v>660.13</v>
      </c>
      <c r="I15" s="2">
        <v>666.05</v>
      </c>
      <c r="J15" s="28">
        <f t="shared" ref="J15:J21" si="3">(I15/H15)-1</f>
        <v>8.9679305591321423E-3</v>
      </c>
      <c r="K15" s="9">
        <v>14284.490000000002</v>
      </c>
      <c r="L15" s="2">
        <v>14803.680000000004</v>
      </c>
      <c r="M15" s="24">
        <f t="shared" ref="M15:M21" si="4">(L15/K15)-1</f>
        <v>3.634641488775614E-2</v>
      </c>
      <c r="N15" s="9">
        <v>4426.75</v>
      </c>
      <c r="O15" s="2">
        <v>4018.75</v>
      </c>
      <c r="P15" s="24">
        <f t="shared" ref="P15:P21" si="5">(O15/N15)-1</f>
        <v>-9.2166939628395506E-2</v>
      </c>
      <c r="Q15" s="9">
        <v>9249.23</v>
      </c>
      <c r="R15" s="2">
        <v>10106.670000000002</v>
      </c>
      <c r="S15" s="24">
        <f t="shared" si="0"/>
        <v>9.2703933192276766E-2</v>
      </c>
      <c r="T15" s="9">
        <v>459.25999999999988</v>
      </c>
      <c r="U15" s="2">
        <v>490.84999999999991</v>
      </c>
      <c r="V15" s="24">
        <f t="shared" ref="V15:V21" si="6">(U15/T15)-1</f>
        <v>6.878456647650566E-2</v>
      </c>
    </row>
    <row r="16" spans="1:22" x14ac:dyDescent="0.35">
      <c r="A16" s="14" t="s">
        <v>20</v>
      </c>
      <c r="B16" s="26">
        <v>0.08</v>
      </c>
      <c r="C16" s="9">
        <v>0</v>
      </c>
      <c r="D16" s="23">
        <f t="shared" si="1"/>
        <v>-1</v>
      </c>
      <c r="E16" s="9"/>
      <c r="F16" s="29"/>
      <c r="G16" s="24"/>
      <c r="H16" s="26">
        <v>0.08</v>
      </c>
      <c r="I16" s="2"/>
      <c r="J16" s="24">
        <f t="shared" si="3"/>
        <v>-1</v>
      </c>
      <c r="K16" s="9"/>
      <c r="L16" s="2"/>
      <c r="M16" s="24"/>
      <c r="N16" s="9"/>
      <c r="O16" s="2"/>
      <c r="P16" s="24"/>
      <c r="Q16" s="25">
        <v>0.42000000000000004</v>
      </c>
      <c r="R16" s="25">
        <v>0.15</v>
      </c>
      <c r="S16" s="24">
        <f t="shared" si="0"/>
        <v>-0.6428571428571429</v>
      </c>
      <c r="T16" s="26">
        <v>7.0000000000000007E-2</v>
      </c>
      <c r="U16" s="29"/>
      <c r="V16" s="24">
        <f t="shared" si="6"/>
        <v>-1</v>
      </c>
    </row>
    <row r="17" spans="1:22" x14ac:dyDescent="0.35">
      <c r="A17" s="14" t="s">
        <v>23</v>
      </c>
      <c r="B17" s="9">
        <v>1918.6299999999981</v>
      </c>
      <c r="C17" s="2">
        <v>1917.8899999999999</v>
      </c>
      <c r="D17" s="23">
        <f t="shared" si="1"/>
        <v>-3.8569187388826087E-4</v>
      </c>
      <c r="E17" s="9">
        <v>5577.0699999999979</v>
      </c>
      <c r="F17" s="2">
        <v>5336.9300000000012</v>
      </c>
      <c r="G17" s="24">
        <f t="shared" si="2"/>
        <v>-4.3058451839406153E-2</v>
      </c>
      <c r="H17" s="9">
        <v>2.86</v>
      </c>
      <c r="I17" s="2">
        <v>1.8</v>
      </c>
      <c r="J17" s="24">
        <f t="shared" si="3"/>
        <v>-0.37062937062937062</v>
      </c>
      <c r="K17" s="9">
        <v>239.4199999999999</v>
      </c>
      <c r="L17" s="2">
        <v>264.36</v>
      </c>
      <c r="M17" s="24">
        <f t="shared" si="4"/>
        <v>0.10416840698354402</v>
      </c>
      <c r="N17" s="9">
        <v>162.59999999999994</v>
      </c>
      <c r="O17" s="2">
        <v>130.97</v>
      </c>
      <c r="P17" s="24">
        <f t="shared" si="5"/>
        <v>-0.1945264452644524</v>
      </c>
      <c r="Q17" s="9">
        <v>33.590000000000011</v>
      </c>
      <c r="R17" s="2">
        <v>32.409999999999997</v>
      </c>
      <c r="S17" s="24">
        <f t="shared" si="0"/>
        <v>-3.5129502828223136E-2</v>
      </c>
      <c r="T17" s="9">
        <v>2.02</v>
      </c>
      <c r="U17" s="29">
        <v>2</v>
      </c>
      <c r="V17" s="24">
        <f t="shared" si="6"/>
        <v>-9.9009900990099098E-3</v>
      </c>
    </row>
    <row r="18" spans="1:22" x14ac:dyDescent="0.35">
      <c r="A18" s="14" t="s">
        <v>27</v>
      </c>
      <c r="B18" s="9">
        <v>71.69</v>
      </c>
      <c r="C18" s="2">
        <v>55.709999999999994</v>
      </c>
      <c r="D18" s="23">
        <f t="shared" si="1"/>
        <v>-0.2229041707351096</v>
      </c>
      <c r="E18" s="26">
        <v>0.1</v>
      </c>
      <c r="F18" s="30">
        <v>0.1</v>
      </c>
      <c r="G18" s="24">
        <f t="shared" si="2"/>
        <v>0</v>
      </c>
      <c r="H18" s="9">
        <v>6.51</v>
      </c>
      <c r="I18" s="2">
        <v>6.55</v>
      </c>
      <c r="J18" s="24">
        <f t="shared" si="3"/>
        <v>6.1443932411673341E-3</v>
      </c>
      <c r="K18" s="9">
        <v>1</v>
      </c>
      <c r="L18" s="30">
        <v>0.43</v>
      </c>
      <c r="M18" s="24">
        <f t="shared" si="4"/>
        <v>-0.57000000000000006</v>
      </c>
      <c r="N18" s="9"/>
      <c r="O18" s="2"/>
      <c r="P18" s="24"/>
      <c r="Q18" s="9">
        <v>0.8</v>
      </c>
      <c r="R18" s="2">
        <v>0.84000000000000008</v>
      </c>
      <c r="S18" s="24">
        <f t="shared" si="0"/>
        <v>5.0000000000000044E-2</v>
      </c>
      <c r="T18" s="9"/>
      <c r="U18" s="2"/>
      <c r="V18" s="24"/>
    </row>
    <row r="19" spans="1:22" x14ac:dyDescent="0.35">
      <c r="A19" s="14" t="s">
        <v>30</v>
      </c>
      <c r="B19" s="26">
        <v>0.06</v>
      </c>
      <c r="C19" s="30">
        <v>0.05</v>
      </c>
      <c r="D19" s="23">
        <f t="shared" si="1"/>
        <v>-0.16666666666666663</v>
      </c>
      <c r="E19" s="9"/>
      <c r="F19" s="2"/>
      <c r="G19" s="24"/>
      <c r="H19" s="9"/>
      <c r="I19" s="2"/>
      <c r="J19" s="24"/>
      <c r="K19" s="9"/>
      <c r="L19" s="2"/>
      <c r="M19" s="24"/>
      <c r="N19" s="9"/>
      <c r="O19" s="2"/>
      <c r="P19" s="24"/>
      <c r="Q19" s="26">
        <v>0.02</v>
      </c>
      <c r="R19" s="30">
        <v>0.08</v>
      </c>
      <c r="S19" s="24">
        <f t="shared" si="0"/>
        <v>3</v>
      </c>
      <c r="T19" s="9"/>
      <c r="U19" s="2"/>
      <c r="V19" s="24"/>
    </row>
    <row r="20" spans="1:22" x14ac:dyDescent="0.35">
      <c r="A20" s="14" t="s">
        <v>35</v>
      </c>
      <c r="B20" s="31">
        <v>704.70999999999992</v>
      </c>
      <c r="C20" s="2">
        <v>668.97</v>
      </c>
      <c r="D20" s="23">
        <f t="shared" si="1"/>
        <v>-5.0715897319464576E-2</v>
      </c>
      <c r="E20" s="32">
        <v>20.059999999999999</v>
      </c>
      <c r="F20" s="2">
        <v>42.34</v>
      </c>
      <c r="G20" s="33">
        <f t="shared" si="2"/>
        <v>1.1106679960119643</v>
      </c>
      <c r="H20" s="34">
        <v>4.88</v>
      </c>
      <c r="I20" s="2">
        <v>9.65</v>
      </c>
      <c r="J20" s="33">
        <f t="shared" si="3"/>
        <v>0.97745901639344268</v>
      </c>
      <c r="K20" s="34">
        <v>1.7400000000000002</v>
      </c>
      <c r="L20" s="30">
        <v>0.42</v>
      </c>
      <c r="M20" s="24">
        <f t="shared" si="4"/>
        <v>-0.75862068965517249</v>
      </c>
      <c r="N20" s="25">
        <v>0.22</v>
      </c>
      <c r="O20" s="29"/>
      <c r="P20" s="24">
        <f t="shared" si="5"/>
        <v>-1</v>
      </c>
      <c r="Q20" s="32">
        <v>47.650000000000006</v>
      </c>
      <c r="R20" s="2">
        <v>51.81</v>
      </c>
      <c r="S20" s="24">
        <f t="shared" si="0"/>
        <v>8.7303252885624349E-2</v>
      </c>
      <c r="T20" s="26">
        <v>0.29000000000000004</v>
      </c>
      <c r="U20" s="2">
        <v>0.77</v>
      </c>
      <c r="V20" s="24">
        <f t="shared" si="6"/>
        <v>1.6551724137931032</v>
      </c>
    </row>
    <row r="21" spans="1:22" x14ac:dyDescent="0.35">
      <c r="A21" s="15" t="s">
        <v>39</v>
      </c>
      <c r="B21" s="35">
        <v>5401.0300000000007</v>
      </c>
      <c r="C21" s="36">
        <v>5274.1500000000015</v>
      </c>
      <c r="D21" s="37">
        <f t="shared" si="1"/>
        <v>-2.3491815450015885E-2</v>
      </c>
      <c r="E21" s="38">
        <v>1572.6799999999998</v>
      </c>
      <c r="F21" s="36">
        <v>1670.71</v>
      </c>
      <c r="G21" s="39">
        <f t="shared" si="2"/>
        <v>6.2333087468525283E-2</v>
      </c>
      <c r="H21" s="38">
        <v>3150.3200000000006</v>
      </c>
      <c r="I21" s="36">
        <v>2805.65</v>
      </c>
      <c r="J21" s="39">
        <f t="shared" si="3"/>
        <v>-0.10940793316234554</v>
      </c>
      <c r="K21" s="38">
        <v>1193.08</v>
      </c>
      <c r="L21" s="36">
        <v>1632.4799999999998</v>
      </c>
      <c r="M21" s="39">
        <f t="shared" si="4"/>
        <v>0.36829047507292034</v>
      </c>
      <c r="N21" s="38">
        <v>60.42</v>
      </c>
      <c r="O21" s="36">
        <v>42.519999999999996</v>
      </c>
      <c r="P21" s="39">
        <f t="shared" si="5"/>
        <v>-0.29625951671631923</v>
      </c>
      <c r="Q21" s="38">
        <v>14484.839999999998</v>
      </c>
      <c r="R21" s="36">
        <v>15894.83</v>
      </c>
      <c r="S21" s="39">
        <f t="shared" si="0"/>
        <v>9.7342462878430291E-2</v>
      </c>
      <c r="T21" s="38">
        <v>857.36</v>
      </c>
      <c r="U21" s="36">
        <v>978.51</v>
      </c>
      <c r="V21" s="40">
        <f t="shared" si="6"/>
        <v>0.1413058691798077</v>
      </c>
    </row>
    <row r="22" spans="1:22" x14ac:dyDescent="0.35">
      <c r="A22" s="16" t="s">
        <v>40</v>
      </c>
      <c r="B22" s="31"/>
      <c r="C22" s="41">
        <f>SUBTOTAL(109,Tabla1[2021])</f>
        <v>107998.43000000002</v>
      </c>
      <c r="D22" s="42"/>
      <c r="E22" s="43"/>
      <c r="F22" s="41">
        <f>SUBTOTAL(109,Tabla2[2021])</f>
        <v>42147.98000000001</v>
      </c>
      <c r="G22" s="44"/>
      <c r="H22" s="45"/>
      <c r="I22" s="41">
        <f>SUBTOTAL(109,Tabla3[2021])</f>
        <v>9858.59</v>
      </c>
      <c r="J22" s="44"/>
      <c r="K22" s="45"/>
      <c r="L22" s="41">
        <f>SUBTOTAL(109,Tabla6[2021])</f>
        <v>22185.730000000003</v>
      </c>
      <c r="M22" s="42"/>
      <c r="N22" s="43"/>
      <c r="O22" s="41">
        <f>SUBTOTAL(109,Tabla7[2021])</f>
        <v>4281.1400000000003</v>
      </c>
      <c r="P22" s="42"/>
      <c r="Q22" s="43"/>
      <c r="R22" s="41">
        <f>SUBTOTAL(109,Tabla16[2021])</f>
        <v>30043.230000000003</v>
      </c>
      <c r="S22" s="42"/>
      <c r="T22" s="46"/>
      <c r="U22" s="41">
        <f>SUBTOTAL(109,Tabla17[2021])</f>
        <v>2325.89</v>
      </c>
      <c r="V22" s="47"/>
    </row>
    <row r="23" spans="1:22" x14ac:dyDescent="0.35">
      <c r="A23" s="17" t="s">
        <v>69</v>
      </c>
    </row>
    <row r="27" spans="1:22" ht="15.5" x14ac:dyDescent="0.35">
      <c r="A27" s="140" t="s">
        <v>57</v>
      </c>
    </row>
    <row r="30" spans="1:22" ht="15.5" x14ac:dyDescent="0.35">
      <c r="A30" s="8"/>
      <c r="B30" s="316" t="s">
        <v>64</v>
      </c>
      <c r="C30" s="318"/>
      <c r="D30" s="316" t="s">
        <v>65</v>
      </c>
      <c r="E30" s="318"/>
      <c r="F30" s="316" t="s">
        <v>66</v>
      </c>
      <c r="G30" s="318"/>
      <c r="H30" s="316" t="s">
        <v>107</v>
      </c>
      <c r="I30" s="318"/>
      <c r="J30" s="316" t="s">
        <v>68</v>
      </c>
      <c r="K30" s="318"/>
      <c r="L30" s="316" t="s">
        <v>48</v>
      </c>
      <c r="M30" s="318"/>
      <c r="N30" s="316" t="s">
        <v>53</v>
      </c>
      <c r="O30" s="318"/>
    </row>
    <row r="31" spans="1:22" ht="29" x14ac:dyDescent="0.35">
      <c r="A31" s="88" t="s">
        <v>58</v>
      </c>
      <c r="B31" s="105" t="s">
        <v>56</v>
      </c>
      <c r="C31" s="106" t="s">
        <v>60</v>
      </c>
      <c r="D31" s="105" t="s">
        <v>56</v>
      </c>
      <c r="E31" s="106" t="s">
        <v>60</v>
      </c>
      <c r="F31" s="105" t="s">
        <v>56</v>
      </c>
      <c r="G31" s="106" t="s">
        <v>60</v>
      </c>
      <c r="H31" s="105" t="s">
        <v>56</v>
      </c>
      <c r="I31" s="106" t="s">
        <v>60</v>
      </c>
      <c r="J31" s="105" t="s">
        <v>56</v>
      </c>
      <c r="K31" s="106" t="s">
        <v>60</v>
      </c>
      <c r="L31" s="106" t="s">
        <v>56</v>
      </c>
      <c r="M31" s="106" t="s">
        <v>60</v>
      </c>
      <c r="N31" s="105" t="s">
        <v>56</v>
      </c>
      <c r="O31" s="107" t="s">
        <v>60</v>
      </c>
    </row>
    <row r="32" spans="1:22" x14ac:dyDescent="0.35">
      <c r="A32" s="78" t="s">
        <v>6</v>
      </c>
      <c r="B32" s="65">
        <v>51387.970000000008</v>
      </c>
      <c r="C32" s="66">
        <v>36.429999999999993</v>
      </c>
      <c r="D32" s="65">
        <v>2493.0999999999995</v>
      </c>
      <c r="E32" s="67">
        <v>0.09</v>
      </c>
      <c r="F32" s="65">
        <v>6368.89</v>
      </c>
      <c r="G32" s="67">
        <v>13.88</v>
      </c>
      <c r="H32" s="65">
        <v>5484.36</v>
      </c>
      <c r="I32" s="67">
        <v>0.28999999999999998</v>
      </c>
      <c r="J32" s="65">
        <v>88.9</v>
      </c>
      <c r="K32" s="67"/>
      <c r="L32" s="65">
        <v>3956.2400000000007</v>
      </c>
      <c r="M32" s="66">
        <v>2.96</v>
      </c>
      <c r="N32" s="65">
        <v>853.76</v>
      </c>
      <c r="O32" s="68">
        <v>0.23</v>
      </c>
    </row>
    <row r="33" spans="1:15" x14ac:dyDescent="0.35">
      <c r="A33" s="78" t="s">
        <v>49</v>
      </c>
      <c r="B33" s="69"/>
      <c r="C33" s="70"/>
      <c r="D33" s="69"/>
      <c r="E33" s="70"/>
      <c r="F33" s="69"/>
      <c r="G33" s="70"/>
      <c r="H33" s="69"/>
      <c r="I33" s="70"/>
      <c r="J33" s="69"/>
      <c r="K33" s="70"/>
      <c r="L33" s="69">
        <v>0.13</v>
      </c>
      <c r="M33" s="70"/>
      <c r="N33" s="69"/>
      <c r="O33" s="71"/>
    </row>
    <row r="34" spans="1:15" x14ac:dyDescent="0.35">
      <c r="A34" s="78" t="s">
        <v>15</v>
      </c>
      <c r="B34" s="72">
        <v>0.18</v>
      </c>
      <c r="C34" s="70">
        <v>0.18</v>
      </c>
      <c r="D34" s="72"/>
      <c r="E34" s="70"/>
      <c r="F34" s="72"/>
      <c r="G34" s="70"/>
      <c r="H34" s="72"/>
      <c r="I34" s="70"/>
      <c r="J34" s="72"/>
      <c r="K34" s="70"/>
      <c r="L34" s="72">
        <v>7.0000000000000007E-2</v>
      </c>
      <c r="M34" s="70">
        <v>0.02</v>
      </c>
      <c r="N34" s="72"/>
      <c r="O34" s="71"/>
    </row>
    <row r="35" spans="1:15" x14ac:dyDescent="0.35">
      <c r="A35" s="78" t="s">
        <v>16</v>
      </c>
      <c r="B35" s="69">
        <v>48693.510000000009</v>
      </c>
      <c r="C35" s="70">
        <v>85.41</v>
      </c>
      <c r="D35" s="69">
        <v>32604.800000000014</v>
      </c>
      <c r="E35" s="70">
        <v>27.79</v>
      </c>
      <c r="F35" s="69">
        <v>666.05</v>
      </c>
      <c r="G35" s="70">
        <v>3</v>
      </c>
      <c r="H35" s="69">
        <v>14803.680000000004</v>
      </c>
      <c r="I35" s="70">
        <v>12.16</v>
      </c>
      <c r="J35" s="69">
        <v>4018.75</v>
      </c>
      <c r="K35" s="70">
        <v>17.45</v>
      </c>
      <c r="L35" s="69">
        <v>10106.670000000002</v>
      </c>
      <c r="M35" s="70">
        <v>30.33</v>
      </c>
      <c r="N35" s="69">
        <v>490.84999999999991</v>
      </c>
      <c r="O35" s="71">
        <v>0.65</v>
      </c>
    </row>
    <row r="36" spans="1:15" x14ac:dyDescent="0.35">
      <c r="A36" s="78" t="s">
        <v>20</v>
      </c>
      <c r="B36" s="73">
        <v>0</v>
      </c>
      <c r="C36" s="70"/>
      <c r="D36" s="73"/>
      <c r="E36" s="70"/>
      <c r="F36" s="73"/>
      <c r="G36" s="70"/>
      <c r="H36" s="73"/>
      <c r="I36" s="70"/>
      <c r="J36" s="73"/>
      <c r="K36" s="70"/>
      <c r="L36" s="73">
        <v>0.15</v>
      </c>
      <c r="M36" s="70">
        <v>0.15</v>
      </c>
      <c r="N36" s="73"/>
      <c r="O36" s="71"/>
    </row>
    <row r="37" spans="1:15" x14ac:dyDescent="0.35">
      <c r="A37" s="78" t="s">
        <v>23</v>
      </c>
      <c r="B37" s="69">
        <v>1917.8899999999999</v>
      </c>
      <c r="C37" s="74"/>
      <c r="D37" s="69">
        <v>5336.9300000000012</v>
      </c>
      <c r="E37" s="74">
        <v>7.0000000000000007E-2</v>
      </c>
      <c r="F37" s="69">
        <v>1.8</v>
      </c>
      <c r="G37" s="74"/>
      <c r="H37" s="69">
        <v>264.36</v>
      </c>
      <c r="I37" s="74"/>
      <c r="J37" s="69">
        <v>130.97</v>
      </c>
      <c r="K37" s="74"/>
      <c r="L37" s="69">
        <v>32.409999999999997</v>
      </c>
      <c r="M37" s="74"/>
      <c r="N37" s="69">
        <v>2</v>
      </c>
      <c r="O37" s="75"/>
    </row>
    <row r="38" spans="1:15" x14ac:dyDescent="0.35">
      <c r="A38" s="78" t="s">
        <v>27</v>
      </c>
      <c r="B38" s="76">
        <v>55.709999999999994</v>
      </c>
      <c r="C38" s="70">
        <v>0.64</v>
      </c>
      <c r="D38" s="76">
        <v>0.1</v>
      </c>
      <c r="E38" s="70"/>
      <c r="F38" s="76">
        <v>6.55</v>
      </c>
      <c r="G38" s="70">
        <v>0.08</v>
      </c>
      <c r="H38" s="76">
        <v>0.43</v>
      </c>
      <c r="I38" s="70"/>
      <c r="J38" s="76"/>
      <c r="K38" s="70"/>
      <c r="L38" s="76">
        <v>0.84000000000000008</v>
      </c>
      <c r="M38" s="70">
        <v>0.04</v>
      </c>
      <c r="N38" s="76"/>
      <c r="O38" s="71"/>
    </row>
    <row r="39" spans="1:15" x14ac:dyDescent="0.35">
      <c r="A39" s="78" t="s">
        <v>30</v>
      </c>
      <c r="B39" s="69">
        <v>0.05</v>
      </c>
      <c r="C39" s="70"/>
      <c r="D39" s="69"/>
      <c r="E39" s="70"/>
      <c r="F39" s="69"/>
      <c r="G39" s="70"/>
      <c r="H39" s="69"/>
      <c r="I39" s="70"/>
      <c r="J39" s="69"/>
      <c r="K39" s="70"/>
      <c r="L39" s="69">
        <v>0.08</v>
      </c>
      <c r="M39" s="70">
        <v>0.02</v>
      </c>
      <c r="N39" s="69"/>
      <c r="O39" s="71"/>
    </row>
    <row r="40" spans="1:15" x14ac:dyDescent="0.35">
      <c r="A40" s="78" t="s">
        <v>35</v>
      </c>
      <c r="B40" s="69">
        <v>668.97</v>
      </c>
      <c r="C40" s="70">
        <v>9.16</v>
      </c>
      <c r="D40" s="69">
        <v>42.34</v>
      </c>
      <c r="E40" s="74">
        <v>0.1</v>
      </c>
      <c r="F40" s="69">
        <v>9.65</v>
      </c>
      <c r="G40" s="74">
        <v>0.4</v>
      </c>
      <c r="H40" s="69">
        <v>0.42</v>
      </c>
      <c r="I40" s="74"/>
      <c r="J40" s="69"/>
      <c r="K40" s="74"/>
      <c r="L40" s="69">
        <v>51.81</v>
      </c>
      <c r="M40" s="74">
        <v>0.45</v>
      </c>
      <c r="N40" s="69">
        <v>0.77</v>
      </c>
      <c r="O40" s="75">
        <v>0.1</v>
      </c>
    </row>
    <row r="41" spans="1:15" x14ac:dyDescent="0.35">
      <c r="A41" s="78" t="s">
        <v>39</v>
      </c>
      <c r="B41" s="77">
        <v>5274.1500000000015</v>
      </c>
      <c r="C41" s="62">
        <v>14.49</v>
      </c>
      <c r="D41" s="77">
        <v>1670.71</v>
      </c>
      <c r="E41" s="62">
        <v>12.97</v>
      </c>
      <c r="F41" s="77">
        <v>2805.65</v>
      </c>
      <c r="G41" s="62">
        <v>2.31</v>
      </c>
      <c r="H41" s="77">
        <v>1632.4799999999998</v>
      </c>
      <c r="I41" s="62">
        <v>7.81</v>
      </c>
      <c r="J41" s="77">
        <v>42.519999999999996</v>
      </c>
      <c r="K41" s="62"/>
      <c r="L41" s="77">
        <v>15894.83</v>
      </c>
      <c r="M41" s="62">
        <v>90.74</v>
      </c>
      <c r="N41" s="77">
        <v>978.51</v>
      </c>
      <c r="O41" s="64">
        <v>0.89</v>
      </c>
    </row>
    <row r="42" spans="1:15" x14ac:dyDescent="0.35">
      <c r="B42" s="114"/>
      <c r="C42" s="113">
        <f>SUM(C32:C41)</f>
        <v>146.31</v>
      </c>
      <c r="D42" s="113"/>
      <c r="E42" s="113">
        <f>SUM(E32:E41)</f>
        <v>41.02</v>
      </c>
      <c r="F42" s="113"/>
      <c r="G42" s="113">
        <f>SUM(G32:G41)</f>
        <v>19.669999999999998</v>
      </c>
      <c r="H42" s="113"/>
      <c r="I42" s="113">
        <f>SUM(I32:I41)</f>
        <v>20.259999999999998</v>
      </c>
      <c r="J42" s="113"/>
      <c r="K42" s="113">
        <f>SUM(K32:K41)</f>
        <v>17.45</v>
      </c>
      <c r="L42" s="113"/>
      <c r="M42" s="113">
        <f>SUM(M32:M41)</f>
        <v>124.71</v>
      </c>
      <c r="N42" s="113"/>
      <c r="O42" s="115">
        <f>SUM(O32:O41)</f>
        <v>1.87</v>
      </c>
    </row>
    <row r="43" spans="1:15" x14ac:dyDescent="0.35">
      <c r="C43" s="4"/>
    </row>
  </sheetData>
  <mergeCells count="21">
    <mergeCell ref="L30:M30"/>
    <mergeCell ref="N30:O30"/>
    <mergeCell ref="B30:C30"/>
    <mergeCell ref="D30:E30"/>
    <mergeCell ref="F30:G30"/>
    <mergeCell ref="H30:I30"/>
    <mergeCell ref="J30:K30"/>
    <mergeCell ref="B10:C10"/>
    <mergeCell ref="B9:D9"/>
    <mergeCell ref="E9:G9"/>
    <mergeCell ref="E10:F10"/>
    <mergeCell ref="Q9:S9"/>
    <mergeCell ref="Q10:R10"/>
    <mergeCell ref="T9:V9"/>
    <mergeCell ref="T10:U10"/>
    <mergeCell ref="H9:J9"/>
    <mergeCell ref="H10:I10"/>
    <mergeCell ref="K9:M9"/>
    <mergeCell ref="K10:L10"/>
    <mergeCell ref="N9:P9"/>
    <mergeCell ref="N10:O10"/>
  </mergeCells>
  <conditionalFormatting sqref="D12:D21">
    <cfRule type="cellIs" dxfId="239" priority="11" operator="lessThan">
      <formula>0</formula>
    </cfRule>
  </conditionalFormatting>
  <conditionalFormatting sqref="V12:V21">
    <cfRule type="cellIs" dxfId="238" priority="1" operator="lessThan">
      <formula>0</formula>
    </cfRule>
  </conditionalFormatting>
  <conditionalFormatting sqref="G12:G21">
    <cfRule type="cellIs" dxfId="237" priority="9" operator="lessThan">
      <formula>0</formula>
    </cfRule>
  </conditionalFormatting>
  <conditionalFormatting sqref="J12:J21">
    <cfRule type="cellIs" dxfId="236" priority="8" operator="lessThan">
      <formula>0</formula>
    </cfRule>
  </conditionalFormatting>
  <conditionalFormatting sqref="M12:M21">
    <cfRule type="cellIs" dxfId="235" priority="6" operator="lessThan">
      <formula>0</formula>
    </cfRule>
  </conditionalFormatting>
  <conditionalFormatting sqref="P12:P21">
    <cfRule type="cellIs" dxfId="234" priority="5" operator="lessThan">
      <formula>0</formula>
    </cfRule>
  </conditionalFormatting>
  <conditionalFormatting sqref="S12:S21">
    <cfRule type="cellIs" dxfId="233" priority="3" operator="lessThan">
      <formula>0</formula>
    </cfRule>
  </conditionalFormatting>
  <hyperlinks>
    <hyperlink ref="B1" r:id="rId1" xr:uid="{00000000-0004-0000-0200-000000000000}"/>
    <hyperlink ref="H1" location="ÍNDICE!A1" display="ÍNDICE!A1" xr:uid="{00000000-0004-0000-0200-000001000000}"/>
  </hyperlinks>
  <pageMargins left="0.7" right="0.7" top="0.75" bottom="0.75" header="0.3" footer="0.3"/>
  <pageSetup paperSize="9" orientation="portrait"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autoPageBreaks="0"/>
  </sheetPr>
  <dimension ref="A1:CC56"/>
  <sheetViews>
    <sheetView topLeftCell="K31" zoomScale="80" zoomScaleNormal="80" workbookViewId="0">
      <selection activeCell="M9" sqref="M9"/>
    </sheetView>
  </sheetViews>
  <sheetFormatPr baseColWidth="10" defaultRowHeight="14.5" x14ac:dyDescent="0.35"/>
  <cols>
    <col min="1" max="1" width="24.81640625" bestFit="1" customWidth="1"/>
    <col min="2" max="2" width="17.26953125" customWidth="1"/>
    <col min="3" max="3" width="13.7265625" customWidth="1"/>
    <col min="4" max="8" width="15.26953125" customWidth="1"/>
    <col min="9" max="9" width="15.453125" customWidth="1"/>
    <col min="10" max="10" width="16.453125" customWidth="1"/>
    <col min="11" max="11" width="15.1796875" customWidth="1"/>
    <col min="12" max="12" width="16.453125" customWidth="1"/>
    <col min="14" max="14" width="13.81640625" customWidth="1"/>
  </cols>
  <sheetData>
    <row r="1" spans="1:81" ht="21" x14ac:dyDescent="0.5">
      <c r="A1" s="3"/>
      <c r="B1" s="48"/>
      <c r="J1" s="337" t="s">
        <v>80</v>
      </c>
      <c r="K1" s="338" t="s">
        <v>79</v>
      </c>
    </row>
    <row r="4" spans="1:81" x14ac:dyDescent="0.35">
      <c r="M4" s="6"/>
    </row>
    <row r="5" spans="1:81" ht="17.5" x14ac:dyDescent="0.35">
      <c r="A5" s="150" t="s">
        <v>64</v>
      </c>
    </row>
    <row r="7" spans="1:81" ht="43" customHeight="1" x14ac:dyDescent="0.35">
      <c r="A7" s="323" t="s">
        <v>134</v>
      </c>
      <c r="B7" s="322" t="s">
        <v>1</v>
      </c>
      <c r="C7" s="322"/>
      <c r="D7" s="322"/>
      <c r="E7" s="323" t="s">
        <v>121</v>
      </c>
      <c r="F7" s="323"/>
      <c r="G7" s="323" t="s">
        <v>122</v>
      </c>
      <c r="H7" s="323"/>
      <c r="I7" s="323" t="s">
        <v>2</v>
      </c>
      <c r="J7" s="323"/>
      <c r="K7" s="323" t="s">
        <v>5</v>
      </c>
      <c r="L7" s="323"/>
      <c r="M7" s="1"/>
      <c r="O7" s="321" t="s">
        <v>1</v>
      </c>
      <c r="P7" s="321"/>
      <c r="R7" t="s">
        <v>147</v>
      </c>
    </row>
    <row r="8" spans="1:81" x14ac:dyDescent="0.35">
      <c r="A8" s="323"/>
      <c r="B8" s="90" t="s">
        <v>63</v>
      </c>
      <c r="C8" s="90" t="s">
        <v>61</v>
      </c>
      <c r="D8" s="90" t="s">
        <v>62</v>
      </c>
      <c r="E8" s="90">
        <v>2020</v>
      </c>
      <c r="F8" s="90">
        <v>2021</v>
      </c>
      <c r="G8" s="201">
        <v>2020</v>
      </c>
      <c r="H8" s="201">
        <v>2021</v>
      </c>
      <c r="I8" s="90" t="s">
        <v>3</v>
      </c>
      <c r="J8" s="91" t="s">
        <v>4</v>
      </c>
      <c r="K8" s="90" t="s">
        <v>3</v>
      </c>
      <c r="L8" s="91" t="s">
        <v>4</v>
      </c>
      <c r="M8" s="281"/>
      <c r="O8">
        <v>2020</v>
      </c>
      <c r="P8">
        <v>2021</v>
      </c>
      <c r="Q8" t="s">
        <v>146</v>
      </c>
      <c r="R8">
        <v>2021</v>
      </c>
      <c r="S8" t="s">
        <v>148</v>
      </c>
      <c r="CC8" s="284">
        <f>F9/$F$47</f>
        <v>0.42276825937851409</v>
      </c>
    </row>
    <row r="9" spans="1:81" x14ac:dyDescent="0.35">
      <c r="A9" s="206" t="s">
        <v>6</v>
      </c>
      <c r="B9" s="202">
        <v>49993.889999999992</v>
      </c>
      <c r="C9" s="202">
        <v>50354.649999999994</v>
      </c>
      <c r="D9" s="202">
        <f>SUM(D10:D17)</f>
        <v>51398.600000000006</v>
      </c>
      <c r="E9" s="202">
        <v>58807</v>
      </c>
      <c r="F9" s="202">
        <v>60529</v>
      </c>
      <c r="G9" s="279">
        <f>IFERROR(C9/E9,"")</f>
        <v>0.85626966177495867</v>
      </c>
      <c r="H9" s="279">
        <f>IFERROR(D9/F9,"")</f>
        <v>0.84915660262023174</v>
      </c>
      <c r="I9" s="202">
        <v>360.76000000000204</v>
      </c>
      <c r="J9" s="155">
        <v>7.2160818051967279E-3</v>
      </c>
      <c r="K9" s="202">
        <f>D9-C9</f>
        <v>1043.9500000000116</v>
      </c>
      <c r="L9" s="295">
        <f>IFERROR((D9/C9)-1,"")</f>
        <v>2.0731948290773738E-2</v>
      </c>
      <c r="M9" s="4"/>
      <c r="N9" t="s">
        <v>6</v>
      </c>
      <c r="O9" s="6">
        <f>C9</f>
        <v>50354.649999999994</v>
      </c>
      <c r="P9" s="6">
        <f>D9</f>
        <v>51398.600000000006</v>
      </c>
      <c r="Q9" s="283">
        <f>L9</f>
        <v>2.0731948290773738E-2</v>
      </c>
      <c r="R9" s="6">
        <f>F9</f>
        <v>60529</v>
      </c>
      <c r="S9" s="283">
        <f>H9</f>
        <v>0.84915660262023174</v>
      </c>
      <c r="CC9" s="284"/>
    </row>
    <row r="10" spans="1:81" x14ac:dyDescent="0.35">
      <c r="A10" s="147" t="s">
        <v>7</v>
      </c>
      <c r="B10" s="164">
        <v>2140.599999999999</v>
      </c>
      <c r="C10" s="164">
        <v>2030.1399999999999</v>
      </c>
      <c r="D10" s="164">
        <v>2184.42</v>
      </c>
      <c r="E10" s="164">
        <v>4777</v>
      </c>
      <c r="F10" s="164">
        <v>5367</v>
      </c>
      <c r="G10" s="172">
        <f>IFERROR(C10/E10,"")</f>
        <v>0.4249822064056939</v>
      </c>
      <c r="H10" s="172">
        <f>IFERROR(D10/F10,"")</f>
        <v>0.40700950251537171</v>
      </c>
      <c r="I10" s="158">
        <v>-110.45999999999913</v>
      </c>
      <c r="J10" s="159">
        <v>-5.1602354480051904E-2</v>
      </c>
      <c r="K10" s="158">
        <f>D10-C10</f>
        <v>154.2800000000002</v>
      </c>
      <c r="L10" s="159">
        <f t="shared" ref="L10:L34" si="0">IFERROR((D10/C10)-1,"")</f>
        <v>7.5994758982139254E-2</v>
      </c>
      <c r="N10" t="s">
        <v>16</v>
      </c>
      <c r="O10" s="6">
        <f>C20</f>
        <v>48576.2</v>
      </c>
      <c r="P10" s="6">
        <f>D20</f>
        <v>48693.510000000009</v>
      </c>
      <c r="Q10" s="283">
        <f>L20</f>
        <v>2.4149686471979237E-3</v>
      </c>
      <c r="R10" s="6">
        <f>F20</f>
        <v>70668</v>
      </c>
      <c r="S10" s="283">
        <f>H20</f>
        <v>0.68904610290371893</v>
      </c>
      <c r="CC10" s="285"/>
    </row>
    <row r="11" spans="1:81" x14ac:dyDescent="0.35">
      <c r="A11" s="147" t="s">
        <v>8</v>
      </c>
      <c r="B11" s="164">
        <v>1170.9200000000003</v>
      </c>
      <c r="C11" s="164">
        <v>1098.03</v>
      </c>
      <c r="D11" s="164">
        <v>1043.5200000000002</v>
      </c>
      <c r="E11" s="164">
        <v>2183</v>
      </c>
      <c r="F11" s="164">
        <v>2183</v>
      </c>
      <c r="G11" s="172">
        <f t="shared" ref="G11:G17" si="1">IFERROR(C11/E11,"")</f>
        <v>0.50299129638112683</v>
      </c>
      <c r="H11" s="172">
        <f t="shared" ref="H11:H17" si="2">IFERROR(D11/F11,"")</f>
        <v>0.47802107191937709</v>
      </c>
      <c r="I11" s="158">
        <v>-72.890000000000327</v>
      </c>
      <c r="J11" s="159">
        <v>-6.2250196426741677E-2</v>
      </c>
      <c r="K11" s="158">
        <f t="shared" ref="K11:K19" si="3">D11-C11</f>
        <v>-54.509999999999764</v>
      </c>
      <c r="L11" s="159">
        <f t="shared" si="0"/>
        <v>-4.9643452364689256E-2</v>
      </c>
      <c r="N11" t="s">
        <v>23</v>
      </c>
      <c r="O11" s="6">
        <f>C28</f>
        <v>1918.6299999999981</v>
      </c>
      <c r="P11" s="6">
        <f>D28</f>
        <v>1949.0699999999988</v>
      </c>
      <c r="Q11" s="296">
        <f>L28</f>
        <v>1.5865487352955343E-2</v>
      </c>
      <c r="R11" s="6">
        <f>F28</f>
        <v>2293</v>
      </c>
      <c r="S11" s="283">
        <f>H28</f>
        <v>0.85000872219799339</v>
      </c>
      <c r="CC11" s="285"/>
    </row>
    <row r="12" spans="1:81" x14ac:dyDescent="0.35">
      <c r="A12" s="147" t="s">
        <v>9</v>
      </c>
      <c r="B12" s="164">
        <v>11658.630000000006</v>
      </c>
      <c r="C12" s="164">
        <v>11773.019999999997</v>
      </c>
      <c r="D12" s="164">
        <v>11956.400000000005</v>
      </c>
      <c r="E12" s="164">
        <v>11706</v>
      </c>
      <c r="F12" s="164">
        <v>11900</v>
      </c>
      <c r="G12" s="172">
        <f t="shared" si="1"/>
        <v>1.0057252690927727</v>
      </c>
      <c r="H12" s="172">
        <f t="shared" si="2"/>
        <v>1.0047394957983198</v>
      </c>
      <c r="I12" s="158">
        <v>114.38999999999032</v>
      </c>
      <c r="J12" s="159">
        <v>9.8116159445826856E-3</v>
      </c>
      <c r="K12" s="158">
        <f t="shared" si="3"/>
        <v>183.38000000000829</v>
      </c>
      <c r="L12" s="159">
        <f t="shared" si="0"/>
        <v>1.557629223427881E-2</v>
      </c>
      <c r="N12" t="s">
        <v>35</v>
      </c>
      <c r="O12" s="6">
        <f>C40</f>
        <v>704.70999999999992</v>
      </c>
      <c r="P12" s="6">
        <f>D40</f>
        <v>668.97</v>
      </c>
      <c r="Q12" s="283">
        <f>L40</f>
        <v>-5.0715897319464576E-2</v>
      </c>
      <c r="R12" s="6">
        <f>F40</f>
        <v>1677</v>
      </c>
      <c r="S12" s="283">
        <f>H40</f>
        <v>0.39890876565295169</v>
      </c>
      <c r="CC12" s="285"/>
    </row>
    <row r="13" spans="1:81" x14ac:dyDescent="0.35">
      <c r="A13" s="147" t="s">
        <v>10</v>
      </c>
      <c r="B13" s="164">
        <v>236.3100000000002</v>
      </c>
      <c r="C13" s="164">
        <v>216.64999999999995</v>
      </c>
      <c r="D13" s="164">
        <v>214.31</v>
      </c>
      <c r="E13" s="164">
        <v>707</v>
      </c>
      <c r="F13" s="164">
        <v>706</v>
      </c>
      <c r="G13" s="172">
        <f t="shared" si="1"/>
        <v>0.30643564356435637</v>
      </c>
      <c r="H13" s="172">
        <f t="shared" si="2"/>
        <v>0.30355524079320112</v>
      </c>
      <c r="I13" s="158">
        <v>-19.660000000000252</v>
      </c>
      <c r="J13" s="159">
        <v>-8.3195802124329199E-2</v>
      </c>
      <c r="K13" s="158">
        <f t="shared" si="3"/>
        <v>-2.3399999999999466</v>
      </c>
      <c r="L13" s="159">
        <f t="shared" si="0"/>
        <v>-1.0800830833140762E-2</v>
      </c>
      <c r="N13" t="s">
        <v>39</v>
      </c>
      <c r="O13" s="6">
        <f>C45</f>
        <v>5401.0300000000007</v>
      </c>
      <c r="P13" s="6">
        <f>D45</f>
        <v>5317.9300000000012</v>
      </c>
      <c r="Q13" s="283">
        <f>L45</f>
        <v>-1.5385954160595183E-2</v>
      </c>
      <c r="R13" s="6">
        <f>F45</f>
        <v>6945</v>
      </c>
      <c r="S13" s="283">
        <f>H45</f>
        <v>0.76572066234701242</v>
      </c>
      <c r="CC13" s="285"/>
    </row>
    <row r="14" spans="1:81" x14ac:dyDescent="0.35">
      <c r="A14" s="147" t="s">
        <v>11</v>
      </c>
      <c r="B14" s="164">
        <v>7883.6300000000028</v>
      </c>
      <c r="C14" s="164">
        <v>7838.2899999999991</v>
      </c>
      <c r="D14" s="164">
        <v>7685.4199999999983</v>
      </c>
      <c r="E14" s="164">
        <v>8520</v>
      </c>
      <c r="F14" s="164">
        <v>9090</v>
      </c>
      <c r="G14" s="172">
        <f t="shared" si="1"/>
        <v>0.91998708920187777</v>
      </c>
      <c r="H14" s="172">
        <f t="shared" si="2"/>
        <v>0.84548074807480733</v>
      </c>
      <c r="I14" s="158">
        <v>-45.340000000003783</v>
      </c>
      <c r="J14" s="159">
        <v>-5.7511577788409429E-3</v>
      </c>
      <c r="K14" s="158">
        <f t="shared" si="3"/>
        <v>-152.8700000000008</v>
      </c>
      <c r="L14" s="159">
        <f t="shared" si="0"/>
        <v>-1.9502978328181375E-2</v>
      </c>
      <c r="CC14" s="285"/>
    </row>
    <row r="15" spans="1:81" x14ac:dyDescent="0.35">
      <c r="A15" s="147" t="s">
        <v>12</v>
      </c>
      <c r="B15" s="164">
        <v>0.56000000000000005</v>
      </c>
      <c r="C15" s="164">
        <v>0.66</v>
      </c>
      <c r="D15" s="164">
        <v>1.0000000000000002</v>
      </c>
      <c r="E15" s="164"/>
      <c r="F15" s="164"/>
      <c r="G15" s="172" t="str">
        <f t="shared" si="1"/>
        <v/>
      </c>
      <c r="H15" s="172" t="str">
        <f t="shared" si="2"/>
        <v/>
      </c>
      <c r="I15" s="158">
        <v>9.9999999999999978E-2</v>
      </c>
      <c r="J15" s="159">
        <v>0.1785714285714286</v>
      </c>
      <c r="K15" s="158">
        <f t="shared" si="3"/>
        <v>0.34000000000000019</v>
      </c>
      <c r="L15" s="159">
        <f t="shared" si="0"/>
        <v>0.51515151515151536</v>
      </c>
      <c r="CC15" s="285"/>
    </row>
    <row r="16" spans="1:81" x14ac:dyDescent="0.35">
      <c r="A16" s="147" t="s">
        <v>13</v>
      </c>
      <c r="B16" s="164">
        <v>1441.6200000000003</v>
      </c>
      <c r="C16" s="164">
        <v>1467.1200000000001</v>
      </c>
      <c r="D16" s="164">
        <v>1401.6500000000003</v>
      </c>
      <c r="E16" s="164">
        <v>4490</v>
      </c>
      <c r="F16" s="164">
        <v>4495</v>
      </c>
      <c r="G16" s="172">
        <f t="shared" si="1"/>
        <v>0.3267527839643653</v>
      </c>
      <c r="H16" s="172">
        <f t="shared" si="2"/>
        <v>0.31182424916573981</v>
      </c>
      <c r="I16" s="158">
        <v>25.499999999999773</v>
      </c>
      <c r="J16" s="159">
        <v>1.7688433845257201E-2</v>
      </c>
      <c r="K16" s="158">
        <f t="shared" si="3"/>
        <v>-65.4699999999998</v>
      </c>
      <c r="L16" s="159">
        <f t="shared" si="0"/>
        <v>-4.4624843230274158E-2</v>
      </c>
      <c r="CC16" s="285"/>
    </row>
    <row r="17" spans="1:81" x14ac:dyDescent="0.35">
      <c r="A17" s="147" t="s">
        <v>14</v>
      </c>
      <c r="B17" s="164">
        <v>25461.619999999984</v>
      </c>
      <c r="C17" s="164">
        <v>25930.739999999994</v>
      </c>
      <c r="D17" s="164">
        <v>26911.880000000005</v>
      </c>
      <c r="E17" s="164">
        <v>26424</v>
      </c>
      <c r="F17" s="164">
        <v>26787</v>
      </c>
      <c r="G17" s="172">
        <f t="shared" si="1"/>
        <v>0.98133287920072643</v>
      </c>
      <c r="H17" s="172">
        <f t="shared" si="2"/>
        <v>1.004661962892448</v>
      </c>
      <c r="I17" s="158">
        <v>469.1200000000099</v>
      </c>
      <c r="J17" s="159">
        <v>1.8424593564746017E-2</v>
      </c>
      <c r="K17" s="158">
        <f t="shared" si="3"/>
        <v>981.14000000001033</v>
      </c>
      <c r="L17" s="159">
        <f t="shared" si="0"/>
        <v>3.7836945648292764E-2</v>
      </c>
      <c r="CC17" s="285"/>
    </row>
    <row r="18" spans="1:81" x14ac:dyDescent="0.35">
      <c r="A18" s="148" t="s">
        <v>15</v>
      </c>
      <c r="B18" s="162"/>
      <c r="C18" s="162">
        <v>0.18</v>
      </c>
      <c r="D18" s="162">
        <v>0.18</v>
      </c>
      <c r="E18" s="162"/>
      <c r="F18" s="162"/>
      <c r="G18" s="270" t="str">
        <f>IFERROR(C18/E18,"")</f>
        <v/>
      </c>
      <c r="H18" s="270" t="str">
        <f>IFERROR(D18/F18,"")</f>
        <v/>
      </c>
      <c r="I18" s="162">
        <v>0.18</v>
      </c>
      <c r="J18" s="163" t="s">
        <v>41</v>
      </c>
      <c r="K18" s="154">
        <f t="shared" si="3"/>
        <v>0</v>
      </c>
      <c r="L18" s="163"/>
      <c r="CC18" s="285"/>
    </row>
    <row r="19" spans="1:81" x14ac:dyDescent="0.35">
      <c r="A19" s="147" t="s">
        <v>15</v>
      </c>
      <c r="B19" s="164"/>
      <c r="C19" s="164">
        <v>0.18</v>
      </c>
      <c r="D19" s="164">
        <v>0.18</v>
      </c>
      <c r="E19" s="164"/>
      <c r="F19" s="164"/>
      <c r="G19" s="164"/>
      <c r="H19" s="164"/>
      <c r="I19" s="158">
        <v>0.18</v>
      </c>
      <c r="J19" s="159" t="s">
        <v>41</v>
      </c>
      <c r="K19" s="165">
        <f t="shared" si="3"/>
        <v>0</v>
      </c>
      <c r="L19" s="159">
        <f t="shared" si="0"/>
        <v>0</v>
      </c>
      <c r="CC19" s="284">
        <f>F20/$F$47</f>
        <v>0.49358468426309432</v>
      </c>
    </row>
    <row r="20" spans="1:81" x14ac:dyDescent="0.35">
      <c r="A20" s="148" t="s">
        <v>16</v>
      </c>
      <c r="B20" s="162">
        <v>48394.59</v>
      </c>
      <c r="C20" s="162">
        <v>48576.2</v>
      </c>
      <c r="D20" s="162">
        <f>SUM(D21:D23)</f>
        <v>48693.510000000009</v>
      </c>
      <c r="E20" s="162">
        <v>70514</v>
      </c>
      <c r="F20" s="162">
        <v>70668</v>
      </c>
      <c r="G20" s="279">
        <f>IFERROR(C20/E20,"")</f>
        <v>0.68888731315767082</v>
      </c>
      <c r="H20" s="279">
        <f>IFERROR(D20/F20,"")</f>
        <v>0.68904610290371893</v>
      </c>
      <c r="I20" s="162">
        <v>181.61000000000058</v>
      </c>
      <c r="J20" s="163">
        <v>3.7526921914206035E-3</v>
      </c>
      <c r="K20" s="162">
        <f>D20-C20</f>
        <v>117.31000000001222</v>
      </c>
      <c r="L20" s="293">
        <f>(D20/C20)-1</f>
        <v>2.4149686471979237E-3</v>
      </c>
      <c r="CC20" s="285"/>
    </row>
    <row r="21" spans="1:81" x14ac:dyDescent="0.35">
      <c r="A21" s="147" t="s">
        <v>17</v>
      </c>
      <c r="B21" s="164">
        <v>7629.6699999999983</v>
      </c>
      <c r="C21" s="164">
        <v>7450.15</v>
      </c>
      <c r="D21" s="164">
        <v>7313.5399999999991</v>
      </c>
      <c r="E21" s="164">
        <v>10223</v>
      </c>
      <c r="F21" s="164">
        <v>10024</v>
      </c>
      <c r="G21" s="172">
        <f>IFERROR(C21/E21,"")</f>
        <v>0.72876357233688738</v>
      </c>
      <c r="H21" s="172">
        <f>IFERROR(D21/F21,"")</f>
        <v>0.7296029529130087</v>
      </c>
      <c r="I21" s="158">
        <v>-179.51999999999862</v>
      </c>
      <c r="J21" s="159">
        <v>-2.3529195889205989E-2</v>
      </c>
      <c r="K21" s="158">
        <f>IFERROR((D21-C21),"")</f>
        <v>-136.61000000000058</v>
      </c>
      <c r="L21" s="159">
        <f t="shared" si="0"/>
        <v>-1.8336543559525742E-2</v>
      </c>
      <c r="CC21" s="285"/>
    </row>
    <row r="22" spans="1:81" x14ac:dyDescent="0.35">
      <c r="A22" s="147" t="s">
        <v>18</v>
      </c>
      <c r="B22" s="164">
        <v>4701.3499999999976</v>
      </c>
      <c r="C22" s="164">
        <v>4662.6799999999976</v>
      </c>
      <c r="D22" s="164">
        <v>4815.68</v>
      </c>
      <c r="E22" s="164">
        <v>6486</v>
      </c>
      <c r="F22" s="164">
        <v>6421</v>
      </c>
      <c r="G22" s="172">
        <f t="shared" ref="G22:G23" si="4">IFERROR(C22/E22,"")</f>
        <v>0.71888374961455404</v>
      </c>
      <c r="H22" s="172">
        <f t="shared" ref="H22:H23" si="5">IFERROR(D22/F22,"")</f>
        <v>0.74998909827129734</v>
      </c>
      <c r="I22" s="158">
        <v>-38.670000000000073</v>
      </c>
      <c r="J22" s="159">
        <v>-8.2252969891627448E-3</v>
      </c>
      <c r="K22" s="158">
        <f t="shared" ref="K22:K25" si="6">IFERROR((D22-C22),"")</f>
        <v>153.00000000000273</v>
      </c>
      <c r="L22" s="159">
        <f t="shared" si="0"/>
        <v>3.2813746600667937E-2</v>
      </c>
      <c r="CC22" s="285"/>
    </row>
    <row r="23" spans="1:81" x14ac:dyDescent="0.35">
      <c r="A23" s="147" t="s">
        <v>19</v>
      </c>
      <c r="B23" s="164">
        <v>36063.570000000007</v>
      </c>
      <c r="C23" s="164">
        <v>36463.369999999995</v>
      </c>
      <c r="D23" s="164">
        <v>36564.290000000008</v>
      </c>
      <c r="E23" s="164">
        <v>53805</v>
      </c>
      <c r="F23" s="164">
        <v>54223</v>
      </c>
      <c r="G23" s="172">
        <f t="shared" si="4"/>
        <v>0.67769482390112434</v>
      </c>
      <c r="H23" s="172">
        <f t="shared" si="5"/>
        <v>0.67433174114305749</v>
      </c>
      <c r="I23" s="158">
        <v>399.79999999998836</v>
      </c>
      <c r="J23" s="159">
        <v>1.1085979563309589E-2</v>
      </c>
      <c r="K23" s="158">
        <f t="shared" si="6"/>
        <v>100.92000000001281</v>
      </c>
      <c r="L23" s="159">
        <f t="shared" si="0"/>
        <v>2.7677090735171994E-3</v>
      </c>
      <c r="CC23" s="285"/>
    </row>
    <row r="24" spans="1:81" x14ac:dyDescent="0.35">
      <c r="A24" s="148" t="s">
        <v>20</v>
      </c>
      <c r="B24" s="162"/>
      <c r="C24" s="162">
        <v>0.08</v>
      </c>
      <c r="D24" s="162">
        <v>0</v>
      </c>
      <c r="E24" s="162"/>
      <c r="F24" s="162"/>
      <c r="G24" s="275" t="str">
        <f t="shared" ref="G24:H30" si="7">IFERROR(C24/E24,"")</f>
        <v/>
      </c>
      <c r="H24" s="275" t="str">
        <f t="shared" si="7"/>
        <v/>
      </c>
      <c r="I24" s="162">
        <v>0.08</v>
      </c>
      <c r="J24" s="163" t="s">
        <v>41</v>
      </c>
      <c r="K24" s="154">
        <f t="shared" si="6"/>
        <v>-0.08</v>
      </c>
      <c r="L24" s="155">
        <f t="shared" ref="L24" si="8">(D24/C24)-1</f>
        <v>-1</v>
      </c>
      <c r="CC24" s="285"/>
    </row>
    <row r="25" spans="1:81" x14ac:dyDescent="0.35">
      <c r="A25" s="147" t="s">
        <v>20</v>
      </c>
      <c r="B25" s="164"/>
      <c r="C25" s="164">
        <v>0.08</v>
      </c>
      <c r="D25" s="165">
        <v>0</v>
      </c>
      <c r="E25" s="165"/>
      <c r="F25" s="165"/>
      <c r="G25" s="172" t="str">
        <f t="shared" si="7"/>
        <v/>
      </c>
      <c r="H25" s="172" t="str">
        <f t="shared" si="7"/>
        <v/>
      </c>
      <c r="I25" s="158">
        <v>0.08</v>
      </c>
      <c r="J25" s="159" t="s">
        <v>41</v>
      </c>
      <c r="K25" s="166">
        <f t="shared" si="6"/>
        <v>-0.08</v>
      </c>
      <c r="L25" s="159">
        <f t="shared" si="0"/>
        <v>-1</v>
      </c>
      <c r="CC25" s="285"/>
    </row>
    <row r="26" spans="1:81" x14ac:dyDescent="0.35">
      <c r="A26" s="148" t="s">
        <v>21</v>
      </c>
      <c r="B26" s="162">
        <v>0.23</v>
      </c>
      <c r="C26" s="162"/>
      <c r="D26" s="162">
        <v>0</v>
      </c>
      <c r="E26" s="162">
        <v>3</v>
      </c>
      <c r="F26" s="162">
        <v>3</v>
      </c>
      <c r="G26" s="275">
        <f t="shared" si="7"/>
        <v>0</v>
      </c>
      <c r="H26" s="275">
        <f t="shared" si="7"/>
        <v>0</v>
      </c>
      <c r="I26" s="162">
        <v>-0.23</v>
      </c>
      <c r="J26" s="155">
        <v>-1</v>
      </c>
      <c r="K26" s="162"/>
      <c r="L26" s="163"/>
      <c r="CC26" s="285"/>
    </row>
    <row r="27" spans="1:81" x14ac:dyDescent="0.35">
      <c r="A27" s="147" t="s">
        <v>22</v>
      </c>
      <c r="B27" s="164">
        <v>0.23</v>
      </c>
      <c r="C27" s="164"/>
      <c r="D27" s="165">
        <v>0</v>
      </c>
      <c r="E27" s="165">
        <v>3</v>
      </c>
      <c r="F27" s="165">
        <v>3</v>
      </c>
      <c r="G27" s="172">
        <f t="shared" si="7"/>
        <v>0</v>
      </c>
      <c r="H27" s="172">
        <f t="shared" si="7"/>
        <v>0</v>
      </c>
      <c r="I27" s="158">
        <v>-0.23</v>
      </c>
      <c r="J27" s="159">
        <v>-1</v>
      </c>
      <c r="K27" s="165"/>
      <c r="L27" s="159" t="str">
        <f t="shared" si="0"/>
        <v/>
      </c>
      <c r="CC27" s="284">
        <f>F28/$F$47</f>
        <v>1.6015589531545752E-2</v>
      </c>
    </row>
    <row r="28" spans="1:81" x14ac:dyDescent="0.35">
      <c r="A28" s="148" t="s">
        <v>23</v>
      </c>
      <c r="B28" s="162">
        <v>1918.9799999999998</v>
      </c>
      <c r="C28" s="162">
        <v>1918.6299999999981</v>
      </c>
      <c r="D28" s="162">
        <f>SUM(D29:D31)</f>
        <v>1949.0699999999988</v>
      </c>
      <c r="E28" s="162">
        <v>2180</v>
      </c>
      <c r="F28" s="162">
        <v>2293</v>
      </c>
      <c r="G28" s="275">
        <f t="shared" si="7"/>
        <v>0.88010550458715509</v>
      </c>
      <c r="H28" s="280">
        <f>IFERROR(D28/F28,"")</f>
        <v>0.85000872219799339</v>
      </c>
      <c r="I28" s="162">
        <v>-0.35000000000172804</v>
      </c>
      <c r="J28" s="155">
        <v>-1.82388560590385E-4</v>
      </c>
      <c r="K28" s="154">
        <f>D28-C28</f>
        <v>30.440000000000737</v>
      </c>
      <c r="L28" s="294">
        <f>(D28/C28)-1</f>
        <v>1.5865487352955343E-2</v>
      </c>
      <c r="CC28" s="285"/>
    </row>
    <row r="29" spans="1:81" x14ac:dyDescent="0.35">
      <c r="A29" s="147" t="s">
        <v>24</v>
      </c>
      <c r="B29" s="164">
        <v>1.53</v>
      </c>
      <c r="C29" s="164">
        <v>1.2300000000000002</v>
      </c>
      <c r="D29" s="164">
        <v>1.78</v>
      </c>
      <c r="E29" s="164">
        <v>2</v>
      </c>
      <c r="F29" s="164">
        <v>5</v>
      </c>
      <c r="G29" s="172">
        <f t="shared" si="7"/>
        <v>0.6150000000000001</v>
      </c>
      <c r="H29" s="172">
        <f t="shared" si="7"/>
        <v>0.35599999999999998</v>
      </c>
      <c r="I29" s="158">
        <v>-0.29999999999999982</v>
      </c>
      <c r="J29" s="159">
        <v>-0.19607843137254888</v>
      </c>
      <c r="K29" s="167">
        <f>D29-C29</f>
        <v>0.54999999999999982</v>
      </c>
      <c r="L29" s="159">
        <f t="shared" si="0"/>
        <v>0.44715447154471533</v>
      </c>
      <c r="CC29" s="285"/>
    </row>
    <row r="30" spans="1:81" x14ac:dyDescent="0.35">
      <c r="A30" s="147" t="s">
        <v>25</v>
      </c>
      <c r="B30" s="164">
        <v>0.16</v>
      </c>
      <c r="C30" s="164">
        <v>0.15000000000000002</v>
      </c>
      <c r="D30" s="164">
        <v>0.22000000000000003</v>
      </c>
      <c r="E30" s="164"/>
      <c r="F30" s="164"/>
      <c r="G30" s="172" t="str">
        <f t="shared" si="7"/>
        <v/>
      </c>
      <c r="H30" s="172" t="str">
        <f t="shared" si="7"/>
        <v/>
      </c>
      <c r="I30" s="158">
        <v>-9.9999999999999811E-3</v>
      </c>
      <c r="J30" s="159">
        <v>-6.2499999999999889E-2</v>
      </c>
      <c r="K30" s="164">
        <f t="shared" ref="K30:K35" si="9">D30-C30</f>
        <v>7.0000000000000007E-2</v>
      </c>
      <c r="L30" s="159">
        <f t="shared" si="0"/>
        <v>0.46666666666666656</v>
      </c>
      <c r="CC30" s="285"/>
    </row>
    <row r="31" spans="1:81" x14ac:dyDescent="0.35">
      <c r="A31" s="147" t="s">
        <v>26</v>
      </c>
      <c r="B31" s="164">
        <v>1917.2899999999997</v>
      </c>
      <c r="C31" s="164">
        <v>1917.249999999998</v>
      </c>
      <c r="D31" s="164">
        <v>1947.0699999999988</v>
      </c>
      <c r="E31" s="164">
        <v>2178</v>
      </c>
      <c r="F31" s="164">
        <v>2288</v>
      </c>
      <c r="G31" s="172">
        <f t="shared" ref="G31" si="10">IFERROR(C31/E31,"")</f>
        <v>0.88028007346189074</v>
      </c>
      <c r="H31" s="172">
        <f t="shared" ref="H31" si="11">IFERROR(D31/F31,"")</f>
        <v>0.85099213286713238</v>
      </c>
      <c r="I31" s="158">
        <v>-4.000000000178261E-2</v>
      </c>
      <c r="J31" s="159">
        <v>-2.0862780279351512E-5</v>
      </c>
      <c r="K31" s="158">
        <f t="shared" si="9"/>
        <v>29.820000000000846</v>
      </c>
      <c r="L31" s="159">
        <f t="shared" si="0"/>
        <v>1.5553527187378124E-2</v>
      </c>
      <c r="CC31" s="285"/>
    </row>
    <row r="32" spans="1:81" x14ac:dyDescent="0.35">
      <c r="A32" s="148" t="s">
        <v>27</v>
      </c>
      <c r="B32" s="162">
        <v>51.350000000000016</v>
      </c>
      <c r="C32" s="162">
        <v>71.69</v>
      </c>
      <c r="D32" s="162">
        <f>SUM(D33:D34)</f>
        <v>55.709999999999994</v>
      </c>
      <c r="E32" s="162">
        <v>62</v>
      </c>
      <c r="F32" s="162">
        <v>61</v>
      </c>
      <c r="G32" s="275">
        <f t="shared" ref="G32:G47" si="12">IFERROR(C32/E32,"")</f>
        <v>1.1562903225806451</v>
      </c>
      <c r="H32" s="275">
        <f t="shared" ref="H32:H47" si="13">IFERROR(D32/F32,"")</f>
        <v>0.91327868852459004</v>
      </c>
      <c r="I32" s="162">
        <v>20.339999999999982</v>
      </c>
      <c r="J32" s="155">
        <v>0.3961051606621222</v>
      </c>
      <c r="K32" s="154">
        <f t="shared" si="9"/>
        <v>-15.980000000000004</v>
      </c>
      <c r="L32" s="293">
        <f t="shared" ref="L32:L35" si="14">(D32/C32)-1</f>
        <v>-0.2229041707351096</v>
      </c>
      <c r="CC32" s="285"/>
    </row>
    <row r="33" spans="1:81" x14ac:dyDescent="0.35">
      <c r="A33" s="147" t="s">
        <v>28</v>
      </c>
      <c r="B33" s="164">
        <v>46.070000000000014</v>
      </c>
      <c r="C33" s="164">
        <v>66.149999999999991</v>
      </c>
      <c r="D33" s="164">
        <v>47.609999999999992</v>
      </c>
      <c r="E33" s="164">
        <v>56</v>
      </c>
      <c r="F33" s="164">
        <v>53</v>
      </c>
      <c r="G33" s="172">
        <f t="shared" si="12"/>
        <v>1.1812499999999999</v>
      </c>
      <c r="H33" s="172">
        <f t="shared" si="13"/>
        <v>0.89830188679245271</v>
      </c>
      <c r="I33" s="158">
        <v>20.079999999999977</v>
      </c>
      <c r="J33" s="159">
        <v>0.4358584762318205</v>
      </c>
      <c r="K33" s="158">
        <f t="shared" si="9"/>
        <v>-18.54</v>
      </c>
      <c r="L33" s="159">
        <f t="shared" si="0"/>
        <v>-0.28027210884353748</v>
      </c>
      <c r="CC33" s="285"/>
    </row>
    <row r="34" spans="1:81" x14ac:dyDescent="0.35">
      <c r="A34" s="147" t="s">
        <v>29</v>
      </c>
      <c r="B34" s="164">
        <v>5.2799999999999994</v>
      </c>
      <c r="C34" s="164">
        <v>5.5399999999999991</v>
      </c>
      <c r="D34" s="164">
        <v>8.1</v>
      </c>
      <c r="E34" s="164">
        <v>6</v>
      </c>
      <c r="F34" s="164">
        <v>8</v>
      </c>
      <c r="G34" s="172">
        <f t="shared" si="12"/>
        <v>0.92333333333333323</v>
      </c>
      <c r="H34" s="172">
        <f t="shared" si="13"/>
        <v>1.0125</v>
      </c>
      <c r="I34" s="158">
        <v>0.25999999999999979</v>
      </c>
      <c r="J34" s="159">
        <v>4.924242424242431E-2</v>
      </c>
      <c r="K34" s="158">
        <f t="shared" si="9"/>
        <v>2.5600000000000005</v>
      </c>
      <c r="L34" s="159">
        <f t="shared" si="0"/>
        <v>0.4620938628158846</v>
      </c>
      <c r="CC34" s="285"/>
    </row>
    <row r="35" spans="1:81" x14ac:dyDescent="0.35">
      <c r="A35" s="148" t="s">
        <v>30</v>
      </c>
      <c r="B35" s="162"/>
      <c r="C35" s="162">
        <v>0.06</v>
      </c>
      <c r="D35" s="162">
        <v>0.05</v>
      </c>
      <c r="E35" s="162">
        <v>84</v>
      </c>
      <c r="F35" s="162">
        <v>84</v>
      </c>
      <c r="G35" s="275">
        <f t="shared" si="12"/>
        <v>7.1428571428571429E-4</v>
      </c>
      <c r="H35" s="275">
        <f t="shared" si="13"/>
        <v>5.9523809523809529E-4</v>
      </c>
      <c r="I35" s="162">
        <v>0.06</v>
      </c>
      <c r="J35" s="163" t="s">
        <v>41</v>
      </c>
      <c r="K35" s="290">
        <f t="shared" si="9"/>
        <v>-9.999999999999995E-3</v>
      </c>
      <c r="L35" s="293">
        <f t="shared" si="14"/>
        <v>-0.16666666666666663</v>
      </c>
      <c r="CC35" s="285"/>
    </row>
    <row r="36" spans="1:81" x14ac:dyDescent="0.35">
      <c r="A36" s="147" t="s">
        <v>31</v>
      </c>
      <c r="B36" s="164"/>
      <c r="C36" s="164">
        <v>0.06</v>
      </c>
      <c r="D36" s="164">
        <v>0.05</v>
      </c>
      <c r="E36" s="164">
        <v>54</v>
      </c>
      <c r="F36" s="164">
        <v>53</v>
      </c>
      <c r="G36" s="172">
        <f t="shared" si="12"/>
        <v>1.1111111111111111E-3</v>
      </c>
      <c r="H36" s="172">
        <f t="shared" si="13"/>
        <v>9.4339622641509435E-4</v>
      </c>
      <c r="I36" s="158">
        <v>0.06</v>
      </c>
      <c r="J36" s="159" t="s">
        <v>41</v>
      </c>
      <c r="K36" s="166">
        <v>-9.999999999999995E-3</v>
      </c>
      <c r="L36" s="165"/>
      <c r="CC36" s="285"/>
    </row>
    <row r="37" spans="1:81" x14ac:dyDescent="0.35">
      <c r="A37" s="147" t="s">
        <v>32</v>
      </c>
      <c r="B37" s="164"/>
      <c r="C37" s="164"/>
      <c r="D37" s="165"/>
      <c r="E37" s="165">
        <v>4</v>
      </c>
      <c r="F37" s="165">
        <v>3</v>
      </c>
      <c r="G37" s="172">
        <f t="shared" si="12"/>
        <v>0</v>
      </c>
      <c r="H37" s="172">
        <f t="shared" si="13"/>
        <v>0</v>
      </c>
      <c r="I37" s="158">
        <v>0</v>
      </c>
      <c r="J37" s="159" t="s">
        <v>41</v>
      </c>
      <c r="K37" s="165"/>
      <c r="L37" s="165"/>
      <c r="CC37" s="285"/>
    </row>
    <row r="38" spans="1:81" x14ac:dyDescent="0.35">
      <c r="A38" s="147" t="s">
        <v>33</v>
      </c>
      <c r="B38" s="164"/>
      <c r="C38" s="164"/>
      <c r="D38" s="165"/>
      <c r="E38" s="165">
        <v>1</v>
      </c>
      <c r="F38" s="165">
        <v>1</v>
      </c>
      <c r="G38" s="172">
        <f t="shared" si="12"/>
        <v>0</v>
      </c>
      <c r="H38" s="172">
        <f t="shared" si="13"/>
        <v>0</v>
      </c>
      <c r="I38" s="158">
        <v>0</v>
      </c>
      <c r="J38" s="159" t="s">
        <v>41</v>
      </c>
      <c r="K38" s="165"/>
      <c r="L38" s="165"/>
      <c r="CC38" s="285"/>
    </row>
    <row r="39" spans="1:81" x14ac:dyDescent="0.35">
      <c r="A39" s="147" t="s">
        <v>34</v>
      </c>
      <c r="B39" s="164"/>
      <c r="C39" s="164"/>
      <c r="D39" s="165"/>
      <c r="E39" s="165">
        <v>25</v>
      </c>
      <c r="F39" s="165">
        <v>27</v>
      </c>
      <c r="G39" s="172">
        <f t="shared" si="12"/>
        <v>0</v>
      </c>
      <c r="H39" s="172">
        <f t="shared" si="13"/>
        <v>0</v>
      </c>
      <c r="I39" s="158">
        <v>0</v>
      </c>
      <c r="J39" s="159" t="s">
        <v>41</v>
      </c>
      <c r="K39" s="165"/>
      <c r="L39" s="165"/>
      <c r="CC39" s="284">
        <f>F40/$F$47</f>
        <v>1.1713102330746719E-2</v>
      </c>
    </row>
    <row r="40" spans="1:81" x14ac:dyDescent="0.35">
      <c r="A40" s="148" t="s">
        <v>35</v>
      </c>
      <c r="B40" s="162">
        <v>726.90999999999985</v>
      </c>
      <c r="C40" s="162">
        <v>704.70999999999992</v>
      </c>
      <c r="D40" s="162">
        <v>668.97</v>
      </c>
      <c r="E40" s="162">
        <v>1677</v>
      </c>
      <c r="F40" s="162">
        <v>1677</v>
      </c>
      <c r="G40" s="275">
        <f t="shared" si="12"/>
        <v>0.42022063208109717</v>
      </c>
      <c r="H40" s="280">
        <f t="shared" si="13"/>
        <v>0.39890876565295169</v>
      </c>
      <c r="I40" s="154">
        <v>-22.199999999999932</v>
      </c>
      <c r="J40" s="155">
        <v>-3.054023194068034E-2</v>
      </c>
      <c r="K40" s="154">
        <f>D40-C40</f>
        <v>-35.739999999999895</v>
      </c>
      <c r="L40" s="293">
        <f>(D40/C40)-1</f>
        <v>-5.0715897319464576E-2</v>
      </c>
      <c r="CC40" s="285"/>
    </row>
    <row r="41" spans="1:81" x14ac:dyDescent="0.35">
      <c r="A41" s="147" t="s">
        <v>35</v>
      </c>
      <c r="B41" s="164">
        <v>726.90999999999985</v>
      </c>
      <c r="C41" s="164">
        <v>704.70999999999992</v>
      </c>
      <c r="D41" s="164">
        <v>668.97</v>
      </c>
      <c r="E41" s="164">
        <v>1677</v>
      </c>
      <c r="F41" s="164">
        <v>1677</v>
      </c>
      <c r="G41" s="172">
        <f t="shared" si="12"/>
        <v>0.42022063208109717</v>
      </c>
      <c r="H41" s="172">
        <f t="shared" si="13"/>
        <v>0.39890876565295169</v>
      </c>
      <c r="I41" s="158">
        <v>-22.199999999999932</v>
      </c>
      <c r="J41" s="159">
        <v>-3.054023194068034E-2</v>
      </c>
      <c r="K41" s="158">
        <f>D41-C41</f>
        <v>-35.739999999999895</v>
      </c>
      <c r="L41" s="159">
        <f t="shared" ref="L41" si="15">IFERROR((D41/C41)-1,"")</f>
        <v>-5.0715897319464576E-2</v>
      </c>
      <c r="CC41" s="285"/>
    </row>
    <row r="42" spans="1:81" x14ac:dyDescent="0.35">
      <c r="A42" s="148" t="s">
        <v>139</v>
      </c>
      <c r="B42" s="162"/>
      <c r="C42" s="162"/>
      <c r="D42" s="162"/>
      <c r="E42" s="162">
        <v>955</v>
      </c>
      <c r="F42" s="162">
        <v>913</v>
      </c>
      <c r="G42" s="275">
        <f t="shared" si="12"/>
        <v>0</v>
      </c>
      <c r="H42" s="275">
        <f t="shared" si="13"/>
        <v>0</v>
      </c>
      <c r="I42" s="154"/>
      <c r="J42" s="155"/>
      <c r="K42" s="154"/>
      <c r="L42" s="155"/>
      <c r="CC42" s="285"/>
    </row>
    <row r="43" spans="1:81" x14ac:dyDescent="0.35">
      <c r="A43" s="147" t="s">
        <v>37</v>
      </c>
      <c r="B43" s="164"/>
      <c r="C43" s="164"/>
      <c r="D43" s="164"/>
      <c r="E43" s="164">
        <v>520</v>
      </c>
      <c r="F43" s="164">
        <v>527</v>
      </c>
      <c r="G43" s="172">
        <f t="shared" si="12"/>
        <v>0</v>
      </c>
      <c r="H43" s="172">
        <f t="shared" si="13"/>
        <v>0</v>
      </c>
      <c r="I43" s="158"/>
      <c r="J43" s="159"/>
      <c r="K43" s="158"/>
      <c r="L43" s="159"/>
      <c r="CC43" s="285"/>
    </row>
    <row r="44" spans="1:81" x14ac:dyDescent="0.35">
      <c r="A44" s="147" t="s">
        <v>138</v>
      </c>
      <c r="B44" s="164"/>
      <c r="C44" s="164"/>
      <c r="D44" s="164"/>
      <c r="E44" s="164">
        <v>435</v>
      </c>
      <c r="F44" s="164">
        <v>386</v>
      </c>
      <c r="G44" s="172">
        <f t="shared" si="12"/>
        <v>0</v>
      </c>
      <c r="H44" s="172">
        <f t="shared" si="13"/>
        <v>0</v>
      </c>
      <c r="I44" s="158"/>
      <c r="J44" s="159"/>
      <c r="K44" s="158"/>
      <c r="L44" s="159"/>
      <c r="CC44" s="284">
        <f>F45/$F$47</f>
        <v>4.8507749366151438E-2</v>
      </c>
    </row>
    <row r="45" spans="1:81" x14ac:dyDescent="0.35">
      <c r="A45" s="148" t="s">
        <v>39</v>
      </c>
      <c r="B45" s="162">
        <v>5600.8600000000024</v>
      </c>
      <c r="C45" s="162">
        <v>5401.0300000000007</v>
      </c>
      <c r="D45" s="162">
        <v>5317.9300000000012</v>
      </c>
      <c r="E45" s="162">
        <v>6835</v>
      </c>
      <c r="F45" s="162">
        <v>6945</v>
      </c>
      <c r="G45" s="275">
        <f t="shared" si="12"/>
        <v>0.79020190197512807</v>
      </c>
      <c r="H45" s="280">
        <f t="shared" si="13"/>
        <v>0.76572066234701242</v>
      </c>
      <c r="I45" s="154">
        <v>-199.83000000000175</v>
      </c>
      <c r="J45" s="155">
        <v>-3.5678449380988186E-2</v>
      </c>
      <c r="K45" s="154">
        <f>D45-C45</f>
        <v>-83.099999999999454</v>
      </c>
      <c r="L45" s="293">
        <f>(D45/C45)-1</f>
        <v>-1.5385954160595183E-2</v>
      </c>
      <c r="CC45" s="285"/>
    </row>
    <row r="46" spans="1:81" x14ac:dyDescent="0.35">
      <c r="A46" s="213" t="s">
        <v>39</v>
      </c>
      <c r="B46" s="214">
        <v>5600.8600000000024</v>
      </c>
      <c r="C46" s="214">
        <v>5401.0300000000007</v>
      </c>
      <c r="D46" s="214">
        <v>5317.9300000000012</v>
      </c>
      <c r="E46" s="214">
        <v>6835</v>
      </c>
      <c r="F46" s="214">
        <v>6945</v>
      </c>
      <c r="G46" s="172">
        <f t="shared" si="12"/>
        <v>0.79020190197512807</v>
      </c>
      <c r="H46" s="172">
        <f t="shared" si="13"/>
        <v>0.76572066234701242</v>
      </c>
      <c r="I46" s="215">
        <v>-199.83000000000175</v>
      </c>
      <c r="J46" s="216">
        <v>-3.5678449380988186E-2</v>
      </c>
      <c r="K46" s="215">
        <f>D46-C46</f>
        <v>-83.099999999999454</v>
      </c>
      <c r="L46" s="159">
        <f t="shared" ref="L46" si="16">IFERROR((D46/C46)-1,"")</f>
        <v>-1.5385954160595183E-2</v>
      </c>
      <c r="CC46" s="285"/>
    </row>
    <row r="47" spans="1:81" x14ac:dyDescent="0.35">
      <c r="A47" s="217" t="s">
        <v>40</v>
      </c>
      <c r="B47" s="210">
        <v>106686.83999999998</v>
      </c>
      <c r="C47" s="210">
        <v>107183.61000000013</v>
      </c>
      <c r="D47" s="210">
        <f>SUM(D45,D40,D35,D32,D28,D26,D24,D20,D18,D9)</f>
        <v>108084.02000000002</v>
      </c>
      <c r="E47" s="210">
        <v>141127</v>
      </c>
      <c r="F47" s="210">
        <v>143173</v>
      </c>
      <c r="G47" s="276">
        <f t="shared" si="12"/>
        <v>0.75948337313200265</v>
      </c>
      <c r="H47" s="276">
        <f t="shared" si="13"/>
        <v>0.75491901405991368</v>
      </c>
      <c r="I47" s="211">
        <v>496.77000000014959</v>
      </c>
      <c r="J47" s="212">
        <v>4.656338120054393E-3</v>
      </c>
      <c r="K47" s="210">
        <f>D47-C47</f>
        <v>900.40999999988708</v>
      </c>
      <c r="L47" s="212">
        <f>(D47/C47)-1</f>
        <v>8.4006314025053541E-3</v>
      </c>
    </row>
    <row r="48" spans="1:81" x14ac:dyDescent="0.35">
      <c r="C48" s="6"/>
      <c r="D48" s="282"/>
      <c r="E48" s="6"/>
      <c r="F48" s="6"/>
      <c r="M48" s="283"/>
    </row>
    <row r="51" spans="1:7" ht="43.5" x14ac:dyDescent="0.35">
      <c r="B51" s="207" t="s">
        <v>128</v>
      </c>
      <c r="C51" s="207" t="s">
        <v>127</v>
      </c>
      <c r="D51" s="207" t="s">
        <v>129</v>
      </c>
      <c r="E51" s="207" t="s">
        <v>130</v>
      </c>
      <c r="F51" s="207" t="s">
        <v>131</v>
      </c>
    </row>
    <row r="52" spans="1:7" x14ac:dyDescent="0.35">
      <c r="A52" s="208" t="s">
        <v>64</v>
      </c>
      <c r="B52" s="51">
        <f>F47</f>
        <v>143173</v>
      </c>
      <c r="C52" s="51">
        <f>C47</f>
        <v>107183.61000000013</v>
      </c>
      <c r="D52" s="51">
        <f>D47</f>
        <v>108084.02000000002</v>
      </c>
      <c r="E52" s="209">
        <f>IFERROR((D52/C52)-1,"")</f>
        <v>8.4006314025053541E-3</v>
      </c>
      <c r="F52" s="209">
        <f>IFERROR(D52/B52,"")</f>
        <v>0.75491901405991368</v>
      </c>
      <c r="G52" s="4">
        <f>B52/$B$56</f>
        <v>0.47915997322623827</v>
      </c>
    </row>
    <row r="53" spans="1:7" x14ac:dyDescent="0.35">
      <c r="A53" s="208" t="s">
        <v>70</v>
      </c>
      <c r="B53" s="51">
        <f>'PC-REPR'!F38</f>
        <v>102384</v>
      </c>
      <c r="C53" s="51">
        <f>'PC-REPR'!C38</f>
        <v>78989.869999999981</v>
      </c>
      <c r="D53" s="51">
        <f>'PC-REPR'!D38</f>
        <v>78551.239999999962</v>
      </c>
      <c r="E53" s="209">
        <f t="shared" ref="E53:E55" si="17">IFERROR((D53/C53)-1,"")</f>
        <v>-5.5529905290390147E-3</v>
      </c>
      <c r="F53" s="209">
        <f t="shared" ref="F53:F55" si="18">IFERROR(D53/B53,"")</f>
        <v>0.76722183153617718</v>
      </c>
      <c r="G53" s="4">
        <f>D52/D56</f>
        <v>0.49331853919609614</v>
      </c>
    </row>
    <row r="54" spans="1:7" x14ac:dyDescent="0.35">
      <c r="A54" s="208" t="s">
        <v>48</v>
      </c>
      <c r="B54" s="51">
        <f>'LIM-REPR'!F50</f>
        <v>50412</v>
      </c>
      <c r="C54" s="51">
        <f>'LIM-REPR'!C50</f>
        <v>27152.959999999999</v>
      </c>
      <c r="D54" s="51">
        <f>'LIM-REPR'!D50</f>
        <v>30125.489999999998</v>
      </c>
      <c r="E54" s="209">
        <f t="shared" si="17"/>
        <v>0.10947351596290056</v>
      </c>
      <c r="F54" s="209">
        <f t="shared" si="18"/>
        <v>0.5975856938824089</v>
      </c>
    </row>
    <row r="55" spans="1:7" x14ac:dyDescent="0.35">
      <c r="A55" s="208" t="s">
        <v>53</v>
      </c>
      <c r="B55" s="51">
        <f>'POM-REPR'!F32</f>
        <v>2831</v>
      </c>
      <c r="C55" s="51">
        <f>'POM-REPR'!C32</f>
        <v>2073.42</v>
      </c>
      <c r="D55" s="51">
        <f>'POM-REPR'!D32</f>
        <v>2335.0500000000002</v>
      </c>
      <c r="E55" s="209">
        <f t="shared" si="17"/>
        <v>0.12618282837051842</v>
      </c>
      <c r="F55" s="209">
        <f t="shared" si="18"/>
        <v>0.82481455316142716</v>
      </c>
    </row>
    <row r="56" spans="1:7" x14ac:dyDescent="0.35">
      <c r="B56" s="51">
        <f>SUM(B52:B55)</f>
        <v>298800</v>
      </c>
      <c r="C56" s="51">
        <f>SUM(C52:C55)</f>
        <v>215399.8600000001</v>
      </c>
      <c r="D56" s="51">
        <f>SUM(D52:D55)</f>
        <v>219095.79999999996</v>
      </c>
      <c r="E56" s="209">
        <f t="shared" ref="E56" si="19">IFERROR((D56/C56)-1,"")</f>
        <v>1.7158506973959264E-2</v>
      </c>
      <c r="F56" s="209">
        <f t="shared" ref="F56" si="20">IFERROR(D56/B56,"")</f>
        <v>0.73325234270414985</v>
      </c>
    </row>
  </sheetData>
  <mergeCells count="7">
    <mergeCell ref="O7:P7"/>
    <mergeCell ref="B7:D7"/>
    <mergeCell ref="I7:J7"/>
    <mergeCell ref="K7:L7"/>
    <mergeCell ref="A7:A8"/>
    <mergeCell ref="E7:F7"/>
    <mergeCell ref="G7:H7"/>
  </mergeCells>
  <conditionalFormatting sqref="J10:J17 J19 J21:J23 J25 J27 J29:J31 J33:J34 J36:J39 J41 J46 J43:J44">
    <cfRule type="cellIs" dxfId="232" priority="66" operator="lessThan">
      <formula>0</formula>
    </cfRule>
  </conditionalFormatting>
  <conditionalFormatting sqref="I10:I17 I19 I21:I23 I25 I27 I29:I31 I33:I34 I36:I39 I41 I46 I43:I44">
    <cfRule type="cellIs" dxfId="231" priority="67" operator="lessThan">
      <formula>0</formula>
    </cfRule>
  </conditionalFormatting>
  <conditionalFormatting sqref="I47">
    <cfRule type="cellIs" dxfId="230" priority="48" operator="lessThan">
      <formula>0</formula>
    </cfRule>
  </conditionalFormatting>
  <conditionalFormatting sqref="K10:K17">
    <cfRule type="cellIs" dxfId="229" priority="65" operator="lessThan">
      <formula>0</formula>
    </cfRule>
  </conditionalFormatting>
  <conditionalFormatting sqref="L10:L17">
    <cfRule type="cellIs" dxfId="228" priority="64" operator="lessThan">
      <formula>0</formula>
    </cfRule>
  </conditionalFormatting>
  <conditionalFormatting sqref="K21:K23 K25">
    <cfRule type="cellIs" dxfId="227" priority="60" operator="lessThan">
      <formula>0</formula>
    </cfRule>
  </conditionalFormatting>
  <conditionalFormatting sqref="K31 K33:K34">
    <cfRule type="cellIs" dxfId="226" priority="58" operator="lessThan">
      <formula>0</formula>
    </cfRule>
  </conditionalFormatting>
  <conditionalFormatting sqref="K41 K43:K44">
    <cfRule type="cellIs" dxfId="225" priority="55" operator="lessThan">
      <formula>0</formula>
    </cfRule>
  </conditionalFormatting>
  <conditionalFormatting sqref="K46">
    <cfRule type="cellIs" dxfId="224" priority="53" operator="lessThan">
      <formula>0</formula>
    </cfRule>
  </conditionalFormatting>
  <conditionalFormatting sqref="L47">
    <cfRule type="cellIs" dxfId="223" priority="46" operator="lessThan">
      <formula>0</formula>
    </cfRule>
  </conditionalFormatting>
  <conditionalFormatting sqref="J47">
    <cfRule type="cellIs" dxfId="222" priority="47" operator="lessThan">
      <formula>0</formula>
    </cfRule>
  </conditionalFormatting>
  <conditionalFormatting sqref="I40">
    <cfRule type="cellIs" dxfId="221" priority="45" operator="lessThan">
      <formula>0</formula>
    </cfRule>
  </conditionalFormatting>
  <conditionalFormatting sqref="I45">
    <cfRule type="cellIs" dxfId="220" priority="44" operator="lessThan">
      <formula>0</formula>
    </cfRule>
  </conditionalFormatting>
  <conditionalFormatting sqref="K45">
    <cfRule type="cellIs" dxfId="219" priority="43" operator="lessThan">
      <formula>0</formula>
    </cfRule>
  </conditionalFormatting>
  <conditionalFormatting sqref="K40">
    <cfRule type="cellIs" dxfId="218" priority="42" operator="lessThan">
      <formula>0</formula>
    </cfRule>
  </conditionalFormatting>
  <conditionalFormatting sqref="K32">
    <cfRule type="cellIs" dxfId="217" priority="41" operator="lessThan">
      <formula>0</formula>
    </cfRule>
  </conditionalFormatting>
  <conditionalFormatting sqref="K28">
    <cfRule type="cellIs" dxfId="216" priority="40" operator="lessThan">
      <formula>0</formula>
    </cfRule>
  </conditionalFormatting>
  <conditionalFormatting sqref="K24">
    <cfRule type="cellIs" dxfId="215" priority="39" operator="lessThan">
      <formula>0</formula>
    </cfRule>
  </conditionalFormatting>
  <conditionalFormatting sqref="K18">
    <cfRule type="cellIs" dxfId="214" priority="38" operator="lessThan">
      <formula>0</formula>
    </cfRule>
  </conditionalFormatting>
  <conditionalFormatting sqref="L24">
    <cfRule type="cellIs" dxfId="213" priority="37" operator="lessThan">
      <formula>0</formula>
    </cfRule>
  </conditionalFormatting>
  <conditionalFormatting sqref="J26">
    <cfRule type="cellIs" dxfId="212" priority="36" operator="lessThan">
      <formula>0</formula>
    </cfRule>
  </conditionalFormatting>
  <conditionalFormatting sqref="J28">
    <cfRule type="cellIs" dxfId="211" priority="35" operator="lessThan">
      <formula>0</formula>
    </cfRule>
  </conditionalFormatting>
  <conditionalFormatting sqref="J32">
    <cfRule type="cellIs" dxfId="210" priority="34" operator="lessThan">
      <formula>0</formula>
    </cfRule>
  </conditionalFormatting>
  <conditionalFormatting sqref="J9">
    <cfRule type="cellIs" dxfId="209" priority="33" operator="lessThan">
      <formula>0</formula>
    </cfRule>
  </conditionalFormatting>
  <conditionalFormatting sqref="L20">
    <cfRule type="cellIs" dxfId="208" priority="32" operator="lessThan">
      <formula>0</formula>
    </cfRule>
  </conditionalFormatting>
  <conditionalFormatting sqref="J45">
    <cfRule type="cellIs" dxfId="207" priority="27" operator="lessThan">
      <formula>0</formula>
    </cfRule>
  </conditionalFormatting>
  <conditionalFormatting sqref="J40">
    <cfRule type="cellIs" dxfId="206" priority="26" operator="lessThan">
      <formula>0</formula>
    </cfRule>
  </conditionalFormatting>
  <conditionalFormatting sqref="E52:E55">
    <cfRule type="cellIs" dxfId="205" priority="24" operator="lessThan">
      <formula>0</formula>
    </cfRule>
  </conditionalFormatting>
  <conditionalFormatting sqref="L19">
    <cfRule type="cellIs" dxfId="204" priority="23" operator="lessThan">
      <formula>0</formula>
    </cfRule>
  </conditionalFormatting>
  <conditionalFormatting sqref="L21:L23">
    <cfRule type="cellIs" dxfId="203" priority="22" operator="lessThan">
      <formula>0</formula>
    </cfRule>
  </conditionalFormatting>
  <conditionalFormatting sqref="L25">
    <cfRule type="cellIs" dxfId="202" priority="21" operator="lessThan">
      <formula>0</formula>
    </cfRule>
  </conditionalFormatting>
  <conditionalFormatting sqref="L27">
    <cfRule type="cellIs" dxfId="201" priority="20" operator="lessThan">
      <formula>0</formula>
    </cfRule>
  </conditionalFormatting>
  <conditionalFormatting sqref="L29">
    <cfRule type="cellIs" dxfId="200" priority="19" operator="lessThan">
      <formula>0</formula>
    </cfRule>
  </conditionalFormatting>
  <conditionalFormatting sqref="L30">
    <cfRule type="cellIs" dxfId="199" priority="18" operator="lessThan">
      <formula>0</formula>
    </cfRule>
  </conditionalFormatting>
  <conditionalFormatting sqref="L31">
    <cfRule type="cellIs" dxfId="198" priority="17" operator="lessThan">
      <formula>0</formula>
    </cfRule>
  </conditionalFormatting>
  <conditionalFormatting sqref="L33">
    <cfRule type="cellIs" dxfId="197" priority="16" operator="lessThan">
      <formula>0</formula>
    </cfRule>
  </conditionalFormatting>
  <conditionalFormatting sqref="L34">
    <cfRule type="cellIs" dxfId="196" priority="15" operator="lessThan">
      <formula>0</formula>
    </cfRule>
  </conditionalFormatting>
  <conditionalFormatting sqref="L41 L43:L44">
    <cfRule type="cellIs" dxfId="195" priority="14" operator="lessThan">
      <formula>0</formula>
    </cfRule>
  </conditionalFormatting>
  <conditionalFormatting sqref="L46">
    <cfRule type="cellIs" dxfId="194" priority="13" operator="lessThan">
      <formula>0</formula>
    </cfRule>
  </conditionalFormatting>
  <conditionalFormatting sqref="I42">
    <cfRule type="cellIs" dxfId="193" priority="12" operator="lessThan">
      <formula>0</formula>
    </cfRule>
  </conditionalFormatting>
  <conditionalFormatting sqref="K42">
    <cfRule type="cellIs" dxfId="192" priority="11" operator="lessThan">
      <formula>0</formula>
    </cfRule>
  </conditionalFormatting>
  <conditionalFormatting sqref="L42">
    <cfRule type="cellIs" dxfId="191" priority="10" operator="lessThan">
      <formula>0</formula>
    </cfRule>
  </conditionalFormatting>
  <conditionalFormatting sqref="J42">
    <cfRule type="cellIs" dxfId="190" priority="9" operator="lessThan">
      <formula>0</formula>
    </cfRule>
  </conditionalFormatting>
  <conditionalFormatting sqref="K35">
    <cfRule type="cellIs" dxfId="189" priority="8" operator="lessThan">
      <formula>0</formula>
    </cfRule>
  </conditionalFormatting>
  <conditionalFormatting sqref="K36">
    <cfRule type="cellIs" dxfId="188" priority="7" operator="lessThan">
      <formula>0</formula>
    </cfRule>
  </conditionalFormatting>
  <conditionalFormatting sqref="L28">
    <cfRule type="cellIs" dxfId="187" priority="6" operator="lessThan">
      <formula>0</formula>
    </cfRule>
  </conditionalFormatting>
  <conditionalFormatting sqref="L32">
    <cfRule type="cellIs" dxfId="186" priority="5" operator="lessThan">
      <formula>0</formula>
    </cfRule>
  </conditionalFormatting>
  <conditionalFormatting sqref="L35">
    <cfRule type="cellIs" dxfId="185" priority="4" operator="lessThan">
      <formula>0</formula>
    </cfRule>
  </conditionalFormatting>
  <conditionalFormatting sqref="L40">
    <cfRule type="cellIs" dxfId="184" priority="3" operator="lessThan">
      <formula>0</formula>
    </cfRule>
  </conditionalFormatting>
  <conditionalFormatting sqref="L45">
    <cfRule type="cellIs" dxfId="183" priority="2" operator="lessThan">
      <formula>0</formula>
    </cfRule>
  </conditionalFormatting>
  <conditionalFormatting sqref="E56">
    <cfRule type="cellIs" dxfId="182" priority="1" operator="lessThan">
      <formula>0</formula>
    </cfRule>
  </conditionalFormatting>
  <hyperlinks>
    <hyperlink ref="K1" location="ÍNDICE!A1" display="ÍNDICE!A1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autoPageBreaks="0"/>
  </sheetPr>
  <dimension ref="A1:AQ53"/>
  <sheetViews>
    <sheetView topLeftCell="K30" zoomScale="90" zoomScaleNormal="90" workbookViewId="0">
      <selection activeCell="J2" sqref="J2:K2"/>
    </sheetView>
  </sheetViews>
  <sheetFormatPr baseColWidth="10" defaultRowHeight="14.5" x14ac:dyDescent="0.35"/>
  <cols>
    <col min="1" max="1" width="24.81640625" bestFit="1" customWidth="1"/>
    <col min="2" max="2" width="17.26953125" customWidth="1"/>
    <col min="3" max="3" width="13.7265625" customWidth="1"/>
    <col min="4" max="8" width="15.26953125" customWidth="1"/>
    <col min="9" max="9" width="15.453125" customWidth="1"/>
    <col min="10" max="10" width="16.453125" customWidth="1"/>
    <col min="11" max="11" width="15.1796875" customWidth="1"/>
    <col min="12" max="12" width="16.453125" customWidth="1"/>
  </cols>
  <sheetData>
    <row r="1" spans="1:43" ht="21" x14ac:dyDescent="0.5">
      <c r="A1" s="337" t="s">
        <v>80</v>
      </c>
      <c r="B1" s="338" t="s">
        <v>79</v>
      </c>
    </row>
    <row r="2" spans="1:43" ht="21" x14ac:dyDescent="0.5">
      <c r="A2" s="3"/>
      <c r="B2" s="48"/>
      <c r="J2" s="337"/>
      <c r="K2" s="338"/>
    </row>
    <row r="4" spans="1:43" ht="17.5" x14ac:dyDescent="0.35">
      <c r="A4" s="150"/>
    </row>
    <row r="5" spans="1:43" ht="18.5" x14ac:dyDescent="0.45">
      <c r="A5" s="150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</row>
    <row r="7" spans="1:43" ht="43" customHeight="1" x14ac:dyDescent="0.35">
      <c r="A7" s="323" t="s">
        <v>134</v>
      </c>
      <c r="B7" s="322" t="s">
        <v>1</v>
      </c>
      <c r="C7" s="322"/>
      <c r="D7" s="322"/>
      <c r="E7" s="323" t="s">
        <v>121</v>
      </c>
      <c r="F7" s="323"/>
      <c r="G7" s="323" t="s">
        <v>122</v>
      </c>
      <c r="H7" s="323"/>
      <c r="I7" s="323" t="s">
        <v>2</v>
      </c>
      <c r="J7" s="323"/>
      <c r="K7" s="323" t="s">
        <v>5</v>
      </c>
      <c r="L7" s="323"/>
      <c r="M7" s="288"/>
    </row>
    <row r="8" spans="1:43" x14ac:dyDescent="0.35">
      <c r="A8" s="323"/>
      <c r="B8" s="90" t="s">
        <v>63</v>
      </c>
      <c r="C8" s="90" t="s">
        <v>61</v>
      </c>
      <c r="D8" s="90" t="s">
        <v>62</v>
      </c>
      <c r="E8" s="90">
        <v>2020</v>
      </c>
      <c r="F8" s="90">
        <v>2021</v>
      </c>
      <c r="G8" s="201">
        <v>2020</v>
      </c>
      <c r="H8" s="201">
        <v>2021</v>
      </c>
      <c r="I8" s="90" t="s">
        <v>3</v>
      </c>
      <c r="J8" s="91" t="s">
        <v>4</v>
      </c>
      <c r="K8" s="90" t="s">
        <v>3</v>
      </c>
      <c r="L8" s="91" t="s">
        <v>4</v>
      </c>
      <c r="M8" s="288"/>
    </row>
    <row r="9" spans="1:43" x14ac:dyDescent="0.35">
      <c r="A9" s="200" t="s">
        <v>6</v>
      </c>
      <c r="B9" s="202">
        <v>3056.01</v>
      </c>
      <c r="C9" s="202">
        <v>3283.02</v>
      </c>
      <c r="D9" s="202">
        <f>SUM(D10:D16)</f>
        <v>3958.5800000000004</v>
      </c>
      <c r="E9" s="202">
        <v>6684</v>
      </c>
      <c r="F9" s="202">
        <v>7127</v>
      </c>
      <c r="G9" s="275">
        <f>IFERROR(C9/E9,"")</f>
        <v>0.49117594254937164</v>
      </c>
      <c r="H9" s="275">
        <f>IFERROR(D9/F9,"")</f>
        <v>0.55543426406622709</v>
      </c>
      <c r="I9" s="202">
        <v>227.00999999999976</v>
      </c>
      <c r="J9" s="203">
        <v>7.4283133890268527E-2</v>
      </c>
      <c r="K9" s="202">
        <f>D9-C9</f>
        <v>675.5600000000004</v>
      </c>
      <c r="L9" s="295">
        <f>(D9/C9)-1</f>
        <v>0.2057739520319708</v>
      </c>
      <c r="AQ9" s="284">
        <f>F9/$F$50</f>
        <v>0.141375069427914</v>
      </c>
    </row>
    <row r="10" spans="1:43" x14ac:dyDescent="0.35">
      <c r="A10" s="169" t="s">
        <v>7</v>
      </c>
      <c r="B10" s="164">
        <v>921.58999999999992</v>
      </c>
      <c r="C10" s="164">
        <v>997.36</v>
      </c>
      <c r="D10" s="164">
        <v>1492.54</v>
      </c>
      <c r="E10" s="164">
        <v>1753</v>
      </c>
      <c r="F10" s="164">
        <v>2121</v>
      </c>
      <c r="G10" s="172">
        <f>IFERROR(C10/E10,"")</f>
        <v>0.5689446662863662</v>
      </c>
      <c r="H10" s="172">
        <f>IFERROR(D10/F10,"")</f>
        <v>0.70369636963696369</v>
      </c>
      <c r="I10" s="158">
        <v>75.770000000000095</v>
      </c>
      <c r="J10" s="159">
        <v>8.2216603912802944E-2</v>
      </c>
      <c r="K10" s="158">
        <f t="shared" ref="K10:K50" si="0">D10-C10</f>
        <v>495.17999999999995</v>
      </c>
      <c r="L10" s="159">
        <f t="shared" ref="L10:L50" si="1">(D10/C10)-1</f>
        <v>0.49649073554183043</v>
      </c>
      <c r="AQ10" s="288"/>
    </row>
    <row r="11" spans="1:43" x14ac:dyDescent="0.35">
      <c r="A11" s="169" t="s">
        <v>8</v>
      </c>
      <c r="B11" s="164">
        <v>7.169999999999999</v>
      </c>
      <c r="C11" s="164">
        <v>10.3</v>
      </c>
      <c r="D11" s="164">
        <v>14.28</v>
      </c>
      <c r="E11" s="164">
        <v>16</v>
      </c>
      <c r="F11" s="164">
        <v>16</v>
      </c>
      <c r="G11" s="172">
        <f t="shared" ref="G11:H13" si="2">IFERROR(C11/E11,"")</f>
        <v>0.64375000000000004</v>
      </c>
      <c r="H11" s="172">
        <f t="shared" si="2"/>
        <v>0.89249999999999996</v>
      </c>
      <c r="I11" s="158">
        <v>3.1300000000000017</v>
      </c>
      <c r="J11" s="159">
        <v>0.43654114365411467</v>
      </c>
      <c r="K11" s="158">
        <f t="shared" si="0"/>
        <v>3.9799999999999986</v>
      </c>
      <c r="L11" s="159">
        <f t="shared" si="1"/>
        <v>0.386407766990291</v>
      </c>
      <c r="AQ11" s="288"/>
    </row>
    <row r="12" spans="1:43" x14ac:dyDescent="0.35">
      <c r="A12" s="169" t="s">
        <v>9</v>
      </c>
      <c r="B12" s="164">
        <v>4.4800000000000004</v>
      </c>
      <c r="C12" s="164">
        <v>7.48</v>
      </c>
      <c r="D12" s="164">
        <v>7.63</v>
      </c>
      <c r="E12" s="164">
        <v>7</v>
      </c>
      <c r="F12" s="164">
        <v>7</v>
      </c>
      <c r="G12" s="172">
        <f t="shared" si="2"/>
        <v>1.0685714285714287</v>
      </c>
      <c r="H12" s="172">
        <f t="shared" si="2"/>
        <v>1.0900000000000001</v>
      </c>
      <c r="I12" s="158">
        <v>3</v>
      </c>
      <c r="J12" s="159">
        <v>0.66964285714285698</v>
      </c>
      <c r="K12" s="158">
        <f t="shared" si="0"/>
        <v>0.14999999999999947</v>
      </c>
      <c r="L12" s="159">
        <f t="shared" si="1"/>
        <v>2.0053475935828846E-2</v>
      </c>
      <c r="AQ12" s="288"/>
    </row>
    <row r="13" spans="1:43" x14ac:dyDescent="0.35">
      <c r="A13" s="169" t="s">
        <v>10</v>
      </c>
      <c r="B13" s="164">
        <v>31.369999999999994</v>
      </c>
      <c r="C13" s="164">
        <v>32.480000000000004</v>
      </c>
      <c r="D13" s="164">
        <v>31.92</v>
      </c>
      <c r="E13" s="164">
        <v>95</v>
      </c>
      <c r="F13" s="164">
        <v>96</v>
      </c>
      <c r="G13" s="172">
        <f t="shared" si="2"/>
        <v>0.34189473684210531</v>
      </c>
      <c r="H13" s="172">
        <f t="shared" si="2"/>
        <v>0.33250000000000002</v>
      </c>
      <c r="I13" s="158">
        <v>1.1100000000000101</v>
      </c>
      <c r="J13" s="159">
        <v>3.5384124960153418E-2</v>
      </c>
      <c r="K13" s="158">
        <f t="shared" si="0"/>
        <v>-0.56000000000000227</v>
      </c>
      <c r="L13" s="159">
        <f t="shared" si="1"/>
        <v>-1.7241379310344862E-2</v>
      </c>
      <c r="AQ13" s="288"/>
    </row>
    <row r="14" spans="1:43" x14ac:dyDescent="0.35">
      <c r="A14" s="169" t="s">
        <v>11</v>
      </c>
      <c r="B14" s="164">
        <v>66.63000000000001</v>
      </c>
      <c r="C14" s="164">
        <v>79.41</v>
      </c>
      <c r="D14" s="164">
        <v>70.8</v>
      </c>
      <c r="E14" s="164">
        <v>151</v>
      </c>
      <c r="F14" s="164">
        <v>175</v>
      </c>
      <c r="G14" s="172">
        <f t="shared" ref="G14:G16" si="3">IFERROR(C14/E14,"")</f>
        <v>0.52589403973509929</v>
      </c>
      <c r="H14" s="172">
        <f t="shared" ref="H14:H16" si="4">IFERROR(D14/F14,"")</f>
        <v>0.40457142857142858</v>
      </c>
      <c r="I14" s="158">
        <v>12.779999999999987</v>
      </c>
      <c r="J14" s="159">
        <v>0.19180549302116146</v>
      </c>
      <c r="K14" s="158">
        <f t="shared" si="0"/>
        <v>-8.61</v>
      </c>
      <c r="L14" s="159">
        <f t="shared" si="1"/>
        <v>-0.10842463165848126</v>
      </c>
      <c r="AQ14" s="288"/>
    </row>
    <row r="15" spans="1:43" x14ac:dyDescent="0.35">
      <c r="A15" s="169" t="s">
        <v>13</v>
      </c>
      <c r="B15" s="164">
        <v>1893.7600000000002</v>
      </c>
      <c r="C15" s="164">
        <v>2022.6799999999998</v>
      </c>
      <c r="D15" s="164">
        <v>2160.2500000000005</v>
      </c>
      <c r="E15" s="164">
        <v>4526</v>
      </c>
      <c r="F15" s="164">
        <v>4531</v>
      </c>
      <c r="G15" s="172">
        <f t="shared" si="3"/>
        <v>0.44690234202386209</v>
      </c>
      <c r="H15" s="172">
        <f t="shared" si="4"/>
        <v>0.47677113220039735</v>
      </c>
      <c r="I15" s="158">
        <v>128.91999999999962</v>
      </c>
      <c r="J15" s="159">
        <v>6.8076208178438513E-2</v>
      </c>
      <c r="K15" s="158">
        <f t="shared" si="0"/>
        <v>137.57000000000062</v>
      </c>
      <c r="L15" s="159">
        <f t="shared" si="1"/>
        <v>6.8013724365693307E-2</v>
      </c>
      <c r="AQ15" s="288"/>
    </row>
    <row r="16" spans="1:43" x14ac:dyDescent="0.35">
      <c r="A16" s="169" t="s">
        <v>14</v>
      </c>
      <c r="B16" s="164">
        <v>131.01</v>
      </c>
      <c r="C16" s="164">
        <v>133.31</v>
      </c>
      <c r="D16" s="164">
        <v>181.16</v>
      </c>
      <c r="E16" s="164">
        <v>136</v>
      </c>
      <c r="F16" s="164">
        <v>181</v>
      </c>
      <c r="G16" s="172">
        <f t="shared" si="3"/>
        <v>0.98022058823529412</v>
      </c>
      <c r="H16" s="172">
        <f t="shared" si="4"/>
        <v>1.0008839779005525</v>
      </c>
      <c r="I16" s="158">
        <v>2.3000000000000114</v>
      </c>
      <c r="J16" s="159">
        <v>1.7555911762461074E-2</v>
      </c>
      <c r="K16" s="158">
        <f t="shared" si="0"/>
        <v>47.849999999999994</v>
      </c>
      <c r="L16" s="159">
        <f t="shared" si="1"/>
        <v>0.35893781411747061</v>
      </c>
      <c r="AQ16" s="288"/>
    </row>
    <row r="17" spans="1:43" x14ac:dyDescent="0.35">
      <c r="A17" s="153" t="s">
        <v>49</v>
      </c>
      <c r="B17" s="162">
        <v>0.13</v>
      </c>
      <c r="C17" s="162">
        <v>0.13</v>
      </c>
      <c r="D17" s="162">
        <v>0.13</v>
      </c>
      <c r="E17" s="162"/>
      <c r="F17" s="162"/>
      <c r="G17" s="275" t="str">
        <f>IFERROR(C17/E17,"")</f>
        <v/>
      </c>
      <c r="H17" s="275" t="str">
        <f>IFERROR(D17/F17,"")</f>
        <v/>
      </c>
      <c r="I17" s="154">
        <v>0</v>
      </c>
      <c r="J17" s="163">
        <v>0</v>
      </c>
      <c r="K17" s="154">
        <f t="shared" si="0"/>
        <v>0</v>
      </c>
      <c r="L17" s="163">
        <f t="shared" si="1"/>
        <v>0</v>
      </c>
      <c r="AQ17" s="288"/>
    </row>
    <row r="18" spans="1:43" x14ac:dyDescent="0.35">
      <c r="A18" s="147" t="s">
        <v>50</v>
      </c>
      <c r="B18" s="164">
        <v>0.13</v>
      </c>
      <c r="C18" s="164">
        <v>0.13</v>
      </c>
      <c r="D18" s="164">
        <v>0.13</v>
      </c>
      <c r="E18" s="164"/>
      <c r="F18" s="164"/>
      <c r="G18" s="164"/>
      <c r="H18" s="164"/>
      <c r="I18" s="164">
        <v>0</v>
      </c>
      <c r="J18" s="159">
        <v>0</v>
      </c>
      <c r="K18" s="158">
        <f t="shared" si="0"/>
        <v>0</v>
      </c>
      <c r="L18" s="159">
        <f t="shared" si="1"/>
        <v>0</v>
      </c>
      <c r="AQ18" s="288"/>
    </row>
    <row r="19" spans="1:43" x14ac:dyDescent="0.35">
      <c r="A19" s="153" t="s">
        <v>15</v>
      </c>
      <c r="B19" s="162">
        <v>7.0000000000000007E-2</v>
      </c>
      <c r="C19" s="162">
        <v>0.05</v>
      </c>
      <c r="D19" s="162">
        <v>7.0000000000000007E-2</v>
      </c>
      <c r="E19" s="162"/>
      <c r="F19" s="162"/>
      <c r="G19" s="275" t="str">
        <f>IFERROR(C19/E19,"")</f>
        <v/>
      </c>
      <c r="H19" s="275" t="str">
        <f>IFERROR(D19/F19,"")</f>
        <v/>
      </c>
      <c r="I19" s="154">
        <v>-2.0000000000000004E-2</v>
      </c>
      <c r="J19" s="155">
        <v>-0.2857142857142857</v>
      </c>
      <c r="K19" s="154">
        <f t="shared" si="0"/>
        <v>2.0000000000000004E-2</v>
      </c>
      <c r="L19" s="295">
        <f t="shared" si="1"/>
        <v>0.40000000000000013</v>
      </c>
      <c r="AQ19" s="288"/>
    </row>
    <row r="20" spans="1:43" x14ac:dyDescent="0.35">
      <c r="A20" s="147" t="s">
        <v>15</v>
      </c>
      <c r="B20" s="164">
        <v>7.0000000000000007E-2</v>
      </c>
      <c r="C20" s="164">
        <v>0.05</v>
      </c>
      <c r="D20" s="164">
        <v>7.0000000000000007E-2</v>
      </c>
      <c r="E20" s="164"/>
      <c r="F20" s="164"/>
      <c r="G20" s="164"/>
      <c r="H20" s="164"/>
      <c r="I20" s="158">
        <v>-2.0000000000000004E-2</v>
      </c>
      <c r="J20" s="159">
        <v>-0.2857142857142857</v>
      </c>
      <c r="K20" s="158">
        <f t="shared" si="0"/>
        <v>2.0000000000000004E-2</v>
      </c>
      <c r="L20" s="159">
        <f t="shared" si="1"/>
        <v>0.40000000000000013</v>
      </c>
      <c r="AQ20" s="288"/>
    </row>
    <row r="21" spans="1:43" x14ac:dyDescent="0.35">
      <c r="A21" s="153" t="s">
        <v>16</v>
      </c>
      <c r="B21" s="162">
        <v>8820.3799999999956</v>
      </c>
      <c r="C21" s="162">
        <v>9249.23</v>
      </c>
      <c r="D21" s="162">
        <f>SUM(D22:D24)</f>
        <v>10092.11</v>
      </c>
      <c r="E21" s="162">
        <v>15108</v>
      </c>
      <c r="F21" s="162">
        <v>16392</v>
      </c>
      <c r="G21" s="275">
        <f>IFERROR(C21/E21,"")</f>
        <v>0.61220743976701086</v>
      </c>
      <c r="H21" s="275">
        <f>IFERROR(D21/F21,"")</f>
        <v>0.6156728892142509</v>
      </c>
      <c r="I21" s="162">
        <v>428.850000000004</v>
      </c>
      <c r="J21" s="163">
        <v>4.8620354225101803E-2</v>
      </c>
      <c r="K21" s="162">
        <f t="shared" si="0"/>
        <v>842.88000000000102</v>
      </c>
      <c r="L21" s="295">
        <f t="shared" si="1"/>
        <v>9.1129748097949825E-2</v>
      </c>
      <c r="AQ21" s="284">
        <f>F21/$F$50</f>
        <v>0.32516067602951676</v>
      </c>
    </row>
    <row r="22" spans="1:43" x14ac:dyDescent="0.35">
      <c r="A22" s="147" t="s">
        <v>17</v>
      </c>
      <c r="B22" s="164">
        <v>8673.9799999999959</v>
      </c>
      <c r="C22" s="164">
        <v>9091.81</v>
      </c>
      <c r="D22" s="164">
        <v>9923.19</v>
      </c>
      <c r="E22" s="164">
        <v>14836</v>
      </c>
      <c r="F22" s="164">
        <v>16088</v>
      </c>
      <c r="G22" s="172">
        <f t="shared" ref="G22:G24" si="5">IFERROR(C22/E22,"")</f>
        <v>0.61282084119708813</v>
      </c>
      <c r="H22" s="172">
        <f t="shared" ref="H22:H24" si="6">IFERROR(D22/F22,"")</f>
        <v>0.61680693684733967</v>
      </c>
      <c r="I22" s="164">
        <v>417.83000000000357</v>
      </c>
      <c r="J22" s="172">
        <v>4.8170505350485504E-2</v>
      </c>
      <c r="K22" s="158">
        <f t="shared" si="0"/>
        <v>831.38000000000102</v>
      </c>
      <c r="L22" s="159">
        <f t="shared" si="1"/>
        <v>9.1442738024661852E-2</v>
      </c>
      <c r="AQ22" s="288"/>
    </row>
    <row r="23" spans="1:43" x14ac:dyDescent="0.35">
      <c r="A23" s="169" t="s">
        <v>18</v>
      </c>
      <c r="B23" s="164">
        <v>35.94</v>
      </c>
      <c r="C23" s="164">
        <v>38.279999999999994</v>
      </c>
      <c r="D23" s="164">
        <v>37.650000000000006</v>
      </c>
      <c r="E23" s="164">
        <v>71</v>
      </c>
      <c r="F23" s="164">
        <v>78</v>
      </c>
      <c r="G23" s="172">
        <f t="shared" si="5"/>
        <v>0.53915492957746469</v>
      </c>
      <c r="H23" s="172">
        <f t="shared" si="6"/>
        <v>0.48269230769230775</v>
      </c>
      <c r="I23" s="164">
        <v>2.3399999999999963</v>
      </c>
      <c r="J23" s="172">
        <v>6.5108514190317157E-2</v>
      </c>
      <c r="K23" s="158">
        <f t="shared" si="0"/>
        <v>-0.62999999999998835</v>
      </c>
      <c r="L23" s="159">
        <f t="shared" si="1"/>
        <v>-1.6457680250783424E-2</v>
      </c>
      <c r="AQ23" s="288"/>
    </row>
    <row r="24" spans="1:43" x14ac:dyDescent="0.35">
      <c r="A24" s="147" t="s">
        <v>19</v>
      </c>
      <c r="B24" s="164">
        <v>110.46000000000001</v>
      </c>
      <c r="C24" s="164">
        <v>119.14000000000001</v>
      </c>
      <c r="D24" s="164">
        <v>131.27000000000001</v>
      </c>
      <c r="E24" s="164">
        <v>201</v>
      </c>
      <c r="F24" s="164">
        <v>226</v>
      </c>
      <c r="G24" s="172">
        <f t="shared" si="5"/>
        <v>0.59273631840796026</v>
      </c>
      <c r="H24" s="172">
        <f t="shared" si="6"/>
        <v>0.58084070796460185</v>
      </c>
      <c r="I24" s="164">
        <v>8.6800000000000068</v>
      </c>
      <c r="J24" s="172">
        <v>7.8580481622306797E-2</v>
      </c>
      <c r="K24" s="158">
        <f t="shared" si="0"/>
        <v>12.129999999999995</v>
      </c>
      <c r="L24" s="159">
        <f t="shared" si="1"/>
        <v>0.10181299311734082</v>
      </c>
      <c r="AQ24" s="288"/>
    </row>
    <row r="25" spans="1:43" x14ac:dyDescent="0.35">
      <c r="A25" s="153" t="s">
        <v>43</v>
      </c>
      <c r="B25" s="162"/>
      <c r="C25" s="162">
        <v>0.28000000000000003</v>
      </c>
      <c r="D25" s="162"/>
      <c r="E25" s="162"/>
      <c r="F25" s="162"/>
      <c r="G25" s="162"/>
      <c r="H25" s="162"/>
      <c r="I25" s="154">
        <v>0.28000000000000003</v>
      </c>
      <c r="J25" s="163" t="s">
        <v>41</v>
      </c>
      <c r="K25" s="154">
        <f t="shared" si="0"/>
        <v>-0.28000000000000003</v>
      </c>
      <c r="L25" s="155">
        <f t="shared" si="1"/>
        <v>-1</v>
      </c>
      <c r="AQ25" s="288"/>
    </row>
    <row r="26" spans="1:43" x14ac:dyDescent="0.35">
      <c r="A26" s="147" t="s">
        <v>51</v>
      </c>
      <c r="B26" s="164"/>
      <c r="C26" s="164">
        <v>0.28000000000000003</v>
      </c>
      <c r="D26" s="165"/>
      <c r="E26" s="165"/>
      <c r="F26" s="165"/>
      <c r="G26" s="172" t="str">
        <f t="shared" ref="G26:G27" si="7">IFERROR(C26/E26,"")</f>
        <v/>
      </c>
      <c r="H26" s="172" t="str">
        <f t="shared" ref="H26:H27" si="8">IFERROR(D26/F26,"")</f>
        <v/>
      </c>
      <c r="I26" s="158">
        <v>0.28000000000000003</v>
      </c>
      <c r="J26" s="172" t="s">
        <v>41</v>
      </c>
      <c r="K26" s="158">
        <f t="shared" si="0"/>
        <v>-0.28000000000000003</v>
      </c>
      <c r="L26" s="159">
        <f t="shared" si="1"/>
        <v>-1</v>
      </c>
      <c r="AQ26" s="288"/>
    </row>
    <row r="27" spans="1:43" x14ac:dyDescent="0.35">
      <c r="A27" s="153" t="s">
        <v>20</v>
      </c>
      <c r="B27" s="162">
        <v>0.15</v>
      </c>
      <c r="C27" s="162">
        <v>0.42000000000000004</v>
      </c>
      <c r="D27" s="162">
        <v>0.15</v>
      </c>
      <c r="E27" s="162">
        <v>8</v>
      </c>
      <c r="F27" s="162">
        <v>8</v>
      </c>
      <c r="G27" s="275">
        <f t="shared" si="7"/>
        <v>5.2500000000000005E-2</v>
      </c>
      <c r="H27" s="275">
        <f t="shared" si="8"/>
        <v>1.8749999999999999E-2</v>
      </c>
      <c r="I27" s="154">
        <v>0.27</v>
      </c>
      <c r="J27" s="163">
        <v>1.8000000000000003</v>
      </c>
      <c r="K27" s="154">
        <f t="shared" si="0"/>
        <v>-0.27</v>
      </c>
      <c r="L27" s="155">
        <f t="shared" si="1"/>
        <v>-0.6428571428571429</v>
      </c>
      <c r="AQ27" s="288"/>
    </row>
    <row r="28" spans="1:43" x14ac:dyDescent="0.35">
      <c r="A28" s="147" t="s">
        <v>20</v>
      </c>
      <c r="B28" s="164">
        <v>0.15</v>
      </c>
      <c r="C28" s="164">
        <v>0.42000000000000004</v>
      </c>
      <c r="D28" s="164">
        <v>0.15</v>
      </c>
      <c r="E28" s="164">
        <v>8</v>
      </c>
      <c r="F28" s="164">
        <v>8</v>
      </c>
      <c r="G28" s="172">
        <f t="shared" ref="G28:G29" si="9">IFERROR(C28/E28,"")</f>
        <v>5.2500000000000005E-2</v>
      </c>
      <c r="H28" s="172">
        <f t="shared" ref="H28:H29" si="10">IFERROR(D28/F28,"")</f>
        <v>1.8749999999999999E-2</v>
      </c>
      <c r="I28" s="158">
        <v>0.27</v>
      </c>
      <c r="J28" s="172">
        <v>1.8000000000000003</v>
      </c>
      <c r="K28" s="158">
        <f t="shared" si="0"/>
        <v>-0.27</v>
      </c>
      <c r="L28" s="159">
        <f t="shared" si="1"/>
        <v>-0.6428571428571429</v>
      </c>
      <c r="AQ28" s="288"/>
    </row>
    <row r="29" spans="1:43" x14ac:dyDescent="0.35">
      <c r="A29" s="153" t="s">
        <v>23</v>
      </c>
      <c r="B29" s="162">
        <v>31.959999999999997</v>
      </c>
      <c r="C29" s="162">
        <v>33.590000000000011</v>
      </c>
      <c r="D29" s="162">
        <f>SUM(D30:D32)</f>
        <v>34.090000000000003</v>
      </c>
      <c r="E29" s="162">
        <v>31</v>
      </c>
      <c r="F29" s="162">
        <v>34</v>
      </c>
      <c r="G29" s="275">
        <f t="shared" si="9"/>
        <v>1.0835483870967746</v>
      </c>
      <c r="H29" s="275">
        <f t="shared" si="10"/>
        <v>1.0026470588235294</v>
      </c>
      <c r="I29" s="162">
        <v>1.6300000000000132</v>
      </c>
      <c r="J29" s="163">
        <v>5.1001251564456007E-2</v>
      </c>
      <c r="K29" s="154">
        <f t="shared" si="0"/>
        <v>0.49999999999999289</v>
      </c>
      <c r="L29" s="155">
        <f t="shared" si="1"/>
        <v>1.4885382554331361E-2</v>
      </c>
      <c r="AQ29" s="288"/>
    </row>
    <row r="30" spans="1:43" x14ac:dyDescent="0.35">
      <c r="A30" s="147" t="s">
        <v>24</v>
      </c>
      <c r="B30" s="164">
        <v>0.30000000000000004</v>
      </c>
      <c r="C30" s="164">
        <v>0.99</v>
      </c>
      <c r="D30" s="164">
        <v>1.0700000000000003</v>
      </c>
      <c r="E30" s="164">
        <v>2</v>
      </c>
      <c r="F30" s="164">
        <v>2</v>
      </c>
      <c r="G30" s="172">
        <f t="shared" ref="G30:G35" si="11">IFERROR(C30/E30,"")</f>
        <v>0.495</v>
      </c>
      <c r="H30" s="172">
        <f t="shared" ref="H30:H35" si="12">IFERROR(D30/F30,"")</f>
        <v>0.53500000000000014</v>
      </c>
      <c r="I30" s="158">
        <v>0.69</v>
      </c>
      <c r="J30" s="172">
        <v>2.2999999999999994</v>
      </c>
      <c r="K30" s="158">
        <f t="shared" si="0"/>
        <v>8.0000000000000293E-2</v>
      </c>
      <c r="L30" s="159">
        <f t="shared" si="1"/>
        <v>8.0808080808081106E-2</v>
      </c>
      <c r="AQ30" s="288"/>
    </row>
    <row r="31" spans="1:43" x14ac:dyDescent="0.35">
      <c r="A31" s="169" t="s">
        <v>52</v>
      </c>
      <c r="B31" s="164">
        <v>0.18</v>
      </c>
      <c r="C31" s="164">
        <v>0.18</v>
      </c>
      <c r="D31" s="164">
        <v>0.18</v>
      </c>
      <c r="E31" s="164"/>
      <c r="F31" s="164"/>
      <c r="G31" s="172" t="str">
        <f t="shared" si="11"/>
        <v/>
      </c>
      <c r="H31" s="172" t="str">
        <f t="shared" si="12"/>
        <v/>
      </c>
      <c r="I31" s="158">
        <v>0</v>
      </c>
      <c r="J31" s="159">
        <v>0</v>
      </c>
      <c r="K31" s="158">
        <f t="shared" si="0"/>
        <v>0</v>
      </c>
      <c r="L31" s="159">
        <f t="shared" si="1"/>
        <v>0</v>
      </c>
      <c r="AQ31" s="288"/>
    </row>
    <row r="32" spans="1:43" x14ac:dyDescent="0.35">
      <c r="A32" s="147" t="s">
        <v>26</v>
      </c>
      <c r="B32" s="164">
        <v>31.479999999999997</v>
      </c>
      <c r="C32" s="164">
        <v>32.420000000000009</v>
      </c>
      <c r="D32" s="164">
        <v>32.840000000000003</v>
      </c>
      <c r="E32" s="164">
        <v>29</v>
      </c>
      <c r="F32" s="164">
        <v>32</v>
      </c>
      <c r="G32" s="172">
        <f t="shared" si="11"/>
        <v>1.1179310344827589</v>
      </c>
      <c r="H32" s="172">
        <f t="shared" si="12"/>
        <v>1.0262500000000001</v>
      </c>
      <c r="I32" s="158">
        <v>0.94000000000001194</v>
      </c>
      <c r="J32" s="172">
        <v>2.9860228716645842E-2</v>
      </c>
      <c r="K32" s="158">
        <f t="shared" si="0"/>
        <v>0.4199999999999946</v>
      </c>
      <c r="L32" s="159">
        <f t="shared" si="1"/>
        <v>1.2954966070326757E-2</v>
      </c>
      <c r="AQ32" s="288"/>
    </row>
    <row r="33" spans="1:43" x14ac:dyDescent="0.35">
      <c r="A33" s="153" t="s">
        <v>27</v>
      </c>
      <c r="B33" s="162">
        <v>1.07</v>
      </c>
      <c r="C33" s="162">
        <v>0.8</v>
      </c>
      <c r="D33" s="162">
        <f>SUM(D34:D35)</f>
        <v>0.84000000000000008</v>
      </c>
      <c r="E33" s="162">
        <v>1</v>
      </c>
      <c r="F33" s="162">
        <v>1</v>
      </c>
      <c r="G33" s="275">
        <f t="shared" si="11"/>
        <v>0.8</v>
      </c>
      <c r="H33" s="275">
        <f t="shared" si="12"/>
        <v>0.84000000000000008</v>
      </c>
      <c r="I33" s="154">
        <v>-0.27</v>
      </c>
      <c r="J33" s="155">
        <v>-0.25233644859813087</v>
      </c>
      <c r="K33" s="162">
        <f t="shared" si="0"/>
        <v>4.0000000000000036E-2</v>
      </c>
      <c r="L33" s="163">
        <f t="shared" si="1"/>
        <v>5.0000000000000044E-2</v>
      </c>
      <c r="AQ33" s="288"/>
    </row>
    <row r="34" spans="1:43" x14ac:dyDescent="0.35">
      <c r="A34" s="147" t="s">
        <v>28</v>
      </c>
      <c r="B34" s="164">
        <v>0.28000000000000003</v>
      </c>
      <c r="C34" s="164">
        <v>0.28000000000000003</v>
      </c>
      <c r="D34" s="164">
        <v>0.29000000000000004</v>
      </c>
      <c r="E34" s="164"/>
      <c r="F34" s="164"/>
      <c r="G34" s="172" t="str">
        <f t="shared" si="11"/>
        <v/>
      </c>
      <c r="H34" s="172" t="str">
        <f t="shared" si="12"/>
        <v/>
      </c>
      <c r="I34" s="158">
        <v>0</v>
      </c>
      <c r="J34" s="159">
        <v>0</v>
      </c>
      <c r="K34" s="158">
        <f t="shared" si="0"/>
        <v>1.0000000000000009E-2</v>
      </c>
      <c r="L34" s="159">
        <f t="shared" si="1"/>
        <v>3.5714285714285809E-2</v>
      </c>
      <c r="AQ34" s="288"/>
    </row>
    <row r="35" spans="1:43" x14ac:dyDescent="0.35">
      <c r="A35" s="169" t="s">
        <v>29</v>
      </c>
      <c r="B35" s="164">
        <v>0.79</v>
      </c>
      <c r="C35" s="164">
        <v>0.52</v>
      </c>
      <c r="D35" s="164">
        <v>0.55000000000000004</v>
      </c>
      <c r="E35" s="164">
        <v>1</v>
      </c>
      <c r="F35" s="164">
        <v>1</v>
      </c>
      <c r="G35" s="172">
        <f t="shared" si="11"/>
        <v>0.52</v>
      </c>
      <c r="H35" s="172">
        <f t="shared" si="12"/>
        <v>0.55000000000000004</v>
      </c>
      <c r="I35" s="158">
        <v>-0.27</v>
      </c>
      <c r="J35" s="159">
        <v>-0.34177215189873422</v>
      </c>
      <c r="K35" s="158">
        <f t="shared" si="0"/>
        <v>3.0000000000000027E-2</v>
      </c>
      <c r="L35" s="159">
        <f t="shared" si="1"/>
        <v>5.7692307692307709E-2</v>
      </c>
      <c r="AQ35" s="288"/>
    </row>
    <row r="36" spans="1:43" x14ac:dyDescent="0.35">
      <c r="A36" s="153" t="s">
        <v>30</v>
      </c>
      <c r="B36" s="162">
        <v>0.02</v>
      </c>
      <c r="C36" s="162">
        <v>0.02</v>
      </c>
      <c r="D36" s="162">
        <f>SUM(D37:D40)</f>
        <v>0.08</v>
      </c>
      <c r="E36" s="162">
        <v>193</v>
      </c>
      <c r="F36" s="162">
        <v>191</v>
      </c>
      <c r="G36" s="275">
        <f t="shared" ref="G36:G38" si="13">IFERROR(C36/E36,"")</f>
        <v>1.0362694300518135E-4</v>
      </c>
      <c r="H36" s="275">
        <f t="shared" ref="H36:H38" si="14">IFERROR(D36/F36,"")</f>
        <v>4.18848167539267E-4</v>
      </c>
      <c r="I36" s="154">
        <v>0</v>
      </c>
      <c r="J36" s="163">
        <v>0</v>
      </c>
      <c r="K36" s="154">
        <f t="shared" si="0"/>
        <v>0.06</v>
      </c>
      <c r="L36" s="163">
        <f t="shared" si="1"/>
        <v>3</v>
      </c>
      <c r="AQ36" s="288"/>
    </row>
    <row r="37" spans="1:43" x14ac:dyDescent="0.35">
      <c r="A37" s="169" t="s">
        <v>31</v>
      </c>
      <c r="B37" s="164"/>
      <c r="C37" s="164"/>
      <c r="D37" s="164">
        <v>0.06</v>
      </c>
      <c r="E37" s="164">
        <v>127</v>
      </c>
      <c r="F37" s="164">
        <v>125</v>
      </c>
      <c r="G37" s="172">
        <f t="shared" si="13"/>
        <v>0</v>
      </c>
      <c r="H37" s="172">
        <f t="shared" si="14"/>
        <v>4.7999999999999996E-4</v>
      </c>
      <c r="I37" s="158">
        <v>0</v>
      </c>
      <c r="J37" s="172" t="s">
        <v>41</v>
      </c>
      <c r="K37" s="158">
        <f t="shared" si="0"/>
        <v>0.06</v>
      </c>
      <c r="L37" s="159"/>
      <c r="AQ37" s="288"/>
    </row>
    <row r="38" spans="1:43" x14ac:dyDescent="0.35">
      <c r="A38" s="147" t="s">
        <v>32</v>
      </c>
      <c r="B38" s="164">
        <v>0.02</v>
      </c>
      <c r="C38" s="164">
        <v>0.02</v>
      </c>
      <c r="D38" s="164">
        <v>0</v>
      </c>
      <c r="E38" s="164">
        <v>14</v>
      </c>
      <c r="F38" s="164">
        <v>14</v>
      </c>
      <c r="G38" s="172">
        <f t="shared" si="13"/>
        <v>1.4285714285714286E-3</v>
      </c>
      <c r="H38" s="172">
        <f t="shared" si="14"/>
        <v>0</v>
      </c>
      <c r="I38" s="158">
        <v>0</v>
      </c>
      <c r="J38" s="159">
        <v>0</v>
      </c>
      <c r="K38" s="158">
        <f t="shared" si="0"/>
        <v>-0.02</v>
      </c>
      <c r="L38" s="159">
        <f t="shared" si="1"/>
        <v>-1</v>
      </c>
      <c r="AQ38" s="288"/>
    </row>
    <row r="39" spans="1:43" x14ac:dyDescent="0.35">
      <c r="A39" s="169" t="s">
        <v>33</v>
      </c>
      <c r="B39" s="164"/>
      <c r="C39" s="164"/>
      <c r="D39" s="164"/>
      <c r="E39" s="164">
        <v>2</v>
      </c>
      <c r="F39" s="164">
        <v>2</v>
      </c>
      <c r="G39" s="172">
        <f t="shared" ref="G39:G40" si="15">IFERROR(C39/E39,"")</f>
        <v>0</v>
      </c>
      <c r="H39" s="172">
        <f t="shared" ref="H39:H40" si="16">IFERROR(D39/F39,"")</f>
        <v>0</v>
      </c>
      <c r="I39" s="158">
        <v>0</v>
      </c>
      <c r="J39" s="159" t="s">
        <v>41</v>
      </c>
      <c r="K39" s="158">
        <f t="shared" si="0"/>
        <v>0</v>
      </c>
      <c r="L39" s="159"/>
      <c r="AQ39" s="288"/>
    </row>
    <row r="40" spans="1:43" x14ac:dyDescent="0.35">
      <c r="A40" s="147" t="s">
        <v>34</v>
      </c>
      <c r="B40" s="164"/>
      <c r="C40" s="164"/>
      <c r="D40" s="164">
        <v>0.02</v>
      </c>
      <c r="E40" s="164">
        <v>50</v>
      </c>
      <c r="F40" s="164">
        <v>50</v>
      </c>
      <c r="G40" s="172">
        <f t="shared" si="15"/>
        <v>0</v>
      </c>
      <c r="H40" s="172">
        <f t="shared" si="16"/>
        <v>4.0000000000000002E-4</v>
      </c>
      <c r="I40" s="158">
        <v>0</v>
      </c>
      <c r="J40" s="172" t="s">
        <v>41</v>
      </c>
      <c r="K40" s="158">
        <f t="shared" si="0"/>
        <v>0.02</v>
      </c>
      <c r="L40" s="159"/>
      <c r="AQ40" s="288"/>
    </row>
    <row r="41" spans="1:43" x14ac:dyDescent="0.35">
      <c r="A41" s="153" t="s">
        <v>35</v>
      </c>
      <c r="B41" s="162">
        <v>47.459999999999994</v>
      </c>
      <c r="C41" s="162">
        <v>47.650000000000006</v>
      </c>
      <c r="D41" s="162">
        <v>51.81</v>
      </c>
      <c r="E41" s="162">
        <v>185</v>
      </c>
      <c r="F41" s="162">
        <v>185</v>
      </c>
      <c r="G41" s="275">
        <f t="shared" ref="G41:G42" si="17">IFERROR(C41/E41,"")</f>
        <v>0.2575675675675676</v>
      </c>
      <c r="H41" s="275">
        <f t="shared" ref="H41:H42" si="18">IFERROR(D41/F41,"")</f>
        <v>0.28005405405405409</v>
      </c>
      <c r="I41" s="154">
        <v>0.19000000000001194</v>
      </c>
      <c r="J41" s="155">
        <v>4.0033712600087146E-3</v>
      </c>
      <c r="K41" s="162">
        <f t="shared" si="0"/>
        <v>4.1599999999999966</v>
      </c>
      <c r="L41" s="163">
        <f t="shared" si="1"/>
        <v>8.7303252885624349E-2</v>
      </c>
      <c r="AQ41" s="288"/>
    </row>
    <row r="42" spans="1:43" x14ac:dyDescent="0.35">
      <c r="A42" s="147" t="s">
        <v>35</v>
      </c>
      <c r="B42" s="164">
        <v>47.459999999999994</v>
      </c>
      <c r="C42" s="164">
        <v>47.650000000000006</v>
      </c>
      <c r="D42" s="164">
        <v>51.810000000000009</v>
      </c>
      <c r="E42" s="164">
        <v>185</v>
      </c>
      <c r="F42" s="164">
        <v>185</v>
      </c>
      <c r="G42" s="172">
        <f t="shared" si="17"/>
        <v>0.2575675675675676</v>
      </c>
      <c r="H42" s="172">
        <f t="shared" si="18"/>
        <v>0.28005405405405409</v>
      </c>
      <c r="I42" s="158">
        <v>0.19000000000001194</v>
      </c>
      <c r="J42" s="159">
        <v>4.0033712600087146E-3</v>
      </c>
      <c r="K42" s="158">
        <f t="shared" si="0"/>
        <v>4.1600000000000037</v>
      </c>
      <c r="L42" s="159">
        <f t="shared" si="1"/>
        <v>8.7303252885624349E-2</v>
      </c>
      <c r="AQ42" s="288"/>
    </row>
    <row r="43" spans="1:43" x14ac:dyDescent="0.35">
      <c r="A43" s="153" t="s">
        <v>139</v>
      </c>
      <c r="B43" s="162"/>
      <c r="C43" s="162">
        <v>52.93</v>
      </c>
      <c r="D43" s="162"/>
      <c r="E43" s="162">
        <v>264</v>
      </c>
      <c r="F43" s="162">
        <v>267</v>
      </c>
      <c r="G43" s="275">
        <f t="shared" ref="G43:G45" si="19">IFERROR(C43/E43,"")</f>
        <v>0.20049242424242425</v>
      </c>
      <c r="H43" s="275">
        <f t="shared" ref="H43:H45" si="20">IFERROR(D43/F43,"")</f>
        <v>0</v>
      </c>
      <c r="I43" s="162">
        <f>C43-B43</f>
        <v>52.93</v>
      </c>
      <c r="J43" s="155"/>
      <c r="K43" s="154">
        <f>D43-C43</f>
        <v>-52.93</v>
      </c>
      <c r="L43" s="155">
        <f>(D43/C43)-1</f>
        <v>-1</v>
      </c>
      <c r="AQ43" s="288"/>
    </row>
    <row r="44" spans="1:43" x14ac:dyDescent="0.35">
      <c r="A44" s="147" t="s">
        <v>37</v>
      </c>
      <c r="B44" s="164"/>
      <c r="C44" s="164">
        <v>44.83</v>
      </c>
      <c r="D44" s="164"/>
      <c r="E44" s="164">
        <v>177</v>
      </c>
      <c r="F44" s="164">
        <v>181</v>
      </c>
      <c r="G44" s="172">
        <f t="shared" si="19"/>
        <v>0.25327683615819208</v>
      </c>
      <c r="H44" s="172">
        <f t="shared" si="20"/>
        <v>0</v>
      </c>
      <c r="I44" s="158">
        <f>C44-B44</f>
        <v>44.83</v>
      </c>
      <c r="J44" s="159"/>
      <c r="K44" s="158">
        <f>D44-C44</f>
        <v>-44.83</v>
      </c>
      <c r="L44" s="159">
        <f>(D44/C44)-1</f>
        <v>-1</v>
      </c>
      <c r="AQ44" s="288"/>
    </row>
    <row r="45" spans="1:43" x14ac:dyDescent="0.35">
      <c r="A45" s="147" t="s">
        <v>138</v>
      </c>
      <c r="B45" s="164"/>
      <c r="C45" s="164">
        <v>8.1</v>
      </c>
      <c r="D45" s="164"/>
      <c r="E45" s="164">
        <v>87</v>
      </c>
      <c r="F45" s="164">
        <v>86</v>
      </c>
      <c r="G45" s="172">
        <f t="shared" si="19"/>
        <v>9.3103448275862061E-2</v>
      </c>
      <c r="H45" s="172">
        <f t="shared" si="20"/>
        <v>0</v>
      </c>
      <c r="I45" s="158">
        <f>C45-B45</f>
        <v>8.1</v>
      </c>
      <c r="J45" s="159"/>
      <c r="K45" s="158">
        <f>D45-C45</f>
        <v>-8.1</v>
      </c>
      <c r="L45" s="159">
        <f>(D45/C45)-1</f>
        <v>-1</v>
      </c>
      <c r="AQ45" s="288"/>
    </row>
    <row r="46" spans="1:43" x14ac:dyDescent="0.35">
      <c r="A46" s="153" t="s">
        <v>39</v>
      </c>
      <c r="B46" s="162">
        <v>14338.739999999987</v>
      </c>
      <c r="C46" s="162">
        <v>14484.839999999998</v>
      </c>
      <c r="D46" s="162">
        <v>15987.63</v>
      </c>
      <c r="E46" s="162">
        <v>25721</v>
      </c>
      <c r="F46" s="162">
        <v>26206</v>
      </c>
      <c r="G46" s="275">
        <f t="shared" ref="G46:G47" si="21">IFERROR(C46/E46,"")</f>
        <v>0.56315228801368522</v>
      </c>
      <c r="H46" s="275">
        <f t="shared" ref="H46:H47" si="22">IFERROR(D46/F46,"")</f>
        <v>0.61007517362436081</v>
      </c>
      <c r="I46" s="162">
        <v>146.10000000001128</v>
      </c>
      <c r="J46" s="155">
        <v>1.0189179802410298E-2</v>
      </c>
      <c r="K46" s="162">
        <f t="shared" si="0"/>
        <v>1502.7900000000009</v>
      </c>
      <c r="L46" s="295">
        <f t="shared" si="1"/>
        <v>0.10374916119197741</v>
      </c>
      <c r="AQ46" s="284">
        <f>F46/$F$50</f>
        <v>0.51983654685392366</v>
      </c>
    </row>
    <row r="47" spans="1:43" x14ac:dyDescent="0.35">
      <c r="A47" s="169" t="s">
        <v>39</v>
      </c>
      <c r="B47" s="164">
        <v>14338.739999999987</v>
      </c>
      <c r="C47" s="164">
        <v>14484.839999999998</v>
      </c>
      <c r="D47" s="164">
        <v>15987.63</v>
      </c>
      <c r="E47" s="164">
        <v>25721</v>
      </c>
      <c r="F47" s="164">
        <v>26206</v>
      </c>
      <c r="G47" s="172">
        <f t="shared" si="21"/>
        <v>0.56315228801368522</v>
      </c>
      <c r="H47" s="172">
        <f t="shared" si="22"/>
        <v>0.61007517362436081</v>
      </c>
      <c r="I47" s="164">
        <v>146.10000000001128</v>
      </c>
      <c r="J47" s="172">
        <v>1.0189179802410298E-2</v>
      </c>
      <c r="K47" s="158">
        <f t="shared" si="0"/>
        <v>1502.7900000000009</v>
      </c>
      <c r="L47" s="159">
        <f t="shared" si="1"/>
        <v>0.10374916119197741</v>
      </c>
      <c r="M47" s="288"/>
    </row>
    <row r="48" spans="1:43" x14ac:dyDescent="0.35">
      <c r="A48" s="153" t="s">
        <v>140</v>
      </c>
      <c r="B48" s="162"/>
      <c r="C48" s="162"/>
      <c r="D48" s="162"/>
      <c r="E48" s="162">
        <v>1</v>
      </c>
      <c r="F48" s="162">
        <v>1</v>
      </c>
      <c r="G48" s="275">
        <f t="shared" ref="G48:G49" si="23">IFERROR(C48/E48,"")</f>
        <v>0</v>
      </c>
      <c r="H48" s="275">
        <f t="shared" ref="H48:H49" si="24">IFERROR(D48/F48,"")</f>
        <v>0</v>
      </c>
      <c r="I48" s="162"/>
      <c r="J48" s="155"/>
      <c r="K48" s="162"/>
      <c r="L48" s="163"/>
      <c r="M48" s="288"/>
    </row>
    <row r="49" spans="1:13" x14ac:dyDescent="0.35">
      <c r="A49" s="169" t="s">
        <v>125</v>
      </c>
      <c r="B49" s="164"/>
      <c r="C49" s="164"/>
      <c r="D49" s="164"/>
      <c r="E49" s="164">
        <v>1</v>
      </c>
      <c r="F49" s="164">
        <v>1</v>
      </c>
      <c r="G49" s="172">
        <f t="shared" si="23"/>
        <v>0</v>
      </c>
      <c r="H49" s="172">
        <f t="shared" si="24"/>
        <v>0</v>
      </c>
      <c r="I49" s="164"/>
      <c r="J49" s="172"/>
      <c r="K49" s="158"/>
      <c r="L49" s="159"/>
      <c r="M49" s="288"/>
    </row>
    <row r="50" spans="1:13" x14ac:dyDescent="0.35">
      <c r="A50" s="168" t="s">
        <v>40</v>
      </c>
      <c r="B50" s="142">
        <v>26295.989999999983</v>
      </c>
      <c r="C50" s="142">
        <v>27152.959999999999</v>
      </c>
      <c r="D50" s="142">
        <f>SUM(D9,D17,D19,D21,D27,D29,D33,D36,D41,D46)</f>
        <v>30125.489999999998</v>
      </c>
      <c r="E50" s="142">
        <v>48196</v>
      </c>
      <c r="F50" s="142">
        <v>50412</v>
      </c>
      <c r="G50" s="278">
        <f t="shared" ref="G50" si="25">IFERROR(C50/E50,"")</f>
        <v>0.56338617312640049</v>
      </c>
      <c r="H50" s="278">
        <f t="shared" ref="H50" si="26">IFERROR(D50/F50,"")</f>
        <v>0.5975856938824089</v>
      </c>
      <c r="I50" s="149">
        <f>C50-B50</f>
        <v>856.97000000001572</v>
      </c>
      <c r="J50" s="144">
        <v>3.2589379597422141E-2</v>
      </c>
      <c r="K50" s="142">
        <f t="shared" si="0"/>
        <v>2972.5299999999988</v>
      </c>
      <c r="L50" s="144">
        <f t="shared" si="1"/>
        <v>0.10947351596290056</v>
      </c>
      <c r="M50" s="288"/>
    </row>
    <row r="51" spans="1:13" x14ac:dyDescent="0.35">
      <c r="F51" s="282"/>
      <c r="M51" s="288"/>
    </row>
    <row r="52" spans="1:13" x14ac:dyDescent="0.35">
      <c r="M52" s="288"/>
    </row>
    <row r="53" spans="1:13" x14ac:dyDescent="0.35">
      <c r="C53" s="4"/>
    </row>
  </sheetData>
  <mergeCells count="6">
    <mergeCell ref="B7:D7"/>
    <mergeCell ref="I7:J7"/>
    <mergeCell ref="K7:L7"/>
    <mergeCell ref="A7:A8"/>
    <mergeCell ref="E7:F7"/>
    <mergeCell ref="G7:H7"/>
  </mergeCells>
  <conditionalFormatting sqref="L10:L16 L18 L20 L22:L24 L26 L28 L30:L32 L34:L35 L37:L40 L42 L47 L49 L44:L45">
    <cfRule type="cellIs" dxfId="181" priority="33" operator="lessThan">
      <formula>0</formula>
    </cfRule>
  </conditionalFormatting>
  <conditionalFormatting sqref="I10:I16">
    <cfRule type="cellIs" dxfId="180" priority="64" operator="lessThan">
      <formula>0</formula>
    </cfRule>
  </conditionalFormatting>
  <conditionalFormatting sqref="I26">
    <cfRule type="cellIs" dxfId="179" priority="61" operator="lessThan">
      <formula>0</formula>
    </cfRule>
  </conditionalFormatting>
  <conditionalFormatting sqref="I20">
    <cfRule type="cellIs" dxfId="178" priority="62" operator="lessThan">
      <formula>0</formula>
    </cfRule>
  </conditionalFormatting>
  <conditionalFormatting sqref="I28">
    <cfRule type="cellIs" dxfId="177" priority="60" operator="lessThan">
      <formula>0</formula>
    </cfRule>
  </conditionalFormatting>
  <conditionalFormatting sqref="I34:I35">
    <cfRule type="cellIs" dxfId="176" priority="58" operator="lessThan">
      <formula>0</formula>
    </cfRule>
  </conditionalFormatting>
  <conditionalFormatting sqref="I42 I44:I45">
    <cfRule type="cellIs" dxfId="175" priority="56" operator="lessThan">
      <formula>0</formula>
    </cfRule>
  </conditionalFormatting>
  <conditionalFormatting sqref="J10:J16">
    <cfRule type="cellIs" dxfId="174" priority="46" operator="lessThan">
      <formula>0</formula>
    </cfRule>
  </conditionalFormatting>
  <conditionalFormatting sqref="J20">
    <cfRule type="cellIs" dxfId="173" priority="44" operator="lessThan">
      <formula>0</formula>
    </cfRule>
  </conditionalFormatting>
  <conditionalFormatting sqref="K10:K16 K18 K20 K22:K24 K26 K28 K30:K32 K34:K35 K37:K40 K42 K47 K44:K45 K49">
    <cfRule type="cellIs" dxfId="172" priority="34" operator="lessThan">
      <formula>0</formula>
    </cfRule>
  </conditionalFormatting>
  <conditionalFormatting sqref="J18">
    <cfRule type="cellIs" dxfId="171" priority="43" operator="lessThan">
      <formula>0</formula>
    </cfRule>
  </conditionalFormatting>
  <conditionalFormatting sqref="J31">
    <cfRule type="cellIs" dxfId="170" priority="42" operator="lessThan">
      <formula>0</formula>
    </cfRule>
  </conditionalFormatting>
  <conditionalFormatting sqref="J34:J35">
    <cfRule type="cellIs" dxfId="169" priority="41" operator="lessThan">
      <formula>0</formula>
    </cfRule>
  </conditionalFormatting>
  <conditionalFormatting sqref="J38:J39">
    <cfRule type="cellIs" dxfId="168" priority="40" operator="lessThan">
      <formula>0</formula>
    </cfRule>
  </conditionalFormatting>
  <conditionalFormatting sqref="J42 J44:J45">
    <cfRule type="cellIs" dxfId="167" priority="39" operator="lessThan">
      <formula>0</formula>
    </cfRule>
  </conditionalFormatting>
  <conditionalFormatting sqref="J9">
    <cfRule type="cellIs" dxfId="166" priority="32" operator="lessThan">
      <formula>0</formula>
    </cfRule>
  </conditionalFormatting>
  <conditionalFormatting sqref="J50">
    <cfRule type="cellIs" dxfId="165" priority="30" operator="lessThan">
      <formula>0</formula>
    </cfRule>
  </conditionalFormatting>
  <conditionalFormatting sqref="I50">
    <cfRule type="cellIs" dxfId="164" priority="31" operator="lessThan">
      <formula>0</formula>
    </cfRule>
  </conditionalFormatting>
  <conditionalFormatting sqref="L50">
    <cfRule type="cellIs" dxfId="163" priority="29" operator="lessThan">
      <formula>0</formula>
    </cfRule>
  </conditionalFormatting>
  <conditionalFormatting sqref="K29">
    <cfRule type="cellIs" dxfId="162" priority="28" operator="lessThan">
      <formula>0</formula>
    </cfRule>
  </conditionalFormatting>
  <conditionalFormatting sqref="K36">
    <cfRule type="cellIs" dxfId="161" priority="27" operator="lessThan">
      <formula>0</formula>
    </cfRule>
  </conditionalFormatting>
  <conditionalFormatting sqref="K27">
    <cfRule type="cellIs" dxfId="160" priority="26" operator="lessThan">
      <formula>0</formula>
    </cfRule>
  </conditionalFormatting>
  <conditionalFormatting sqref="K25">
    <cfRule type="cellIs" dxfId="159" priority="25" operator="lessThan">
      <formula>0</formula>
    </cfRule>
  </conditionalFormatting>
  <conditionalFormatting sqref="K19">
    <cfRule type="cellIs" dxfId="158" priority="24" operator="lessThan">
      <formula>0</formula>
    </cfRule>
  </conditionalFormatting>
  <conditionalFormatting sqref="K17">
    <cfRule type="cellIs" dxfId="157" priority="23" operator="lessThan">
      <formula>0</formula>
    </cfRule>
  </conditionalFormatting>
  <conditionalFormatting sqref="L25">
    <cfRule type="cellIs" dxfId="156" priority="22" operator="lessThan">
      <formula>0</formula>
    </cfRule>
  </conditionalFormatting>
  <conditionalFormatting sqref="J33">
    <cfRule type="cellIs" dxfId="155" priority="21" operator="lessThan">
      <formula>0</formula>
    </cfRule>
  </conditionalFormatting>
  <conditionalFormatting sqref="L29">
    <cfRule type="cellIs" dxfId="154" priority="20" operator="lessThan">
      <formula>0</formula>
    </cfRule>
  </conditionalFormatting>
  <conditionalFormatting sqref="L27">
    <cfRule type="cellIs" dxfId="153" priority="19" operator="lessThan">
      <formula>0</formula>
    </cfRule>
  </conditionalFormatting>
  <conditionalFormatting sqref="J19">
    <cfRule type="cellIs" dxfId="152" priority="18" operator="lessThan">
      <formula>0</formula>
    </cfRule>
  </conditionalFormatting>
  <conditionalFormatting sqref="J46">
    <cfRule type="cellIs" dxfId="151" priority="17" operator="lessThan">
      <formula>0</formula>
    </cfRule>
  </conditionalFormatting>
  <conditionalFormatting sqref="J41">
    <cfRule type="cellIs" dxfId="150" priority="16" operator="lessThan">
      <formula>0</formula>
    </cfRule>
  </conditionalFormatting>
  <conditionalFormatting sqref="J43">
    <cfRule type="cellIs" dxfId="149" priority="15" operator="lessThan">
      <formula>0</formula>
    </cfRule>
  </conditionalFormatting>
  <conditionalFormatting sqref="J48">
    <cfRule type="cellIs" dxfId="148" priority="14" operator="lessThan">
      <formula>0</formula>
    </cfRule>
  </conditionalFormatting>
  <conditionalFormatting sqref="K43">
    <cfRule type="cellIs" dxfId="147" priority="13" operator="lessThan">
      <formula>0</formula>
    </cfRule>
  </conditionalFormatting>
  <conditionalFormatting sqref="L43">
    <cfRule type="cellIs" dxfId="146" priority="12" operator="lessThan">
      <formula>0</formula>
    </cfRule>
  </conditionalFormatting>
  <conditionalFormatting sqref="I19">
    <cfRule type="cellIs" dxfId="145" priority="11" operator="lessThan">
      <formula>0</formula>
    </cfRule>
  </conditionalFormatting>
  <conditionalFormatting sqref="I17">
    <cfRule type="cellIs" dxfId="144" priority="10" operator="lessThan">
      <formula>0</formula>
    </cfRule>
  </conditionalFormatting>
  <conditionalFormatting sqref="I25">
    <cfRule type="cellIs" dxfId="143" priority="9" operator="lessThan">
      <formula>0</formula>
    </cfRule>
  </conditionalFormatting>
  <conditionalFormatting sqref="I27">
    <cfRule type="cellIs" dxfId="142" priority="8" operator="lessThan">
      <formula>0</formula>
    </cfRule>
  </conditionalFormatting>
  <conditionalFormatting sqref="I33">
    <cfRule type="cellIs" dxfId="141" priority="7" operator="lessThan">
      <formula>0</formula>
    </cfRule>
  </conditionalFormatting>
  <conditionalFormatting sqref="I36">
    <cfRule type="cellIs" dxfId="140" priority="6" operator="lessThan">
      <formula>0</formula>
    </cfRule>
  </conditionalFormatting>
  <conditionalFormatting sqref="I41">
    <cfRule type="cellIs" dxfId="139" priority="5" operator="lessThan">
      <formula>0</formula>
    </cfRule>
  </conditionalFormatting>
  <conditionalFormatting sqref="I30 I32">
    <cfRule type="cellIs" dxfId="138" priority="4" operator="lessThan">
      <formula>0</formula>
    </cfRule>
  </conditionalFormatting>
  <conditionalFormatting sqref="I31">
    <cfRule type="cellIs" dxfId="137" priority="3" operator="lessThan">
      <formula>0</formula>
    </cfRule>
  </conditionalFormatting>
  <conditionalFormatting sqref="I37:I38 I40">
    <cfRule type="cellIs" dxfId="136" priority="2" operator="lessThan">
      <formula>0</formula>
    </cfRule>
  </conditionalFormatting>
  <conditionalFormatting sqref="I39">
    <cfRule type="cellIs" dxfId="135" priority="1" operator="lessThan">
      <formula>0</formula>
    </cfRule>
  </conditionalFormatting>
  <hyperlinks>
    <hyperlink ref="B1" location="ÍNDICE!A1" display="ÍNDICE!A1" xr:uid="{13C962FE-6E14-4CD8-835A-1CA011097664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A1:AV162"/>
  <sheetViews>
    <sheetView topLeftCell="T40" zoomScale="90" zoomScaleNormal="90" workbookViewId="0">
      <selection activeCell="AA32" sqref="AA32"/>
    </sheetView>
  </sheetViews>
  <sheetFormatPr baseColWidth="10" defaultRowHeight="14.5" x14ac:dyDescent="0.35"/>
  <cols>
    <col min="1" max="1" width="24.81640625" bestFit="1" customWidth="1"/>
    <col min="2" max="2" width="17.26953125" customWidth="1"/>
    <col min="3" max="3" width="13.7265625" customWidth="1"/>
    <col min="4" max="8" width="15.26953125" customWidth="1"/>
    <col min="9" max="9" width="15.453125" customWidth="1"/>
    <col min="10" max="10" width="16.453125" customWidth="1"/>
    <col min="11" max="11" width="15.1796875" customWidth="1"/>
    <col min="12" max="12" width="16.453125" customWidth="1"/>
  </cols>
  <sheetData>
    <row r="1" spans="1:48" ht="21" x14ac:dyDescent="0.5">
      <c r="A1" s="337" t="s">
        <v>80</v>
      </c>
      <c r="B1" s="338" t="s">
        <v>79</v>
      </c>
      <c r="J1" s="337"/>
      <c r="K1" s="338"/>
    </row>
    <row r="3" spans="1:48" x14ac:dyDescent="0.35">
      <c r="H3" t="s">
        <v>143</v>
      </c>
    </row>
    <row r="5" spans="1:48" ht="18.5" x14ac:dyDescent="0.45">
      <c r="A5" s="151" t="s">
        <v>126</v>
      </c>
      <c r="C5" s="7"/>
      <c r="D5" s="7"/>
      <c r="E5" s="7"/>
      <c r="F5" s="7"/>
      <c r="G5" s="7"/>
      <c r="H5" s="7"/>
      <c r="I5" s="7"/>
      <c r="J5" s="7"/>
      <c r="K5" s="7"/>
      <c r="L5" s="7"/>
      <c r="AV5" s="286"/>
    </row>
    <row r="6" spans="1:48" x14ac:dyDescent="0.35">
      <c r="AV6" s="287">
        <f>F9/$F$38</f>
        <v>0.19525511798718551</v>
      </c>
    </row>
    <row r="7" spans="1:48" ht="43" customHeight="1" x14ac:dyDescent="0.35">
      <c r="A7" s="323" t="s">
        <v>134</v>
      </c>
      <c r="B7" s="324" t="s">
        <v>1</v>
      </c>
      <c r="C7" s="325"/>
      <c r="D7" s="326"/>
      <c r="E7" s="323" t="s">
        <v>121</v>
      </c>
      <c r="F7" s="323"/>
      <c r="G7" s="323" t="s">
        <v>122</v>
      </c>
      <c r="H7" s="323"/>
      <c r="I7" s="324" t="s">
        <v>2</v>
      </c>
      <c r="J7" s="326"/>
      <c r="K7" s="324" t="s">
        <v>5</v>
      </c>
      <c r="L7" s="326"/>
      <c r="O7" t="s">
        <v>1</v>
      </c>
      <c r="R7" t="s">
        <v>147</v>
      </c>
      <c r="AV7" s="286"/>
    </row>
    <row r="8" spans="1:48" x14ac:dyDescent="0.35">
      <c r="A8" s="323"/>
      <c r="B8" s="90" t="s">
        <v>63</v>
      </c>
      <c r="C8" s="90" t="s">
        <v>61</v>
      </c>
      <c r="D8" s="90" t="s">
        <v>62</v>
      </c>
      <c r="E8" s="90">
        <v>2020</v>
      </c>
      <c r="F8" s="90">
        <v>2021</v>
      </c>
      <c r="G8" s="201">
        <v>2020</v>
      </c>
      <c r="H8" s="201">
        <v>2021</v>
      </c>
      <c r="I8" s="90" t="s">
        <v>3</v>
      </c>
      <c r="J8" s="91" t="s">
        <v>4</v>
      </c>
      <c r="K8" s="90" t="s">
        <v>3</v>
      </c>
      <c r="L8" s="91" t="s">
        <v>4</v>
      </c>
      <c r="O8">
        <v>2020</v>
      </c>
      <c r="P8">
        <v>2021</v>
      </c>
      <c r="Q8" t="s">
        <v>146</v>
      </c>
      <c r="R8">
        <v>2021</v>
      </c>
      <c r="S8" t="s">
        <v>146</v>
      </c>
      <c r="AS8" s="286"/>
    </row>
    <row r="9" spans="1:48" x14ac:dyDescent="0.35">
      <c r="A9" s="200" t="s">
        <v>6</v>
      </c>
      <c r="B9" s="202">
        <v>13556.719999999996</v>
      </c>
      <c r="C9" s="202">
        <v>14076.369999999999</v>
      </c>
      <c r="D9" s="202">
        <f>SUM(D10:D16)</f>
        <v>14440.560000000001</v>
      </c>
      <c r="E9" s="202">
        <v>20357</v>
      </c>
      <c r="F9" s="202">
        <v>19991</v>
      </c>
      <c r="G9" s="275">
        <f>IFERROR(C9/E9,"")</f>
        <v>0.69147565947831213</v>
      </c>
      <c r="H9" s="275">
        <f>IFERROR(D9/F9,"")</f>
        <v>0.72235305887649448</v>
      </c>
      <c r="I9" s="202">
        <v>519.65000000000327</v>
      </c>
      <c r="J9" s="203">
        <v>3.8331543323163908E-2</v>
      </c>
      <c r="K9" s="202">
        <f>D9-C9</f>
        <v>364.19000000000233</v>
      </c>
      <c r="L9" s="295">
        <f>(D9/C9)-1</f>
        <v>2.5872437283191774E-2</v>
      </c>
      <c r="N9" t="s">
        <v>6</v>
      </c>
      <c r="O9" s="6">
        <f>C9</f>
        <v>14076.369999999999</v>
      </c>
      <c r="P9" s="6">
        <f>D9</f>
        <v>14440.560000000001</v>
      </c>
      <c r="Q9" s="283">
        <f>L9</f>
        <v>2.5872437283191774E-2</v>
      </c>
      <c r="R9" s="6">
        <f>F9</f>
        <v>19991</v>
      </c>
      <c r="S9" s="112">
        <f>H9</f>
        <v>0.72235305887649448</v>
      </c>
      <c r="AS9" s="286"/>
    </row>
    <row r="10" spans="1:48" x14ac:dyDescent="0.35">
      <c r="A10" s="169" t="s">
        <v>7</v>
      </c>
      <c r="B10" s="164">
        <v>1884.3499999999988</v>
      </c>
      <c r="C10" s="164">
        <v>1836.4099999999999</v>
      </c>
      <c r="D10" s="164">
        <v>2179.61</v>
      </c>
      <c r="E10" s="164">
        <v>2595</v>
      </c>
      <c r="F10" s="164">
        <v>2590</v>
      </c>
      <c r="G10" s="172">
        <f>IFERROR(C10/E10,"")</f>
        <v>0.70767244701348742</v>
      </c>
      <c r="H10" s="172">
        <f>IFERROR(D10/F10,"")</f>
        <v>0.84154826254826265</v>
      </c>
      <c r="I10" s="158">
        <v>-47.939999999998918</v>
      </c>
      <c r="J10" s="159">
        <v>-2.5441133547376538E-2</v>
      </c>
      <c r="K10" s="158">
        <f t="shared" ref="K10:K38" si="0">D10-C10</f>
        <v>343.20000000000027</v>
      </c>
      <c r="L10" s="159">
        <f t="shared" ref="L10:L38" si="1">(D10/C10)-1</f>
        <v>0.18688637069064118</v>
      </c>
      <c r="N10" t="s">
        <v>16</v>
      </c>
      <c r="O10" s="6">
        <f>C17</f>
        <v>52903.539999999964</v>
      </c>
      <c r="P10" s="6">
        <f>D17</f>
        <v>52095.759999999966</v>
      </c>
      <c r="Q10" s="283">
        <f>L17</f>
        <v>-1.5268921512624711E-2</v>
      </c>
      <c r="R10" s="6">
        <f>F17</f>
        <v>69527</v>
      </c>
      <c r="S10" s="112">
        <f>H17</f>
        <v>0.74928819019949033</v>
      </c>
      <c r="AS10" s="286"/>
    </row>
    <row r="11" spans="1:48" x14ac:dyDescent="0.35">
      <c r="A11" s="169" t="s">
        <v>8</v>
      </c>
      <c r="B11" s="164">
        <v>248.56000000000006</v>
      </c>
      <c r="C11" s="164">
        <v>214.75999999999996</v>
      </c>
      <c r="D11" s="158">
        <v>224.48</v>
      </c>
      <c r="E11" s="158">
        <v>566</v>
      </c>
      <c r="F11" s="158">
        <v>566</v>
      </c>
      <c r="G11" s="172">
        <f t="shared" ref="G11:G16" si="2">IFERROR(C11/E11,"")</f>
        <v>0.37943462897526498</v>
      </c>
      <c r="H11" s="172">
        <f t="shared" ref="H11:H16" si="3">IFERROR(D11/F11,"")</f>
        <v>0.39660777385159007</v>
      </c>
      <c r="I11" s="158">
        <v>-33.800000000000097</v>
      </c>
      <c r="J11" s="159">
        <v>-0.13598326359832669</v>
      </c>
      <c r="K11" s="158">
        <f t="shared" si="0"/>
        <v>9.7200000000000273</v>
      </c>
      <c r="L11" s="159">
        <f t="shared" si="1"/>
        <v>4.5259824920842018E-2</v>
      </c>
      <c r="N11" t="s">
        <v>23</v>
      </c>
      <c r="O11" s="6">
        <f>C25</f>
        <v>5981.9499999999989</v>
      </c>
      <c r="P11" s="6">
        <f>D25</f>
        <v>5777.8499999999967</v>
      </c>
      <c r="Q11" s="283">
        <f>L25</f>
        <v>-3.4119308921004343E-2</v>
      </c>
      <c r="R11" s="6">
        <f>F25</f>
        <v>6793</v>
      </c>
      <c r="S11" s="112">
        <f>H25</f>
        <v>0.85055939938171599</v>
      </c>
      <c r="AS11" s="286"/>
    </row>
    <row r="12" spans="1:48" x14ac:dyDescent="0.35">
      <c r="A12" s="169" t="s">
        <v>9</v>
      </c>
      <c r="B12" s="164">
        <v>200.99999999999997</v>
      </c>
      <c r="C12" s="164">
        <v>187.42000000000002</v>
      </c>
      <c r="D12" s="158">
        <v>207.32</v>
      </c>
      <c r="E12" s="158">
        <v>187</v>
      </c>
      <c r="F12" s="158">
        <v>208</v>
      </c>
      <c r="G12" s="172">
        <f t="shared" si="2"/>
        <v>1.002245989304813</v>
      </c>
      <c r="H12" s="172">
        <f t="shared" si="3"/>
        <v>0.9967307692307692</v>
      </c>
      <c r="I12" s="158">
        <v>-13.579999999999956</v>
      </c>
      <c r="J12" s="159">
        <v>-6.7562189054726107E-2</v>
      </c>
      <c r="K12" s="158">
        <f t="shared" si="0"/>
        <v>19.899999999999977</v>
      </c>
      <c r="L12" s="159">
        <f t="shared" si="1"/>
        <v>0.10617863621811963</v>
      </c>
      <c r="N12" t="s">
        <v>39</v>
      </c>
      <c r="O12" s="6">
        <f>C36</f>
        <v>5976.5000000000009</v>
      </c>
      <c r="P12" s="6">
        <f>D36</f>
        <v>6177.58</v>
      </c>
      <c r="Q12" s="283">
        <f>L36</f>
        <v>3.3645110014222102E-2</v>
      </c>
      <c r="R12" s="6">
        <f>F36</f>
        <v>5704</v>
      </c>
      <c r="S12" s="112">
        <f>H36</f>
        <v>1.0830259467040673</v>
      </c>
      <c r="AS12" s="286"/>
    </row>
    <row r="13" spans="1:48" x14ac:dyDescent="0.35">
      <c r="A13" s="169" t="s">
        <v>10</v>
      </c>
      <c r="B13" s="164">
        <v>8.0599999999999987</v>
      </c>
      <c r="C13" s="164">
        <v>6.22</v>
      </c>
      <c r="D13" s="158">
        <v>5.4099999999999984</v>
      </c>
      <c r="E13" s="158">
        <v>22</v>
      </c>
      <c r="F13" s="158">
        <v>22</v>
      </c>
      <c r="G13" s="172">
        <f t="shared" si="2"/>
        <v>0.28272727272727272</v>
      </c>
      <c r="H13" s="172">
        <f t="shared" si="3"/>
        <v>0.24590909090909083</v>
      </c>
      <c r="I13" s="158">
        <v>-1.839999999999999</v>
      </c>
      <c r="J13" s="159">
        <v>-0.22828784119106693</v>
      </c>
      <c r="K13" s="158">
        <f t="shared" si="0"/>
        <v>-0.81000000000000139</v>
      </c>
      <c r="L13" s="159">
        <f t="shared" si="1"/>
        <v>-0.13022508038585234</v>
      </c>
      <c r="AS13" s="286"/>
    </row>
    <row r="14" spans="1:48" x14ac:dyDescent="0.35">
      <c r="A14" s="169" t="s">
        <v>11</v>
      </c>
      <c r="B14" s="164">
        <v>7669.6499999999969</v>
      </c>
      <c r="C14" s="164">
        <v>8130.19</v>
      </c>
      <c r="D14" s="158">
        <v>7861.9300000000012</v>
      </c>
      <c r="E14" s="158">
        <v>11760</v>
      </c>
      <c r="F14" s="158">
        <v>11190</v>
      </c>
      <c r="G14" s="172">
        <f t="shared" si="2"/>
        <v>0.69134268707482993</v>
      </c>
      <c r="H14" s="172">
        <f t="shared" si="3"/>
        <v>0.70258534405719408</v>
      </c>
      <c r="I14" s="158">
        <v>460.54000000000269</v>
      </c>
      <c r="J14" s="159">
        <v>6.0047068640681545E-2</v>
      </c>
      <c r="K14" s="158">
        <f t="shared" si="0"/>
        <v>-268.2599999999984</v>
      </c>
      <c r="L14" s="159">
        <f t="shared" si="1"/>
        <v>-3.2995538849645345E-2</v>
      </c>
      <c r="AS14" s="287">
        <f>F17/$F$38</f>
        <v>0.67908071573683393</v>
      </c>
    </row>
    <row r="15" spans="1:48" x14ac:dyDescent="0.35">
      <c r="A15" s="169" t="s">
        <v>13</v>
      </c>
      <c r="B15" s="164">
        <v>531.81000000000017</v>
      </c>
      <c r="C15" s="164">
        <v>518.7399999999999</v>
      </c>
      <c r="D15" s="158">
        <v>480.07000000000011</v>
      </c>
      <c r="E15" s="158">
        <v>1980</v>
      </c>
      <c r="F15" s="158">
        <v>1983</v>
      </c>
      <c r="G15" s="172">
        <f t="shared" si="2"/>
        <v>0.26198989898989894</v>
      </c>
      <c r="H15" s="172">
        <f t="shared" si="3"/>
        <v>0.24209278870398393</v>
      </c>
      <c r="I15" s="158">
        <v>-13.070000000000277</v>
      </c>
      <c r="J15" s="159">
        <v>-2.4576446475245484E-2</v>
      </c>
      <c r="K15" s="158">
        <f t="shared" si="0"/>
        <v>-38.669999999999789</v>
      </c>
      <c r="L15" s="159">
        <f t="shared" si="1"/>
        <v>-7.4546015344873706E-2</v>
      </c>
      <c r="AS15" s="286"/>
    </row>
    <row r="16" spans="1:48" x14ac:dyDescent="0.35">
      <c r="A16" s="169" t="s">
        <v>14</v>
      </c>
      <c r="B16" s="164">
        <v>3013.2900000000013</v>
      </c>
      <c r="C16" s="164">
        <v>3182.6299999999992</v>
      </c>
      <c r="D16" s="158">
        <v>3481.74</v>
      </c>
      <c r="E16" s="158">
        <v>3247</v>
      </c>
      <c r="F16" s="158">
        <v>3432</v>
      </c>
      <c r="G16" s="172">
        <f t="shared" si="2"/>
        <v>0.98017554665845374</v>
      </c>
      <c r="H16" s="172">
        <f t="shared" si="3"/>
        <v>1.0144930069930069</v>
      </c>
      <c r="I16" s="158">
        <v>169.33999999999787</v>
      </c>
      <c r="J16" s="159">
        <v>5.6197710807787349E-2</v>
      </c>
      <c r="K16" s="158">
        <f t="shared" si="0"/>
        <v>299.11000000000058</v>
      </c>
      <c r="L16" s="159">
        <f t="shared" si="1"/>
        <v>9.398202115860177E-2</v>
      </c>
      <c r="AS16" s="286"/>
    </row>
    <row r="17" spans="1:45" x14ac:dyDescent="0.35">
      <c r="A17" s="153" t="s">
        <v>16</v>
      </c>
      <c r="B17" s="162">
        <v>53773.520000000106</v>
      </c>
      <c r="C17" s="162">
        <v>52903.539999999964</v>
      </c>
      <c r="D17" s="162">
        <f>SUM(D18:D20)</f>
        <v>52095.759999999966</v>
      </c>
      <c r="E17" s="162">
        <v>71395</v>
      </c>
      <c r="F17" s="162">
        <v>69527</v>
      </c>
      <c r="G17" s="275">
        <f>IFERROR(C17/E17,"")</f>
        <v>0.74099782897961997</v>
      </c>
      <c r="H17" s="275">
        <f>IFERROR(D17/F17,"")</f>
        <v>0.74928819019949033</v>
      </c>
      <c r="I17" s="154">
        <v>-869.98000000014144</v>
      </c>
      <c r="J17" s="155">
        <v>-1.6178594966447024E-2</v>
      </c>
      <c r="K17" s="154">
        <f t="shared" si="0"/>
        <v>-807.77999999999884</v>
      </c>
      <c r="L17" s="293">
        <f t="shared" si="1"/>
        <v>-1.5268921512624711E-2</v>
      </c>
      <c r="AS17" s="286"/>
    </row>
    <row r="18" spans="1:45" x14ac:dyDescent="0.35">
      <c r="A18" s="169" t="s">
        <v>17</v>
      </c>
      <c r="B18" s="164">
        <v>5565.5600000000049</v>
      </c>
      <c r="C18" s="164">
        <v>5401.24</v>
      </c>
      <c r="D18" s="158">
        <v>5238.1100000000006</v>
      </c>
      <c r="E18" s="158">
        <v>7512</v>
      </c>
      <c r="F18" s="158">
        <v>7320</v>
      </c>
      <c r="G18" s="172">
        <f t="shared" ref="G18:G20" si="4">IFERROR(C18/E18,"")</f>
        <v>0.71901490947816826</v>
      </c>
      <c r="H18" s="172">
        <f t="shared" ref="H18:H20" si="5">IFERROR(D18/F18,"")</f>
        <v>0.7155887978142077</v>
      </c>
      <c r="I18" s="158">
        <v>-164.32000000000517</v>
      </c>
      <c r="J18" s="159">
        <v>-2.9524432402131096E-2</v>
      </c>
      <c r="K18" s="158">
        <f t="shared" si="0"/>
        <v>-163.1299999999992</v>
      </c>
      <c r="L18" s="159">
        <f t="shared" si="1"/>
        <v>-3.0202323910805573E-2</v>
      </c>
      <c r="AS18" s="286"/>
    </row>
    <row r="19" spans="1:45" x14ac:dyDescent="0.35">
      <c r="A19" s="169" t="s">
        <v>18</v>
      </c>
      <c r="B19" s="164">
        <v>20325.970000000019</v>
      </c>
      <c r="C19" s="164">
        <v>19974.209999999955</v>
      </c>
      <c r="D19" s="158">
        <v>19849.599999999999</v>
      </c>
      <c r="E19" s="158">
        <v>27079</v>
      </c>
      <c r="F19" s="158">
        <v>25816</v>
      </c>
      <c r="G19" s="172">
        <f t="shared" si="4"/>
        <v>0.73762731267771908</v>
      </c>
      <c r="H19" s="172">
        <f t="shared" si="5"/>
        <v>0.76888751162070024</v>
      </c>
      <c r="I19" s="158">
        <v>-351.76000000006388</v>
      </c>
      <c r="J19" s="159">
        <v>-1.7305939150754623E-2</v>
      </c>
      <c r="K19" s="158">
        <f t="shared" si="0"/>
        <v>-124.60999999995693</v>
      </c>
      <c r="L19" s="159">
        <f t="shared" si="1"/>
        <v>-6.2385446032637848E-3</v>
      </c>
      <c r="AS19" s="286"/>
    </row>
    <row r="20" spans="1:45" x14ac:dyDescent="0.35">
      <c r="A20" s="169" t="s">
        <v>19</v>
      </c>
      <c r="B20" s="164">
        <v>27881.990000000085</v>
      </c>
      <c r="C20" s="164">
        <v>27528.090000000007</v>
      </c>
      <c r="D20" s="158">
        <v>27008.049999999963</v>
      </c>
      <c r="E20" s="158">
        <v>36804</v>
      </c>
      <c r="F20" s="158">
        <v>36391</v>
      </c>
      <c r="G20" s="172">
        <f t="shared" si="4"/>
        <v>0.74796462341049907</v>
      </c>
      <c r="H20" s="172">
        <f t="shared" si="5"/>
        <v>0.74216289741969066</v>
      </c>
      <c r="I20" s="158">
        <v>-353.90000000007785</v>
      </c>
      <c r="J20" s="159">
        <v>-1.269278125413853E-2</v>
      </c>
      <c r="K20" s="158">
        <f t="shared" si="0"/>
        <v>-520.04000000004453</v>
      </c>
      <c r="L20" s="159">
        <f t="shared" si="1"/>
        <v>-1.889124890248628E-2</v>
      </c>
      <c r="AS20" s="286"/>
    </row>
    <row r="21" spans="1:45" x14ac:dyDescent="0.35">
      <c r="A21" s="153" t="s">
        <v>43</v>
      </c>
      <c r="B21" s="162"/>
      <c r="C21" s="162">
        <v>0.16</v>
      </c>
      <c r="D21" s="162"/>
      <c r="E21" s="162"/>
      <c r="F21" s="162"/>
      <c r="G21" s="275" t="str">
        <f>IFERROR(C21/E21,"")</f>
        <v/>
      </c>
      <c r="H21" s="275" t="str">
        <f>IFERROR(D21/F21,"")</f>
        <v/>
      </c>
      <c r="I21" s="162">
        <v>0.16</v>
      </c>
      <c r="J21" s="163" t="s">
        <v>41</v>
      </c>
      <c r="K21" s="162">
        <f t="shared" si="0"/>
        <v>-0.16</v>
      </c>
      <c r="L21" s="155">
        <f t="shared" si="1"/>
        <v>-1</v>
      </c>
      <c r="AS21" s="286"/>
    </row>
    <row r="22" spans="1:45" x14ac:dyDescent="0.35">
      <c r="A22" s="169" t="s">
        <v>44</v>
      </c>
      <c r="B22" s="164"/>
      <c r="C22" s="164">
        <v>0.16</v>
      </c>
      <c r="D22" s="170"/>
      <c r="E22" s="170"/>
      <c r="F22" s="170"/>
      <c r="G22" s="172" t="str">
        <f t="shared" ref="G22" si="6">IFERROR(C22/E22,"")</f>
        <v/>
      </c>
      <c r="H22" s="172" t="str">
        <f t="shared" ref="H22" si="7">IFERROR(D22/F22,"")</f>
        <v/>
      </c>
      <c r="I22" s="158">
        <v>0.16</v>
      </c>
      <c r="J22" s="171" t="s">
        <v>41</v>
      </c>
      <c r="K22" s="158">
        <f t="shared" si="0"/>
        <v>-0.16</v>
      </c>
      <c r="L22" s="159">
        <f t="shared" si="1"/>
        <v>-1</v>
      </c>
      <c r="AS22" s="287">
        <f>F25/$F$38</f>
        <v>6.6348257540240665E-2</v>
      </c>
    </row>
    <row r="23" spans="1:45" x14ac:dyDescent="0.35">
      <c r="A23" s="153" t="s">
        <v>20</v>
      </c>
      <c r="B23" s="162"/>
      <c r="C23" s="162">
        <v>0.08</v>
      </c>
      <c r="D23" s="162"/>
      <c r="E23" s="162"/>
      <c r="F23" s="162"/>
      <c r="G23" s="275" t="str">
        <f>IFERROR(C23/E23,"")</f>
        <v/>
      </c>
      <c r="H23" s="275" t="str">
        <f>IFERROR(D23/F23,"")</f>
        <v/>
      </c>
      <c r="I23" s="162">
        <v>0.08</v>
      </c>
      <c r="J23" s="163" t="s">
        <v>41</v>
      </c>
      <c r="K23" s="162">
        <f t="shared" si="0"/>
        <v>-0.08</v>
      </c>
      <c r="L23" s="155">
        <f t="shared" si="1"/>
        <v>-1</v>
      </c>
      <c r="AS23" s="286"/>
    </row>
    <row r="24" spans="1:45" x14ac:dyDescent="0.35">
      <c r="A24" s="169" t="s">
        <v>20</v>
      </c>
      <c r="B24" s="164"/>
      <c r="C24" s="164">
        <v>0.08</v>
      </c>
      <c r="D24" s="170"/>
      <c r="E24" s="170"/>
      <c r="F24" s="170"/>
      <c r="G24" s="172" t="str">
        <f t="shared" ref="G24" si="8">IFERROR(C24/E24,"")</f>
        <v/>
      </c>
      <c r="H24" s="172" t="str">
        <f t="shared" ref="H24" si="9">IFERROR(D24/F24,"")</f>
        <v/>
      </c>
      <c r="I24" s="158">
        <v>0.08</v>
      </c>
      <c r="J24" s="171" t="s">
        <v>41</v>
      </c>
      <c r="K24" s="158">
        <f t="shared" si="0"/>
        <v>-0.08</v>
      </c>
      <c r="L24" s="159">
        <f t="shared" si="1"/>
        <v>-1</v>
      </c>
      <c r="AS24" s="286"/>
    </row>
    <row r="25" spans="1:45" x14ac:dyDescent="0.35">
      <c r="A25" s="153" t="s">
        <v>23</v>
      </c>
      <c r="B25" s="162">
        <v>6084.3099999999986</v>
      </c>
      <c r="C25" s="162">
        <v>5981.9499999999989</v>
      </c>
      <c r="D25" s="162">
        <v>5777.8499999999967</v>
      </c>
      <c r="E25" s="162">
        <v>6585</v>
      </c>
      <c r="F25" s="162">
        <v>6793</v>
      </c>
      <c r="G25" s="275">
        <f>IFERROR(C25/E25,"")</f>
        <v>0.90842065299924057</v>
      </c>
      <c r="H25" s="275">
        <f>IFERROR(D25/F25,"")</f>
        <v>0.85055939938171599</v>
      </c>
      <c r="I25" s="154">
        <v>-102.35999999999967</v>
      </c>
      <c r="J25" s="155">
        <v>-1.6823600375391767E-2</v>
      </c>
      <c r="K25" s="154">
        <f t="shared" si="0"/>
        <v>-204.10000000000218</v>
      </c>
      <c r="L25" s="293">
        <f t="shared" si="1"/>
        <v>-3.4119308921004343E-2</v>
      </c>
      <c r="AS25" s="286"/>
    </row>
    <row r="26" spans="1:45" x14ac:dyDescent="0.35">
      <c r="A26" s="169" t="s">
        <v>24</v>
      </c>
      <c r="B26" s="164">
        <v>1.37</v>
      </c>
      <c r="C26" s="164">
        <v>1.6099999999999999</v>
      </c>
      <c r="D26" s="158">
        <v>1.6900000000000002</v>
      </c>
      <c r="E26" s="158">
        <v>1</v>
      </c>
      <c r="F26" s="158">
        <v>2</v>
      </c>
      <c r="G26" s="172">
        <f t="shared" ref="G26:G27" si="10">IFERROR(C26/E26,"")</f>
        <v>1.6099999999999999</v>
      </c>
      <c r="H26" s="172">
        <f t="shared" ref="H26:H27" si="11">IFERROR(D26/F26,"")</f>
        <v>0.84500000000000008</v>
      </c>
      <c r="I26" s="158">
        <v>0.23999999999999977</v>
      </c>
      <c r="J26" s="159">
        <v>0.1751824817518246</v>
      </c>
      <c r="K26" s="158">
        <f t="shared" si="0"/>
        <v>8.0000000000000293E-2</v>
      </c>
      <c r="L26" s="159">
        <f t="shared" si="1"/>
        <v>4.9689440993788914E-2</v>
      </c>
      <c r="AS26" s="286"/>
    </row>
    <row r="27" spans="1:45" x14ac:dyDescent="0.35">
      <c r="A27" s="169" t="s">
        <v>26</v>
      </c>
      <c r="B27" s="164">
        <v>6082.9399999999987</v>
      </c>
      <c r="C27" s="164">
        <v>5980.3399999999992</v>
      </c>
      <c r="D27" s="158">
        <v>5776.1599999999971</v>
      </c>
      <c r="E27" s="158">
        <v>6584</v>
      </c>
      <c r="F27" s="158">
        <v>6791</v>
      </c>
      <c r="G27" s="172">
        <f t="shared" si="10"/>
        <v>0.90831409477521252</v>
      </c>
      <c r="H27" s="172">
        <f t="shared" si="11"/>
        <v>0.85056103666617544</v>
      </c>
      <c r="I27" s="158">
        <v>-102.59999999999945</v>
      </c>
      <c r="J27" s="159">
        <v>-1.6866843993200598E-2</v>
      </c>
      <c r="K27" s="158">
        <f t="shared" si="0"/>
        <v>-204.18000000000211</v>
      </c>
      <c r="L27" s="159">
        <f t="shared" si="1"/>
        <v>-3.4141871532388124E-2</v>
      </c>
      <c r="AS27" s="286"/>
    </row>
    <row r="28" spans="1:45" x14ac:dyDescent="0.35">
      <c r="A28" s="153" t="s">
        <v>27</v>
      </c>
      <c r="B28" s="162">
        <v>7.3999999999999995</v>
      </c>
      <c r="C28" s="162">
        <v>7.61</v>
      </c>
      <c r="D28" s="162">
        <f>SUM(D63,D98,D129)</f>
        <v>7.0799999999999992</v>
      </c>
      <c r="E28" s="162">
        <v>7</v>
      </c>
      <c r="F28" s="162">
        <v>6</v>
      </c>
      <c r="G28" s="275">
        <f>IFERROR(C28/E28,"")</f>
        <v>1.0871428571428572</v>
      </c>
      <c r="H28" s="275">
        <f>IFERROR(D28/F28,"")</f>
        <v>1.18</v>
      </c>
      <c r="I28" s="154">
        <v>0.21000000000000085</v>
      </c>
      <c r="J28" s="163">
        <v>2.8378378378378422E-2</v>
      </c>
      <c r="K28" s="154">
        <f t="shared" si="0"/>
        <v>-0.53000000000000114</v>
      </c>
      <c r="L28" s="293">
        <f t="shared" si="1"/>
        <v>-6.9645203679369438E-2</v>
      </c>
      <c r="AS28" s="286"/>
    </row>
    <row r="29" spans="1:45" x14ac:dyDescent="0.35">
      <c r="A29" s="169" t="s">
        <v>28</v>
      </c>
      <c r="B29" s="164">
        <v>6.97</v>
      </c>
      <c r="C29" s="164">
        <v>7.03</v>
      </c>
      <c r="D29" s="158">
        <f>SUM(D99,D130)</f>
        <v>6.47</v>
      </c>
      <c r="E29" s="158">
        <v>7</v>
      </c>
      <c r="F29" s="158">
        <v>6</v>
      </c>
      <c r="G29" s="172">
        <f t="shared" ref="G29:G30" si="12">IFERROR(C29/E29,"")</f>
        <v>1.0042857142857142</v>
      </c>
      <c r="H29" s="172">
        <f t="shared" ref="H29:H30" si="13">IFERROR(D29/F29,"")</f>
        <v>1.0783333333333334</v>
      </c>
      <c r="I29" s="158">
        <v>6.0000000000000497E-2</v>
      </c>
      <c r="J29" s="159">
        <v>8.6083213773315848E-3</v>
      </c>
      <c r="K29" s="158">
        <f t="shared" si="0"/>
        <v>-0.5600000000000005</v>
      </c>
      <c r="L29" s="159">
        <f t="shared" si="1"/>
        <v>-7.9658605974395558E-2</v>
      </c>
      <c r="AS29" s="286"/>
    </row>
    <row r="30" spans="1:45" x14ac:dyDescent="0.35">
      <c r="A30" s="169" t="s">
        <v>29</v>
      </c>
      <c r="B30" s="164">
        <v>0.43000000000000005</v>
      </c>
      <c r="C30" s="164">
        <v>0.58000000000000007</v>
      </c>
      <c r="D30" s="158">
        <f>SUM(D64,D100,D131)</f>
        <v>0.6100000000000001</v>
      </c>
      <c r="E30" s="158"/>
      <c r="F30" s="158"/>
      <c r="G30" s="172" t="str">
        <f t="shared" si="12"/>
        <v/>
      </c>
      <c r="H30" s="172" t="str">
        <f t="shared" si="13"/>
        <v/>
      </c>
      <c r="I30" s="158">
        <v>0.15000000000000002</v>
      </c>
      <c r="J30" s="171">
        <v>0.34883720930232553</v>
      </c>
      <c r="K30" s="158">
        <f t="shared" si="0"/>
        <v>3.0000000000000027E-2</v>
      </c>
      <c r="L30" s="171">
        <f t="shared" si="1"/>
        <v>5.1724137931034475E-2</v>
      </c>
      <c r="AS30" s="286"/>
    </row>
    <row r="31" spans="1:45" x14ac:dyDescent="0.35">
      <c r="A31" s="153" t="s">
        <v>35</v>
      </c>
      <c r="B31" s="162">
        <v>28.340000000000003</v>
      </c>
      <c r="C31" s="162">
        <v>26.9</v>
      </c>
      <c r="D31" s="162">
        <v>52.410000000000004</v>
      </c>
      <c r="E31" s="162">
        <v>261</v>
      </c>
      <c r="F31" s="162">
        <v>261</v>
      </c>
      <c r="G31" s="275">
        <f>IFERROR(C31/E31,"")</f>
        <v>0.10306513409961686</v>
      </c>
      <c r="H31" s="275">
        <f>IFERROR(D31/F31,"")</f>
        <v>0.20080459770114945</v>
      </c>
      <c r="I31" s="154">
        <v>-1.4400000000000048</v>
      </c>
      <c r="J31" s="155">
        <v>-5.0811573747353678E-2</v>
      </c>
      <c r="K31" s="162">
        <f t="shared" si="0"/>
        <v>25.510000000000005</v>
      </c>
      <c r="L31" s="293">
        <f t="shared" si="1"/>
        <v>0.94832713754646858</v>
      </c>
      <c r="AS31" s="286"/>
    </row>
    <row r="32" spans="1:45" x14ac:dyDescent="0.35">
      <c r="A32" s="169" t="s">
        <v>35</v>
      </c>
      <c r="B32" s="164">
        <v>28.340000000000003</v>
      </c>
      <c r="C32" s="164">
        <v>26.9</v>
      </c>
      <c r="D32" s="158">
        <f>SUM(D66,D102,D133,D159)</f>
        <v>52.410000000000004</v>
      </c>
      <c r="E32" s="158">
        <v>261</v>
      </c>
      <c r="F32" s="158">
        <v>261</v>
      </c>
      <c r="G32" s="172">
        <f t="shared" ref="G32" si="14">IFERROR(C32/E32,"")</f>
        <v>0.10306513409961686</v>
      </c>
      <c r="H32" s="172">
        <f t="shared" ref="H32" si="15">IFERROR(D32/F32,"")</f>
        <v>0.20080459770114945</v>
      </c>
      <c r="I32" s="158">
        <v>-1.4400000000000048</v>
      </c>
      <c r="J32" s="159">
        <v>-5.0811573747353678E-2</v>
      </c>
      <c r="K32" s="158">
        <f t="shared" si="0"/>
        <v>25.510000000000005</v>
      </c>
      <c r="L32" s="159">
        <f t="shared" si="1"/>
        <v>0.94832713754646858</v>
      </c>
      <c r="AS32" s="286"/>
    </row>
    <row r="33" spans="1:45" x14ac:dyDescent="0.35">
      <c r="A33" s="153" t="s">
        <v>139</v>
      </c>
      <c r="B33" s="162"/>
      <c r="C33" s="162">
        <v>16.759999999999998</v>
      </c>
      <c r="D33" s="162"/>
      <c r="E33" s="162">
        <v>102</v>
      </c>
      <c r="F33" s="162">
        <v>102</v>
      </c>
      <c r="G33" s="275">
        <f>IFERROR(C33/E33,"")</f>
        <v>0.16431372549019607</v>
      </c>
      <c r="H33" s="275">
        <f>IFERROR(D33/F33,"")</f>
        <v>0</v>
      </c>
      <c r="I33" s="154">
        <f>C33-B33</f>
        <v>16.759999999999998</v>
      </c>
      <c r="J33" s="155" t="str">
        <f>IFERROR((C33/B33)-1,"")</f>
        <v/>
      </c>
      <c r="K33" s="154">
        <f>D33-C33</f>
        <v>-16.759999999999998</v>
      </c>
      <c r="L33" s="293">
        <f>IFERROR((D33/C33)-1,"")</f>
        <v>-1</v>
      </c>
      <c r="AS33" s="287">
        <f>F36/$F$38</f>
        <v>5.5711829973433352E-2</v>
      </c>
    </row>
    <row r="34" spans="1:45" x14ac:dyDescent="0.35">
      <c r="A34" s="147" t="s">
        <v>37</v>
      </c>
      <c r="B34" s="164"/>
      <c r="C34" s="164">
        <v>10.01</v>
      </c>
      <c r="D34" s="158"/>
      <c r="E34" s="158">
        <v>62</v>
      </c>
      <c r="F34" s="158">
        <v>62</v>
      </c>
      <c r="G34" s="172">
        <f t="shared" ref="G34:G35" si="16">IFERROR(C34/E34,"")</f>
        <v>0.16145161290322579</v>
      </c>
      <c r="H34" s="172">
        <f t="shared" ref="H34:H35" si="17">IFERROR(D34/F34,"")</f>
        <v>0</v>
      </c>
      <c r="I34" s="158">
        <f>C34-B34</f>
        <v>10.01</v>
      </c>
      <c r="J34" s="159"/>
      <c r="K34" s="158">
        <f>D34-C34</f>
        <v>-10.01</v>
      </c>
      <c r="L34" s="159">
        <f>IFERROR((D34/C34)-1,"")</f>
        <v>-1</v>
      </c>
      <c r="AS34" s="286"/>
    </row>
    <row r="35" spans="1:45" x14ac:dyDescent="0.35">
      <c r="A35" s="147" t="s">
        <v>138</v>
      </c>
      <c r="B35" s="164"/>
      <c r="C35" s="164">
        <v>6.75</v>
      </c>
      <c r="D35" s="158"/>
      <c r="E35" s="158">
        <v>40</v>
      </c>
      <c r="F35" s="158">
        <v>40</v>
      </c>
      <c r="G35" s="172">
        <f t="shared" si="16"/>
        <v>0.16875000000000001</v>
      </c>
      <c r="H35" s="172">
        <f t="shared" si="17"/>
        <v>0</v>
      </c>
      <c r="I35" s="158">
        <f>C35-B35</f>
        <v>6.75</v>
      </c>
      <c r="J35" s="159"/>
      <c r="K35" s="158">
        <f>D35-C35</f>
        <v>-6.75</v>
      </c>
      <c r="L35" s="159">
        <f>IFERROR((D35/C35)-1,"")</f>
        <v>-1</v>
      </c>
      <c r="AS35" s="286"/>
    </row>
    <row r="36" spans="1:45" x14ac:dyDescent="0.35">
      <c r="A36" s="153" t="s">
        <v>39</v>
      </c>
      <c r="B36" s="162">
        <v>6106.2000000000089</v>
      </c>
      <c r="C36" s="162">
        <v>5976.5000000000009</v>
      </c>
      <c r="D36" s="162">
        <v>6177.58</v>
      </c>
      <c r="E36" s="162">
        <v>5789</v>
      </c>
      <c r="F36" s="162">
        <v>5704</v>
      </c>
      <c r="G36" s="275">
        <f>IFERROR(C36/E36,"")</f>
        <v>1.0323890136465712</v>
      </c>
      <c r="H36" s="275">
        <f>IFERROR(D36/F36,"")</f>
        <v>1.0830259467040673</v>
      </c>
      <c r="I36" s="154">
        <v>-129.700000000008</v>
      </c>
      <c r="J36" s="155">
        <v>-2.1240706167503176E-2</v>
      </c>
      <c r="K36" s="162">
        <f t="shared" si="0"/>
        <v>201.07999999999902</v>
      </c>
      <c r="L36" s="293">
        <f t="shared" si="1"/>
        <v>3.3645110014222102E-2</v>
      </c>
    </row>
    <row r="37" spans="1:45" x14ac:dyDescent="0.35">
      <c r="A37" s="169" t="s">
        <v>39</v>
      </c>
      <c r="B37" s="164">
        <v>6106.2000000000089</v>
      </c>
      <c r="C37" s="164">
        <v>5976.5000000000009</v>
      </c>
      <c r="D37" s="158">
        <v>6177.58</v>
      </c>
      <c r="E37" s="158">
        <v>5789</v>
      </c>
      <c r="F37" s="158">
        <v>5704</v>
      </c>
      <c r="G37" s="172">
        <f t="shared" ref="G37" si="18">IFERROR(C37/E37,"")</f>
        <v>1.0323890136465712</v>
      </c>
      <c r="H37" s="172">
        <f t="shared" ref="H37" si="19">IFERROR(D37/F37,"")</f>
        <v>1.0830259467040673</v>
      </c>
      <c r="I37" s="158">
        <v>-129.700000000008</v>
      </c>
      <c r="J37" s="159">
        <v>-2.1240706167503176E-2</v>
      </c>
      <c r="K37" s="158">
        <f t="shared" si="0"/>
        <v>201.07999999999902</v>
      </c>
      <c r="L37" s="159">
        <f t="shared" si="1"/>
        <v>3.3645110014222102E-2</v>
      </c>
    </row>
    <row r="38" spans="1:45" x14ac:dyDescent="0.35">
      <c r="A38" s="168" t="s">
        <v>40</v>
      </c>
      <c r="B38" s="142">
        <v>79556.490000000093</v>
      </c>
      <c r="C38" s="142">
        <v>78989.869999999981</v>
      </c>
      <c r="D38" s="142">
        <f>SUM(D9,D17,D25,D28,D31,D36)</f>
        <v>78551.239999999962</v>
      </c>
      <c r="E38" s="142">
        <v>104496</v>
      </c>
      <c r="F38" s="142">
        <v>102384</v>
      </c>
      <c r="G38" s="277">
        <f>IFERROR(C38/E38,"")</f>
        <v>0.75591285790843654</v>
      </c>
      <c r="H38" s="277">
        <f>IFERROR(D38/F38,"")</f>
        <v>0.76722183153617718</v>
      </c>
      <c r="I38" s="149">
        <f>C38-B38</f>
        <v>-566.62000000011176</v>
      </c>
      <c r="J38" s="141">
        <v>-7.1222347793387097E-3</v>
      </c>
      <c r="K38" s="149">
        <f t="shared" si="0"/>
        <v>-438.63000000001921</v>
      </c>
      <c r="L38" s="141">
        <f t="shared" si="1"/>
        <v>-5.5529905290390147E-3</v>
      </c>
      <c r="M38" s="282"/>
    </row>
    <row r="39" spans="1:45" x14ac:dyDescent="0.35">
      <c r="A39" s="143"/>
      <c r="D39" s="282"/>
    </row>
    <row r="41" spans="1:45" x14ac:dyDescent="0.35">
      <c r="D41" s="4"/>
      <c r="E41" s="4"/>
    </row>
    <row r="42" spans="1:45" x14ac:dyDescent="0.35">
      <c r="G42" s="4"/>
    </row>
    <row r="43" spans="1:45" ht="17.5" x14ac:dyDescent="0.35">
      <c r="A43" s="152" t="s">
        <v>65</v>
      </c>
    </row>
    <row r="46" spans="1:45" ht="43" customHeight="1" x14ac:dyDescent="0.35">
      <c r="B46" s="323" t="s">
        <v>1</v>
      </c>
      <c r="C46" s="323"/>
      <c r="D46" s="323"/>
      <c r="E46" s="323" t="s">
        <v>121</v>
      </c>
      <c r="F46" s="323"/>
      <c r="G46" s="323" t="s">
        <v>122</v>
      </c>
      <c r="H46" s="323"/>
      <c r="I46" s="323" t="s">
        <v>2</v>
      </c>
      <c r="J46" s="323"/>
      <c r="K46" s="323" t="s">
        <v>5</v>
      </c>
      <c r="L46" s="323"/>
    </row>
    <row r="47" spans="1:45" x14ac:dyDescent="0.35">
      <c r="A47" s="121" t="s">
        <v>0</v>
      </c>
      <c r="B47" s="105" t="s">
        <v>63</v>
      </c>
      <c r="C47" s="105" t="s">
        <v>61</v>
      </c>
      <c r="D47" s="126" t="s">
        <v>62</v>
      </c>
      <c r="E47" s="90">
        <v>2020</v>
      </c>
      <c r="F47" s="90">
        <v>2021</v>
      </c>
      <c r="G47" s="201">
        <v>2020</v>
      </c>
      <c r="H47" s="201">
        <v>2021</v>
      </c>
      <c r="I47" s="105" t="s">
        <v>3</v>
      </c>
      <c r="J47" s="134" t="s">
        <v>4</v>
      </c>
      <c r="K47" s="105" t="s">
        <v>3</v>
      </c>
      <c r="L47" s="134" t="s">
        <v>4</v>
      </c>
    </row>
    <row r="48" spans="1:45" x14ac:dyDescent="0.35">
      <c r="A48" s="94" t="s">
        <v>6</v>
      </c>
      <c r="B48" s="127">
        <v>2528.3599999999997</v>
      </c>
      <c r="C48" s="128">
        <v>2491.0700000000002</v>
      </c>
      <c r="D48" s="233">
        <f>SUM(D49:D55)</f>
        <v>2498.41</v>
      </c>
      <c r="E48" s="231"/>
      <c r="F48" s="162"/>
      <c r="G48" s="162"/>
      <c r="H48" s="162"/>
      <c r="I48" s="127">
        <v>-37.289999999999509</v>
      </c>
      <c r="J48" s="237">
        <v>-1.4748690850986179E-2</v>
      </c>
      <c r="K48" s="127">
        <f>D48-C48</f>
        <v>7.3399999999996908</v>
      </c>
      <c r="L48" s="241">
        <f>(D48/C48)-1</f>
        <v>2.9465249872544508E-3</v>
      </c>
    </row>
    <row r="49" spans="1:12" x14ac:dyDescent="0.35">
      <c r="A49" s="122" t="s">
        <v>7</v>
      </c>
      <c r="B49" s="135">
        <v>283.56000000000006</v>
      </c>
      <c r="C49" s="139">
        <v>180.87000000000003</v>
      </c>
      <c r="D49" s="253">
        <v>280.94</v>
      </c>
      <c r="E49" s="232"/>
      <c r="F49" s="158"/>
      <c r="G49" s="158"/>
      <c r="H49" s="158"/>
      <c r="I49" s="135">
        <v>-102.69000000000003</v>
      </c>
      <c r="J49" s="248">
        <v>-0.36214557765552269</v>
      </c>
      <c r="K49" s="135">
        <f>D49-C49</f>
        <v>100.06999999999996</v>
      </c>
      <c r="L49" s="248">
        <f>(D49/C49)-1</f>
        <v>0.55327030463869042</v>
      </c>
    </row>
    <row r="50" spans="1:12" x14ac:dyDescent="0.35">
      <c r="A50" s="122" t="s">
        <v>8</v>
      </c>
      <c r="B50" s="135">
        <v>53.69</v>
      </c>
      <c r="C50" s="139">
        <v>46.129999999999995</v>
      </c>
      <c r="D50" s="253">
        <v>36.590000000000003</v>
      </c>
      <c r="E50" s="232"/>
      <c r="F50" s="158"/>
      <c r="G50" s="158"/>
      <c r="H50" s="158"/>
      <c r="I50" s="135">
        <v>-7.5600000000000023</v>
      </c>
      <c r="J50" s="248">
        <v>-0.14080834419817478</v>
      </c>
      <c r="K50" s="135">
        <f t="shared" ref="K50:K69" si="20">D50-C50</f>
        <v>-9.539999999999992</v>
      </c>
      <c r="L50" s="248">
        <f t="shared" ref="L50:L69" si="21">(D50/C50)-1</f>
        <v>-0.20680685020593959</v>
      </c>
    </row>
    <row r="51" spans="1:12" x14ac:dyDescent="0.35">
      <c r="A51" s="122" t="s">
        <v>9</v>
      </c>
      <c r="B51" s="135">
        <v>16.52</v>
      </c>
      <c r="C51" s="139">
        <v>15.28</v>
      </c>
      <c r="D51" s="253">
        <v>15.280000000000001</v>
      </c>
      <c r="E51" s="232"/>
      <c r="F51" s="158"/>
      <c r="G51" s="158"/>
      <c r="H51" s="158"/>
      <c r="I51" s="135">
        <v>-1.2400000000000002</v>
      </c>
      <c r="J51" s="248">
        <v>-7.5060532687651338E-2</v>
      </c>
      <c r="K51" s="135">
        <f t="shared" si="20"/>
        <v>0</v>
      </c>
      <c r="L51" s="248">
        <f t="shared" si="21"/>
        <v>0</v>
      </c>
    </row>
    <row r="52" spans="1:12" x14ac:dyDescent="0.35">
      <c r="A52" s="122" t="s">
        <v>10</v>
      </c>
      <c r="B52" s="135">
        <v>0.63000000000000012</v>
      </c>
      <c r="C52" s="139">
        <v>0.64000000000000012</v>
      </c>
      <c r="D52" s="253">
        <v>9.9999999999999992E-2</v>
      </c>
      <c r="E52" s="232"/>
      <c r="F52" s="158"/>
      <c r="G52" s="158"/>
      <c r="H52" s="158"/>
      <c r="I52" s="135">
        <v>1.0000000000000009E-2</v>
      </c>
      <c r="J52" s="248">
        <v>1.5873015873015817E-2</v>
      </c>
      <c r="K52" s="135">
        <f t="shared" si="20"/>
        <v>-0.54000000000000015</v>
      </c>
      <c r="L52" s="248">
        <f t="shared" si="21"/>
        <v>-0.84375</v>
      </c>
    </row>
    <row r="53" spans="1:12" x14ac:dyDescent="0.35">
      <c r="A53" s="122" t="s">
        <v>11</v>
      </c>
      <c r="B53" s="135">
        <v>1712.08</v>
      </c>
      <c r="C53" s="139">
        <v>1809.4900000000002</v>
      </c>
      <c r="D53" s="253">
        <v>1757.02</v>
      </c>
      <c r="E53" s="232"/>
      <c r="F53" s="158"/>
      <c r="G53" s="158"/>
      <c r="H53" s="158"/>
      <c r="I53" s="135">
        <v>97.410000000000309</v>
      </c>
      <c r="J53" s="248">
        <v>5.6895705808140074E-2</v>
      </c>
      <c r="K53" s="135">
        <f t="shared" si="20"/>
        <v>-52.470000000000255</v>
      </c>
      <c r="L53" s="248">
        <f t="shared" si="21"/>
        <v>-2.8997120735677062E-2</v>
      </c>
    </row>
    <row r="54" spans="1:12" x14ac:dyDescent="0.35">
      <c r="A54" s="122" t="s">
        <v>13</v>
      </c>
      <c r="B54" s="135">
        <v>191.25999999999988</v>
      </c>
      <c r="C54" s="139">
        <v>196.5</v>
      </c>
      <c r="D54" s="253">
        <v>182.00999999999993</v>
      </c>
      <c r="E54" s="232"/>
      <c r="F54" s="158"/>
      <c r="G54" s="158"/>
      <c r="H54" s="158"/>
      <c r="I54" s="135">
        <v>5.2400000000001228</v>
      </c>
      <c r="J54" s="248">
        <v>2.7397260273973156E-2</v>
      </c>
      <c r="K54" s="135">
        <f t="shared" si="20"/>
        <v>-14.490000000000066</v>
      </c>
      <c r="L54" s="248">
        <f t="shared" si="21"/>
        <v>-7.3740458015267518E-2</v>
      </c>
    </row>
    <row r="55" spans="1:12" x14ac:dyDescent="0.35">
      <c r="A55" s="122" t="s">
        <v>14</v>
      </c>
      <c r="B55" s="135">
        <v>270.62</v>
      </c>
      <c r="C55" s="139">
        <v>242.16000000000003</v>
      </c>
      <c r="D55" s="253">
        <v>226.47000000000003</v>
      </c>
      <c r="E55" s="232"/>
      <c r="F55" s="158"/>
      <c r="G55" s="158"/>
      <c r="H55" s="158"/>
      <c r="I55" s="135">
        <v>-28.45999999999998</v>
      </c>
      <c r="J55" s="248">
        <v>-0.10516591530559449</v>
      </c>
      <c r="K55" s="135">
        <f t="shared" si="20"/>
        <v>-15.689999999999998</v>
      </c>
      <c r="L55" s="248">
        <f t="shared" si="21"/>
        <v>-6.479187314172441E-2</v>
      </c>
    </row>
    <row r="56" spans="1:12" x14ac:dyDescent="0.35">
      <c r="A56" s="123" t="s">
        <v>16</v>
      </c>
      <c r="B56" s="130">
        <v>34668.690000000024</v>
      </c>
      <c r="C56" s="130">
        <v>33532.170000000006</v>
      </c>
      <c r="D56" s="245">
        <f>SUM(D57:D59)</f>
        <v>32607.280000000002</v>
      </c>
      <c r="E56" s="231"/>
      <c r="F56" s="162"/>
      <c r="G56" s="162"/>
      <c r="H56" s="162"/>
      <c r="I56" s="136">
        <v>-1136.5200000000186</v>
      </c>
      <c r="J56" s="249">
        <v>-3.2782317416666706E-2</v>
      </c>
      <c r="K56" s="136">
        <f t="shared" si="20"/>
        <v>-924.89000000000306</v>
      </c>
      <c r="L56" s="249">
        <f t="shared" si="21"/>
        <v>-2.7582169600118389E-2</v>
      </c>
    </row>
    <row r="57" spans="1:12" x14ac:dyDescent="0.35">
      <c r="A57" s="122" t="s">
        <v>17</v>
      </c>
      <c r="B57" s="135">
        <v>2135.3099999999986</v>
      </c>
      <c r="C57" s="139">
        <v>2004.0300000000002</v>
      </c>
      <c r="D57" s="253">
        <v>1923.06</v>
      </c>
      <c r="E57" s="232"/>
      <c r="F57" s="158"/>
      <c r="G57" s="158"/>
      <c r="H57" s="158"/>
      <c r="I57" s="135">
        <v>-131.27999999999838</v>
      </c>
      <c r="J57" s="248">
        <v>-6.1480534442305057E-2</v>
      </c>
      <c r="K57" s="135">
        <f t="shared" si="20"/>
        <v>-80.970000000000255</v>
      </c>
      <c r="L57" s="248">
        <f t="shared" si="21"/>
        <v>-4.0403586772653211E-2</v>
      </c>
    </row>
    <row r="58" spans="1:12" x14ac:dyDescent="0.35">
      <c r="A58" s="122" t="s">
        <v>18</v>
      </c>
      <c r="B58" s="135">
        <v>17293.820000000011</v>
      </c>
      <c r="C58" s="139">
        <v>16851.140000000007</v>
      </c>
      <c r="D58" s="253">
        <v>16550.349999999999</v>
      </c>
      <c r="E58" s="232"/>
      <c r="F58" s="158"/>
      <c r="G58" s="158"/>
      <c r="H58" s="158"/>
      <c r="I58" s="135">
        <v>-442.68000000000393</v>
      </c>
      <c r="J58" s="248">
        <v>-2.5597583414190939E-2</v>
      </c>
      <c r="K58" s="135">
        <f t="shared" si="20"/>
        <v>-300.79000000000815</v>
      </c>
      <c r="L58" s="248">
        <f t="shared" si="21"/>
        <v>-1.784983093132031E-2</v>
      </c>
    </row>
    <row r="59" spans="1:12" x14ac:dyDescent="0.35">
      <c r="A59" s="122" t="s">
        <v>19</v>
      </c>
      <c r="B59" s="135">
        <v>15239.560000000018</v>
      </c>
      <c r="C59" s="139">
        <v>14676.999999999998</v>
      </c>
      <c r="D59" s="253">
        <v>14133.870000000003</v>
      </c>
      <c r="E59" s="232"/>
      <c r="F59" s="158"/>
      <c r="G59" s="158"/>
      <c r="H59" s="158"/>
      <c r="I59" s="135">
        <v>-562.5600000000195</v>
      </c>
      <c r="J59" s="248">
        <v>-3.6914451598341391E-2</v>
      </c>
      <c r="K59" s="135">
        <f t="shared" si="20"/>
        <v>-543.12999999999556</v>
      </c>
      <c r="L59" s="248">
        <f t="shared" si="21"/>
        <v>-3.7005518838999496E-2</v>
      </c>
    </row>
    <row r="60" spans="1:12" x14ac:dyDescent="0.35">
      <c r="A60" s="123" t="s">
        <v>23</v>
      </c>
      <c r="B60" s="130">
        <v>5358.45</v>
      </c>
      <c r="C60" s="130">
        <v>5577.0699999999979</v>
      </c>
      <c r="D60" s="245">
        <f>SUM(D61:D62)</f>
        <v>5377.47</v>
      </c>
      <c r="E60" s="231"/>
      <c r="F60" s="162"/>
      <c r="G60" s="162"/>
      <c r="H60" s="162"/>
      <c r="I60" s="136">
        <v>218.61999999999807</v>
      </c>
      <c r="J60" s="249">
        <v>4.0799111683415656E-2</v>
      </c>
      <c r="K60" s="136">
        <f t="shared" si="20"/>
        <v>-199.59999999999764</v>
      </c>
      <c r="L60" s="249">
        <f t="shared" si="21"/>
        <v>-3.5789401961961675E-2</v>
      </c>
    </row>
    <row r="61" spans="1:12" x14ac:dyDescent="0.35">
      <c r="A61" s="122" t="s">
        <v>24</v>
      </c>
      <c r="B61" s="135">
        <v>1.32</v>
      </c>
      <c r="C61" s="139">
        <v>1.6099999999999999</v>
      </c>
      <c r="D61" s="253">
        <v>1.1399999999999999</v>
      </c>
      <c r="E61" s="232"/>
      <c r="F61" s="158"/>
      <c r="G61" s="158"/>
      <c r="H61" s="158"/>
      <c r="I61" s="135">
        <v>0.28999999999999981</v>
      </c>
      <c r="J61" s="248">
        <v>0.2196969696969695</v>
      </c>
      <c r="K61" s="135">
        <f t="shared" si="20"/>
        <v>-0.47</v>
      </c>
      <c r="L61" s="248">
        <f t="shared" si="21"/>
        <v>-0.29192546583850931</v>
      </c>
    </row>
    <row r="62" spans="1:12" x14ac:dyDescent="0.35">
      <c r="A62" s="122" t="s">
        <v>26</v>
      </c>
      <c r="B62" s="135">
        <v>5357.13</v>
      </c>
      <c r="C62" s="139">
        <v>5575.4599999999982</v>
      </c>
      <c r="D62" s="253">
        <v>5376.33</v>
      </c>
      <c r="E62" s="232"/>
      <c r="F62" s="158"/>
      <c r="G62" s="158"/>
      <c r="H62" s="158"/>
      <c r="I62" s="135">
        <v>218.32999999999811</v>
      </c>
      <c r="J62" s="248">
        <v>4.0755031145407683E-2</v>
      </c>
      <c r="K62" s="135">
        <f t="shared" si="20"/>
        <v>-199.12999999999829</v>
      </c>
      <c r="L62" s="248">
        <f t="shared" si="21"/>
        <v>-3.5715438726131699E-2</v>
      </c>
    </row>
    <row r="63" spans="1:12" x14ac:dyDescent="0.35">
      <c r="A63" s="123" t="s">
        <v>27</v>
      </c>
      <c r="B63" s="130"/>
      <c r="C63" s="130">
        <v>0.1</v>
      </c>
      <c r="D63" s="245">
        <v>0.1</v>
      </c>
      <c r="E63" s="231"/>
      <c r="F63" s="162"/>
      <c r="G63" s="162"/>
      <c r="H63" s="162"/>
      <c r="I63" s="136">
        <v>0.1</v>
      </c>
      <c r="J63" s="249" t="s">
        <v>41</v>
      </c>
      <c r="K63" s="136">
        <f t="shared" si="20"/>
        <v>0</v>
      </c>
      <c r="L63" s="249">
        <f t="shared" si="21"/>
        <v>0</v>
      </c>
    </row>
    <row r="64" spans="1:12" x14ac:dyDescent="0.35">
      <c r="A64" s="122" t="s">
        <v>29</v>
      </c>
      <c r="B64" s="135"/>
      <c r="C64" s="139">
        <v>0.1</v>
      </c>
      <c r="D64" s="253">
        <v>0.1</v>
      </c>
      <c r="E64" s="232"/>
      <c r="F64" s="158"/>
      <c r="G64" s="158"/>
      <c r="H64" s="158"/>
      <c r="I64" s="135">
        <v>0.1</v>
      </c>
      <c r="J64" s="255" t="s">
        <v>41</v>
      </c>
      <c r="K64" s="135">
        <f t="shared" si="20"/>
        <v>0</v>
      </c>
      <c r="L64" s="248">
        <f t="shared" si="21"/>
        <v>0</v>
      </c>
    </row>
    <row r="65" spans="1:12" x14ac:dyDescent="0.35">
      <c r="A65" s="123" t="s">
        <v>35</v>
      </c>
      <c r="B65" s="130">
        <v>20.060000000000002</v>
      </c>
      <c r="C65" s="130">
        <v>20.059999999999999</v>
      </c>
      <c r="D65" s="245">
        <v>42.34</v>
      </c>
      <c r="E65" s="231"/>
      <c r="F65" s="162"/>
      <c r="G65" s="162"/>
      <c r="H65" s="162"/>
      <c r="I65" s="136">
        <v>-3.5527136788005009E-15</v>
      </c>
      <c r="J65" s="249">
        <v>-2.2204460492503131E-16</v>
      </c>
      <c r="K65" s="136">
        <f t="shared" si="20"/>
        <v>22.280000000000005</v>
      </c>
      <c r="L65" s="249">
        <f t="shared" si="21"/>
        <v>1.1106679960119643</v>
      </c>
    </row>
    <row r="66" spans="1:12" x14ac:dyDescent="0.35">
      <c r="A66" s="122" t="s">
        <v>35</v>
      </c>
      <c r="B66" s="135">
        <v>20.060000000000002</v>
      </c>
      <c r="C66" s="139">
        <v>20.059999999999999</v>
      </c>
      <c r="D66" s="253">
        <v>42.34</v>
      </c>
      <c r="E66" s="232"/>
      <c r="F66" s="158"/>
      <c r="G66" s="158"/>
      <c r="H66" s="158"/>
      <c r="I66" s="135">
        <v>-3.5527136788005009E-15</v>
      </c>
      <c r="J66" s="255">
        <v>-2.2204460492503131E-16</v>
      </c>
      <c r="K66" s="135">
        <f t="shared" si="20"/>
        <v>22.280000000000005</v>
      </c>
      <c r="L66" s="248">
        <f t="shared" si="21"/>
        <v>1.1106679960119643</v>
      </c>
    </row>
    <row r="67" spans="1:12" x14ac:dyDescent="0.35">
      <c r="A67" s="123" t="s">
        <v>39</v>
      </c>
      <c r="B67" s="130">
        <v>1709.26</v>
      </c>
      <c r="C67" s="130">
        <v>1572.6799999999998</v>
      </c>
      <c r="D67" s="245">
        <v>1693.98</v>
      </c>
      <c r="E67" s="231"/>
      <c r="F67" s="162"/>
      <c r="G67" s="162"/>
      <c r="H67" s="162"/>
      <c r="I67" s="136">
        <v>-136.58000000000015</v>
      </c>
      <c r="J67" s="249">
        <v>-7.9905924201116418E-2</v>
      </c>
      <c r="K67" s="136">
        <f t="shared" si="20"/>
        <v>121.30000000000018</v>
      </c>
      <c r="L67" s="249">
        <f t="shared" si="21"/>
        <v>7.7129485972988965E-2</v>
      </c>
    </row>
    <row r="68" spans="1:12" x14ac:dyDescent="0.35">
      <c r="A68" s="122" t="s">
        <v>39</v>
      </c>
      <c r="B68" s="137">
        <v>1709.26</v>
      </c>
      <c r="C68" s="124">
        <v>1572.6799999999998</v>
      </c>
      <c r="D68" s="254">
        <v>1693.98</v>
      </c>
      <c r="E68" s="232"/>
      <c r="F68" s="158"/>
      <c r="G68" s="158"/>
      <c r="H68" s="158"/>
      <c r="I68" s="137">
        <v>-136.58000000000015</v>
      </c>
      <c r="J68" s="256">
        <v>-7.9905924201116418E-2</v>
      </c>
      <c r="K68" s="137">
        <f t="shared" si="20"/>
        <v>121.30000000000018</v>
      </c>
      <c r="L68" s="256">
        <f t="shared" si="21"/>
        <v>7.7129485972988965E-2</v>
      </c>
    </row>
    <row r="69" spans="1:12" x14ac:dyDescent="0.35">
      <c r="A69" s="95" t="s">
        <v>40</v>
      </c>
      <c r="B69" s="131">
        <v>44284.820000000022</v>
      </c>
      <c r="C69" s="132">
        <v>43193.15</v>
      </c>
      <c r="D69" s="97">
        <f>SUM(D48,D56,D60,D63,D65,D67)</f>
        <v>42219.58</v>
      </c>
      <c r="E69" s="132"/>
      <c r="F69" s="132"/>
      <c r="G69" s="132"/>
      <c r="H69" s="132"/>
      <c r="I69" s="98">
        <v>-1091.6700000000201</v>
      </c>
      <c r="J69" s="101">
        <v>-2.4651110696622847E-2</v>
      </c>
      <c r="K69" s="131">
        <f t="shared" si="20"/>
        <v>-973.56999999999971</v>
      </c>
      <c r="L69" s="101">
        <f t="shared" si="21"/>
        <v>-2.2539916630298973E-2</v>
      </c>
    </row>
    <row r="74" spans="1:12" ht="17.5" x14ac:dyDescent="0.35">
      <c r="A74" s="152" t="s">
        <v>66</v>
      </c>
    </row>
    <row r="77" spans="1:12" ht="43" customHeight="1" x14ac:dyDescent="0.35">
      <c r="B77" s="323" t="s">
        <v>1</v>
      </c>
      <c r="C77" s="323"/>
      <c r="D77" s="323"/>
      <c r="E77" s="323" t="s">
        <v>121</v>
      </c>
      <c r="F77" s="323"/>
      <c r="G77" s="323" t="s">
        <v>122</v>
      </c>
      <c r="H77" s="323"/>
      <c r="I77" s="323" t="s">
        <v>2</v>
      </c>
      <c r="J77" s="323"/>
      <c r="K77" s="323" t="s">
        <v>5</v>
      </c>
      <c r="L77" s="323"/>
    </row>
    <row r="78" spans="1:12" x14ac:dyDescent="0.35">
      <c r="A78" s="121" t="s">
        <v>0</v>
      </c>
      <c r="B78" s="133" t="s">
        <v>63</v>
      </c>
      <c r="C78" s="105" t="s">
        <v>61</v>
      </c>
      <c r="D78" s="126" t="s">
        <v>62</v>
      </c>
      <c r="E78" s="90">
        <v>2020</v>
      </c>
      <c r="F78" s="90">
        <v>2021</v>
      </c>
      <c r="G78" s="201">
        <v>2020</v>
      </c>
      <c r="H78" s="201">
        <v>2021</v>
      </c>
      <c r="I78" s="105" t="s">
        <v>3</v>
      </c>
      <c r="J78" s="134" t="s">
        <v>4</v>
      </c>
      <c r="K78" s="133" t="s">
        <v>3</v>
      </c>
      <c r="L78" s="134" t="s">
        <v>4</v>
      </c>
    </row>
    <row r="79" spans="1:12" x14ac:dyDescent="0.35">
      <c r="A79" s="94" t="s">
        <v>6</v>
      </c>
      <c r="B79" s="127">
        <v>6406.7499999999991</v>
      </c>
      <c r="C79" s="128">
        <v>6525.61</v>
      </c>
      <c r="D79" s="233">
        <f>SUM(D80:D86)</f>
        <v>6368.89</v>
      </c>
      <c r="E79" s="231"/>
      <c r="F79" s="162"/>
      <c r="G79" s="162"/>
      <c r="H79" s="162"/>
      <c r="I79" s="127">
        <v>118.86000000000058</v>
      </c>
      <c r="J79" s="237">
        <v>1.8552308112537608E-2</v>
      </c>
      <c r="K79" s="127">
        <f>D79-C79</f>
        <v>-156.71999999999935</v>
      </c>
      <c r="L79" s="241">
        <f>(D79/C79)-1</f>
        <v>-2.4016145617038021E-2</v>
      </c>
    </row>
    <row r="80" spans="1:12" x14ac:dyDescent="0.35">
      <c r="A80" s="122" t="s">
        <v>7</v>
      </c>
      <c r="B80" s="129">
        <v>1232.9799999999998</v>
      </c>
      <c r="C80" s="70">
        <v>1335.0099999999998</v>
      </c>
      <c r="D80" s="244">
        <v>1379.68</v>
      </c>
      <c r="E80" s="232"/>
      <c r="F80" s="158"/>
      <c r="G80" s="158"/>
      <c r="H80" s="158"/>
      <c r="I80" s="135">
        <v>102.02999999999997</v>
      </c>
      <c r="J80" s="248">
        <v>8.2750733994063186E-2</v>
      </c>
      <c r="K80" s="129">
        <f t="shared" ref="K80:K90" si="22">D80-C80</f>
        <v>44.6700000000003</v>
      </c>
      <c r="L80" s="248">
        <f t="shared" ref="L80:L90" si="23">(D80/C80)-1</f>
        <v>3.3460423517427174E-2</v>
      </c>
    </row>
    <row r="81" spans="1:12" x14ac:dyDescent="0.35">
      <c r="A81" s="122" t="s">
        <v>8</v>
      </c>
      <c r="B81" s="129">
        <v>149.19000000000003</v>
      </c>
      <c r="C81" s="70">
        <v>134.97999999999999</v>
      </c>
      <c r="D81" s="244">
        <v>155.84000000000003</v>
      </c>
      <c r="E81" s="232"/>
      <c r="F81" s="158"/>
      <c r="G81" s="158"/>
      <c r="H81" s="158"/>
      <c r="I81" s="135">
        <v>-14.210000000000036</v>
      </c>
      <c r="J81" s="248">
        <v>-9.5247670755412739E-2</v>
      </c>
      <c r="K81" s="129">
        <f t="shared" si="22"/>
        <v>20.860000000000042</v>
      </c>
      <c r="L81" s="248">
        <f t="shared" si="23"/>
        <v>0.15454141354274742</v>
      </c>
    </row>
    <row r="82" spans="1:12" x14ac:dyDescent="0.35">
      <c r="A82" s="122" t="s">
        <v>9</v>
      </c>
      <c r="B82" s="129">
        <v>77.08</v>
      </c>
      <c r="C82" s="70">
        <v>62.15</v>
      </c>
      <c r="D82" s="244">
        <v>66.339999999999989</v>
      </c>
      <c r="E82" s="232"/>
      <c r="F82" s="158"/>
      <c r="G82" s="158"/>
      <c r="H82" s="158"/>
      <c r="I82" s="135">
        <v>-14.93</v>
      </c>
      <c r="J82" s="248">
        <v>-0.19369486248053969</v>
      </c>
      <c r="K82" s="129">
        <f t="shared" si="22"/>
        <v>4.1899999999999906</v>
      </c>
      <c r="L82" s="248">
        <f t="shared" si="23"/>
        <v>6.7417538213998318E-2</v>
      </c>
    </row>
    <row r="83" spans="1:12" x14ac:dyDescent="0.35">
      <c r="A83" s="122" t="s">
        <v>10</v>
      </c>
      <c r="B83" s="129">
        <v>1.35</v>
      </c>
      <c r="C83" s="70">
        <v>1.48</v>
      </c>
      <c r="D83" s="244">
        <v>1.5100000000000002</v>
      </c>
      <c r="E83" s="232"/>
      <c r="F83" s="158"/>
      <c r="G83" s="158"/>
      <c r="H83" s="158"/>
      <c r="I83" s="135">
        <v>0.12999999999999989</v>
      </c>
      <c r="J83" s="248">
        <v>9.6296296296296102E-2</v>
      </c>
      <c r="K83" s="129">
        <f t="shared" si="22"/>
        <v>3.0000000000000249E-2</v>
      </c>
      <c r="L83" s="248">
        <f t="shared" si="23"/>
        <v>2.0270270270270396E-2</v>
      </c>
    </row>
    <row r="84" spans="1:12" x14ac:dyDescent="0.35">
      <c r="A84" s="122" t="s">
        <v>11</v>
      </c>
      <c r="B84" s="129">
        <v>3465.8199999999993</v>
      </c>
      <c r="C84" s="70">
        <v>3552.96</v>
      </c>
      <c r="D84" s="244">
        <v>3269.7400000000011</v>
      </c>
      <c r="E84" s="232"/>
      <c r="F84" s="158"/>
      <c r="G84" s="158"/>
      <c r="H84" s="158"/>
      <c r="I84" s="135">
        <v>87.140000000000782</v>
      </c>
      <c r="J84" s="248">
        <v>2.5142679077390317E-2</v>
      </c>
      <c r="K84" s="129">
        <f t="shared" si="22"/>
        <v>-283.21999999999889</v>
      </c>
      <c r="L84" s="248">
        <f t="shared" si="23"/>
        <v>-7.971381608574224E-2</v>
      </c>
    </row>
    <row r="85" spans="1:12" x14ac:dyDescent="0.35">
      <c r="A85" s="122" t="s">
        <v>13</v>
      </c>
      <c r="B85" s="129">
        <v>197.38999999999996</v>
      </c>
      <c r="C85" s="70">
        <v>189.95000000000002</v>
      </c>
      <c r="D85" s="244">
        <v>186.44000000000003</v>
      </c>
      <c r="E85" s="232"/>
      <c r="F85" s="158"/>
      <c r="G85" s="158"/>
      <c r="H85" s="158"/>
      <c r="I85" s="135">
        <v>-7.4399999999999409</v>
      </c>
      <c r="J85" s="248">
        <v>-3.7691879021226726E-2</v>
      </c>
      <c r="K85" s="129">
        <f t="shared" si="22"/>
        <v>-3.5099999999999909</v>
      </c>
      <c r="L85" s="248">
        <f t="shared" si="23"/>
        <v>-1.8478546986048894E-2</v>
      </c>
    </row>
    <row r="86" spans="1:12" x14ac:dyDescent="0.35">
      <c r="A86" s="122" t="s">
        <v>14</v>
      </c>
      <c r="B86" s="129">
        <v>1282.9399999999994</v>
      </c>
      <c r="C86" s="70">
        <v>1249.0800000000002</v>
      </c>
      <c r="D86" s="244">
        <v>1309.3399999999999</v>
      </c>
      <c r="E86" s="232"/>
      <c r="F86" s="158"/>
      <c r="G86" s="158"/>
      <c r="H86" s="158"/>
      <c r="I86" s="135">
        <v>-33.859999999999218</v>
      </c>
      <c r="J86" s="248">
        <v>-2.6392504715730514E-2</v>
      </c>
      <c r="K86" s="129">
        <f t="shared" si="22"/>
        <v>60.259999999999764</v>
      </c>
      <c r="L86" s="248">
        <f t="shared" si="23"/>
        <v>4.8243507221314763E-2</v>
      </c>
    </row>
    <row r="87" spans="1:12" x14ac:dyDescent="0.35">
      <c r="A87" s="123" t="s">
        <v>16</v>
      </c>
      <c r="B87" s="130">
        <v>721.7299999999999</v>
      </c>
      <c r="C87" s="130">
        <v>660.13</v>
      </c>
      <c r="D87" s="245">
        <f>SUM(D88:D90)</f>
        <v>666.05</v>
      </c>
      <c r="E87" s="231"/>
      <c r="F87" s="162"/>
      <c r="G87" s="162"/>
      <c r="H87" s="162"/>
      <c r="I87" s="136">
        <v>-61.599999999999909</v>
      </c>
      <c r="J87" s="249">
        <v>-8.5350477325315421E-2</v>
      </c>
      <c r="K87" s="136">
        <f t="shared" si="22"/>
        <v>5.9199999999999591</v>
      </c>
      <c r="L87" s="249">
        <f t="shared" si="23"/>
        <v>8.9679305591321423E-3</v>
      </c>
    </row>
    <row r="88" spans="1:12" x14ac:dyDescent="0.35">
      <c r="A88" s="122" t="s">
        <v>17</v>
      </c>
      <c r="B88" s="129">
        <v>206.27999999999997</v>
      </c>
      <c r="C88" s="70">
        <v>240.23000000000002</v>
      </c>
      <c r="D88" s="244">
        <v>253.54999999999995</v>
      </c>
      <c r="E88" s="232"/>
      <c r="F88" s="158"/>
      <c r="G88" s="158"/>
      <c r="H88" s="158"/>
      <c r="I88" s="135">
        <v>33.950000000000045</v>
      </c>
      <c r="J88" s="248">
        <v>0.16458212138840445</v>
      </c>
      <c r="K88" s="129">
        <f t="shared" si="22"/>
        <v>13.319999999999936</v>
      </c>
      <c r="L88" s="248">
        <f t="shared" si="23"/>
        <v>5.5446863422553117E-2</v>
      </c>
    </row>
    <row r="89" spans="1:12" x14ac:dyDescent="0.35">
      <c r="A89" s="122" t="s">
        <v>18</v>
      </c>
      <c r="B89" s="129">
        <v>272.33999999999997</v>
      </c>
      <c r="C89" s="70">
        <v>228.31</v>
      </c>
      <c r="D89" s="244">
        <v>216.87999999999997</v>
      </c>
      <c r="E89" s="232"/>
      <c r="F89" s="158"/>
      <c r="G89" s="158"/>
      <c r="H89" s="158"/>
      <c r="I89" s="135">
        <v>-44.029999999999973</v>
      </c>
      <c r="J89" s="248">
        <v>-0.16167290886392005</v>
      </c>
      <c r="K89" s="129">
        <f t="shared" si="22"/>
        <v>-11.430000000000035</v>
      </c>
      <c r="L89" s="248">
        <f t="shared" si="23"/>
        <v>-5.0063510139722434E-2</v>
      </c>
    </row>
    <row r="90" spans="1:12" x14ac:dyDescent="0.35">
      <c r="A90" s="122" t="s">
        <v>19</v>
      </c>
      <c r="B90" s="129">
        <v>243.10999999999996</v>
      </c>
      <c r="C90" s="70">
        <v>191.58999999999997</v>
      </c>
      <c r="D90" s="244">
        <v>195.61999999999995</v>
      </c>
      <c r="E90" s="232"/>
      <c r="F90" s="158"/>
      <c r="G90" s="158"/>
      <c r="H90" s="158"/>
      <c r="I90" s="135">
        <v>-51.519999999999982</v>
      </c>
      <c r="J90" s="248">
        <v>-0.21192052980132448</v>
      </c>
      <c r="K90" s="129">
        <f t="shared" si="22"/>
        <v>4.0299999999999727</v>
      </c>
      <c r="L90" s="248">
        <f t="shared" si="23"/>
        <v>2.1034500756824226E-2</v>
      </c>
    </row>
    <row r="91" spans="1:12" x14ac:dyDescent="0.35">
      <c r="A91" s="123" t="s">
        <v>43</v>
      </c>
      <c r="B91" s="130"/>
      <c r="C91" s="130">
        <v>0.16</v>
      </c>
      <c r="D91" s="245"/>
      <c r="E91" s="231"/>
      <c r="F91" s="162"/>
      <c r="G91" s="162"/>
      <c r="H91" s="162"/>
      <c r="I91" s="136">
        <v>0.16</v>
      </c>
      <c r="J91" s="249" t="s">
        <v>41</v>
      </c>
      <c r="K91" s="136"/>
      <c r="L91" s="249"/>
    </row>
    <row r="92" spans="1:12" x14ac:dyDescent="0.35">
      <c r="A92" s="122" t="s">
        <v>44</v>
      </c>
      <c r="B92" s="129"/>
      <c r="C92" s="70">
        <v>0.16</v>
      </c>
      <c r="D92" s="246"/>
      <c r="E92" s="232"/>
      <c r="F92" s="158"/>
      <c r="G92" s="158"/>
      <c r="H92" s="158"/>
      <c r="I92" s="135">
        <v>0.16</v>
      </c>
      <c r="J92" s="250" t="s">
        <v>41</v>
      </c>
      <c r="K92" s="138"/>
      <c r="L92" s="252"/>
    </row>
    <row r="93" spans="1:12" x14ac:dyDescent="0.35">
      <c r="A93" s="123" t="s">
        <v>20</v>
      </c>
      <c r="B93" s="130"/>
      <c r="C93" s="130">
        <v>0.08</v>
      </c>
      <c r="D93" s="245"/>
      <c r="E93" s="231"/>
      <c r="F93" s="162"/>
      <c r="G93" s="162"/>
      <c r="H93" s="162"/>
      <c r="I93" s="136">
        <v>0.08</v>
      </c>
      <c r="J93" s="249" t="s">
        <v>41</v>
      </c>
      <c r="K93" s="136"/>
      <c r="L93" s="249"/>
    </row>
    <row r="94" spans="1:12" x14ac:dyDescent="0.35">
      <c r="A94" s="122" t="s">
        <v>20</v>
      </c>
      <c r="B94" s="129"/>
      <c r="C94" s="70">
        <v>0.08</v>
      </c>
      <c r="D94" s="246"/>
      <c r="E94" s="232"/>
      <c r="F94" s="158"/>
      <c r="G94" s="158"/>
      <c r="H94" s="158"/>
      <c r="I94" s="135">
        <v>0.08</v>
      </c>
      <c r="J94" s="250" t="s">
        <v>41</v>
      </c>
      <c r="K94" s="138"/>
      <c r="L94" s="252"/>
    </row>
    <row r="95" spans="1:12" x14ac:dyDescent="0.35">
      <c r="A95" s="123" t="s">
        <v>23</v>
      </c>
      <c r="B95" s="130">
        <v>500.46000000000004</v>
      </c>
      <c r="C95" s="130">
        <v>2.86</v>
      </c>
      <c r="D95" s="245">
        <v>1.8</v>
      </c>
      <c r="E95" s="231"/>
      <c r="F95" s="162"/>
      <c r="G95" s="162"/>
      <c r="H95" s="162"/>
      <c r="I95" s="136">
        <v>-497.6</v>
      </c>
      <c r="J95" s="249">
        <v>-0.99428525756304198</v>
      </c>
      <c r="K95" s="136">
        <f>D95-C95</f>
        <v>-1.0599999999999998</v>
      </c>
      <c r="L95" s="249">
        <f>(D95/C95)-1</f>
        <v>-0.37062937062937062</v>
      </c>
    </row>
    <row r="96" spans="1:12" x14ac:dyDescent="0.35">
      <c r="A96" s="122" t="s">
        <v>24</v>
      </c>
      <c r="B96" s="129">
        <v>0.05</v>
      </c>
      <c r="C96" s="70"/>
      <c r="D96" s="246"/>
      <c r="E96" s="232"/>
      <c r="F96" s="158"/>
      <c r="G96" s="158"/>
      <c r="H96" s="158"/>
      <c r="I96" s="135">
        <v>-0.05</v>
      </c>
      <c r="J96" s="248">
        <v>-1</v>
      </c>
      <c r="K96" s="129"/>
      <c r="L96" s="248"/>
    </row>
    <row r="97" spans="1:12" x14ac:dyDescent="0.35">
      <c r="A97" s="122" t="s">
        <v>26</v>
      </c>
      <c r="B97" s="129">
        <v>500.41</v>
      </c>
      <c r="C97" s="70">
        <v>2.86</v>
      </c>
      <c r="D97" s="244">
        <v>1.8</v>
      </c>
      <c r="E97" s="232"/>
      <c r="F97" s="158"/>
      <c r="G97" s="158"/>
      <c r="H97" s="158"/>
      <c r="I97" s="135">
        <v>-497.55</v>
      </c>
      <c r="J97" s="248">
        <v>-0.99428468655702329</v>
      </c>
      <c r="K97" s="129">
        <f t="shared" ref="K97:K102" si="24">D97-C97</f>
        <v>-1.0599999999999998</v>
      </c>
      <c r="L97" s="248">
        <f t="shared" ref="L97:L104" si="25">(D97/C97)-1</f>
        <v>-0.37062937062937062</v>
      </c>
    </row>
    <row r="98" spans="1:12" x14ac:dyDescent="0.35">
      <c r="A98" s="123" t="s">
        <v>27</v>
      </c>
      <c r="B98" s="130">
        <v>6.46</v>
      </c>
      <c r="C98" s="130">
        <v>6.51</v>
      </c>
      <c r="D98" s="245">
        <f>SUM(D99:D100)</f>
        <v>6.55</v>
      </c>
      <c r="E98" s="231"/>
      <c r="F98" s="162"/>
      <c r="G98" s="162"/>
      <c r="H98" s="162"/>
      <c r="I98" s="136">
        <v>4.9999999999999822E-2</v>
      </c>
      <c r="J98" s="249">
        <v>7.7399380804952234E-3</v>
      </c>
      <c r="K98" s="136">
        <f t="shared" si="24"/>
        <v>4.0000000000000036E-2</v>
      </c>
      <c r="L98" s="249">
        <f t="shared" si="25"/>
        <v>6.1443932411673341E-3</v>
      </c>
    </row>
    <row r="99" spans="1:12" x14ac:dyDescent="0.35">
      <c r="A99" s="122" t="s">
        <v>28</v>
      </c>
      <c r="B99" s="129">
        <v>6.17</v>
      </c>
      <c r="C99" s="70">
        <v>6.17</v>
      </c>
      <c r="D99" s="244">
        <v>6.17</v>
      </c>
      <c r="E99" s="232"/>
      <c r="F99" s="158"/>
      <c r="G99" s="158"/>
      <c r="H99" s="158"/>
      <c r="I99" s="135">
        <v>0</v>
      </c>
      <c r="J99" s="250">
        <v>0</v>
      </c>
      <c r="K99" s="129">
        <f t="shared" si="24"/>
        <v>0</v>
      </c>
      <c r="L99" s="248">
        <f t="shared" si="25"/>
        <v>0</v>
      </c>
    </row>
    <row r="100" spans="1:12" x14ac:dyDescent="0.35">
      <c r="A100" s="122" t="s">
        <v>29</v>
      </c>
      <c r="B100" s="129">
        <v>0.29000000000000004</v>
      </c>
      <c r="C100" s="70">
        <v>0.34</v>
      </c>
      <c r="D100" s="244">
        <v>0.38000000000000006</v>
      </c>
      <c r="E100" s="232"/>
      <c r="F100" s="158"/>
      <c r="G100" s="158"/>
      <c r="H100" s="158"/>
      <c r="I100" s="135">
        <v>4.9999999999999989E-2</v>
      </c>
      <c r="J100" s="250">
        <v>0.17241379310344818</v>
      </c>
      <c r="K100" s="129">
        <f t="shared" si="24"/>
        <v>4.0000000000000036E-2</v>
      </c>
      <c r="L100" s="248">
        <f t="shared" si="25"/>
        <v>0.11764705882352944</v>
      </c>
    </row>
    <row r="101" spans="1:12" x14ac:dyDescent="0.35">
      <c r="A101" s="123" t="s">
        <v>35</v>
      </c>
      <c r="B101" s="130">
        <v>4.9799999999999995</v>
      </c>
      <c r="C101" s="130">
        <v>4.88</v>
      </c>
      <c r="D101" s="245">
        <v>9.65</v>
      </c>
      <c r="E101" s="231"/>
      <c r="F101" s="162"/>
      <c r="G101" s="162"/>
      <c r="H101" s="162"/>
      <c r="I101" s="136">
        <v>-9.9999999999999645E-2</v>
      </c>
      <c r="J101" s="249">
        <v>-2.0080321285140479E-2</v>
      </c>
      <c r="K101" s="136">
        <f t="shared" si="24"/>
        <v>4.7700000000000005</v>
      </c>
      <c r="L101" s="249">
        <f t="shared" si="25"/>
        <v>0.97745901639344268</v>
      </c>
    </row>
    <row r="102" spans="1:12" x14ac:dyDescent="0.35">
      <c r="A102" s="122" t="s">
        <v>35</v>
      </c>
      <c r="B102" s="129">
        <v>4.9799999999999995</v>
      </c>
      <c r="C102" s="70">
        <v>4.88</v>
      </c>
      <c r="D102" s="244">
        <v>9.65</v>
      </c>
      <c r="E102" s="232"/>
      <c r="F102" s="158"/>
      <c r="G102" s="158"/>
      <c r="H102" s="158"/>
      <c r="I102" s="135">
        <v>-9.9999999999999645E-2</v>
      </c>
      <c r="J102" s="248">
        <v>-2.0080321285140479E-2</v>
      </c>
      <c r="K102" s="129">
        <f t="shared" si="24"/>
        <v>4.7700000000000005</v>
      </c>
      <c r="L102" s="248">
        <f t="shared" si="25"/>
        <v>0.97745901639344268</v>
      </c>
    </row>
    <row r="103" spans="1:12" x14ac:dyDescent="0.35">
      <c r="A103" s="123" t="s">
        <v>39</v>
      </c>
      <c r="B103" s="130">
        <v>3134.72</v>
      </c>
      <c r="C103" s="130">
        <v>3150.3200000000006</v>
      </c>
      <c r="D103" s="245">
        <v>2805.65</v>
      </c>
      <c r="E103" s="231"/>
      <c r="F103" s="162"/>
      <c r="G103" s="162"/>
      <c r="H103" s="162"/>
      <c r="I103" s="136">
        <v>15.600000000000819</v>
      </c>
      <c r="J103" s="249">
        <v>4.9765210289915984E-3</v>
      </c>
      <c r="K103" s="136">
        <f>D103-C103</f>
        <v>-344.67000000000053</v>
      </c>
      <c r="L103" s="249">
        <f t="shared" si="25"/>
        <v>-0.10940793316234554</v>
      </c>
    </row>
    <row r="104" spans="1:12" x14ac:dyDescent="0.35">
      <c r="A104" s="122" t="s">
        <v>39</v>
      </c>
      <c r="B104" s="129">
        <v>3134.72</v>
      </c>
      <c r="C104" s="70">
        <v>3150.3200000000006</v>
      </c>
      <c r="D104" s="247">
        <v>2805.65</v>
      </c>
      <c r="E104" s="232"/>
      <c r="F104" s="158"/>
      <c r="G104" s="158"/>
      <c r="H104" s="158"/>
      <c r="I104" s="129">
        <v>15.600000000000819</v>
      </c>
      <c r="J104" s="251">
        <v>4.9765210289915984E-3</v>
      </c>
      <c r="K104" s="129">
        <f>D104-C104</f>
        <v>-344.67000000000053</v>
      </c>
      <c r="L104" s="251">
        <f t="shared" si="25"/>
        <v>-0.10940793316234554</v>
      </c>
    </row>
    <row r="105" spans="1:12" x14ac:dyDescent="0.35">
      <c r="A105" s="95" t="s">
        <v>40</v>
      </c>
      <c r="B105" s="131">
        <v>10775.099999999999</v>
      </c>
      <c r="C105" s="132">
        <v>10367.310000000001</v>
      </c>
      <c r="D105" s="99">
        <f>SUM(D79,D87,D95,D98,D101,D103)</f>
        <v>9858.59</v>
      </c>
      <c r="E105" s="98"/>
      <c r="F105" s="98"/>
      <c r="G105" s="98"/>
      <c r="H105" s="98"/>
      <c r="I105" s="98">
        <v>-407.78999999999724</v>
      </c>
      <c r="J105" s="101">
        <v>-3.7845588440014177E-2</v>
      </c>
      <c r="K105" s="132">
        <f>D105-C105</f>
        <v>-508.72000000000116</v>
      </c>
      <c r="L105" s="101">
        <f>(D105/C105)-1</f>
        <v>-4.9069623653580474E-2</v>
      </c>
    </row>
    <row r="110" spans="1:12" ht="17.5" x14ac:dyDescent="0.35">
      <c r="A110" s="152" t="s">
        <v>67</v>
      </c>
    </row>
    <row r="111" spans="1:12" x14ac:dyDescent="0.35">
      <c r="D111" s="6"/>
      <c r="E111" s="6"/>
      <c r="F111" s="6"/>
      <c r="G111" s="6"/>
      <c r="H111" s="6"/>
    </row>
    <row r="113" spans="1:12" ht="43" customHeight="1" x14ac:dyDescent="0.35">
      <c r="B113" s="323" t="s">
        <v>1</v>
      </c>
      <c r="C113" s="323"/>
      <c r="D113" s="323"/>
      <c r="E113" s="323" t="s">
        <v>121</v>
      </c>
      <c r="F113" s="323"/>
      <c r="G113" s="323" t="s">
        <v>122</v>
      </c>
      <c r="H113" s="323"/>
      <c r="I113" s="323" t="s">
        <v>2</v>
      </c>
      <c r="J113" s="323"/>
      <c r="K113" s="323" t="s">
        <v>5</v>
      </c>
      <c r="L113" s="323"/>
    </row>
    <row r="114" spans="1:12" x14ac:dyDescent="0.35">
      <c r="A114" s="125" t="s">
        <v>0</v>
      </c>
      <c r="B114" s="90">
        <v>2019</v>
      </c>
      <c r="C114" s="90">
        <v>2020</v>
      </c>
      <c r="D114" s="90">
        <v>2021</v>
      </c>
      <c r="E114" s="90">
        <v>2020</v>
      </c>
      <c r="F114" s="90">
        <v>2021</v>
      </c>
      <c r="G114" s="201">
        <v>2020</v>
      </c>
      <c r="H114" s="201">
        <v>2021</v>
      </c>
      <c r="I114" s="90" t="s">
        <v>3</v>
      </c>
      <c r="J114" s="91" t="s">
        <v>4</v>
      </c>
      <c r="K114" s="89" t="s">
        <v>3</v>
      </c>
      <c r="L114" s="91" t="s">
        <v>4</v>
      </c>
    </row>
    <row r="115" spans="1:12" x14ac:dyDescent="0.35">
      <c r="A115" s="94" t="s">
        <v>6</v>
      </c>
      <c r="B115" s="85">
        <v>4450.3</v>
      </c>
      <c r="C115" s="86">
        <v>4923.4400000000005</v>
      </c>
      <c r="D115" s="233">
        <f>SUM(D116:D122)</f>
        <v>5484.36</v>
      </c>
      <c r="E115" s="231"/>
      <c r="F115" s="162"/>
      <c r="G115" s="162"/>
      <c r="H115" s="162"/>
      <c r="I115" s="87">
        <v>473.14000000000033</v>
      </c>
      <c r="J115" s="237">
        <v>0.10631642810597053</v>
      </c>
      <c r="K115" s="87">
        <f>D115-C115</f>
        <v>560.91999999999916</v>
      </c>
      <c r="L115" s="241">
        <f>(D115/C115)-1</f>
        <v>0.11392847277513263</v>
      </c>
    </row>
    <row r="116" spans="1:12" x14ac:dyDescent="0.35">
      <c r="A116" s="122" t="s">
        <v>7</v>
      </c>
      <c r="B116" s="9">
        <v>351.40000000000009</v>
      </c>
      <c r="C116" s="2">
        <v>303.8</v>
      </c>
      <c r="D116" s="234">
        <v>501.88</v>
      </c>
      <c r="E116" s="232"/>
      <c r="F116" s="158"/>
      <c r="G116" s="158"/>
      <c r="H116" s="158"/>
      <c r="I116" s="11">
        <v>-47.60000000000008</v>
      </c>
      <c r="J116" s="238">
        <v>-0.1354581673306775</v>
      </c>
      <c r="K116" s="11">
        <f>D116-C116</f>
        <v>198.07999999999998</v>
      </c>
      <c r="L116" s="242">
        <f t="shared" ref="L116:L136" si="26">(D116/C116)-1</f>
        <v>0.65200789993416719</v>
      </c>
    </row>
    <row r="117" spans="1:12" x14ac:dyDescent="0.35">
      <c r="A117" s="122" t="s">
        <v>8</v>
      </c>
      <c r="B117" s="9">
        <v>38.99</v>
      </c>
      <c r="C117" s="2">
        <v>28.509999999999998</v>
      </c>
      <c r="D117" s="234">
        <v>27.33</v>
      </c>
      <c r="E117" s="232"/>
      <c r="F117" s="158"/>
      <c r="G117" s="158"/>
      <c r="H117" s="158"/>
      <c r="I117" s="11">
        <v>-10.480000000000004</v>
      </c>
      <c r="J117" s="238">
        <v>-0.26878686842780208</v>
      </c>
      <c r="K117" s="11">
        <f t="shared" ref="K117:K136" si="27">D117-C117</f>
        <v>-1.1799999999999997</v>
      </c>
      <c r="L117" s="242">
        <f t="shared" si="26"/>
        <v>-4.1388986320589294E-2</v>
      </c>
    </row>
    <row r="118" spans="1:12" x14ac:dyDescent="0.35">
      <c r="A118" s="122" t="s">
        <v>9</v>
      </c>
      <c r="B118" s="9">
        <v>107.39999999999999</v>
      </c>
      <c r="C118" s="2">
        <v>109.99000000000001</v>
      </c>
      <c r="D118" s="234">
        <v>125.69999999999999</v>
      </c>
      <c r="E118" s="232"/>
      <c r="F118" s="158"/>
      <c r="G118" s="158"/>
      <c r="H118" s="158"/>
      <c r="I118" s="11">
        <v>2.5900000000000176</v>
      </c>
      <c r="J118" s="238">
        <v>2.4115456238361421E-2</v>
      </c>
      <c r="K118" s="11">
        <f t="shared" si="27"/>
        <v>15.70999999999998</v>
      </c>
      <c r="L118" s="242">
        <f t="shared" si="26"/>
        <v>0.14283116646967886</v>
      </c>
    </row>
    <row r="119" spans="1:12" x14ac:dyDescent="0.35">
      <c r="A119" s="122" t="s">
        <v>10</v>
      </c>
      <c r="B119" s="9">
        <v>6.08</v>
      </c>
      <c r="C119" s="2">
        <v>4.1000000000000005</v>
      </c>
      <c r="D119" s="234">
        <v>3.8000000000000003</v>
      </c>
      <c r="E119" s="232"/>
      <c r="F119" s="158"/>
      <c r="G119" s="158"/>
      <c r="H119" s="158"/>
      <c r="I119" s="11">
        <v>-1.9799999999999995</v>
      </c>
      <c r="J119" s="238">
        <v>-0.32565789473684204</v>
      </c>
      <c r="K119" s="11">
        <f t="shared" si="27"/>
        <v>-0.30000000000000027</v>
      </c>
      <c r="L119" s="242">
        <f t="shared" si="26"/>
        <v>-7.3170731707317138E-2</v>
      </c>
    </row>
    <row r="120" spans="1:12" x14ac:dyDescent="0.35">
      <c r="A120" s="122" t="s">
        <v>11</v>
      </c>
      <c r="B120" s="9">
        <v>2362.3199999999993</v>
      </c>
      <c r="C120" s="2">
        <v>2673.88</v>
      </c>
      <c r="D120" s="234">
        <v>2781.2499999999995</v>
      </c>
      <c r="E120" s="232"/>
      <c r="F120" s="158"/>
      <c r="G120" s="158"/>
      <c r="H120" s="158"/>
      <c r="I120" s="11">
        <v>311.56000000000085</v>
      </c>
      <c r="J120" s="238">
        <v>0.13188729723322878</v>
      </c>
      <c r="K120" s="11">
        <f t="shared" si="27"/>
        <v>107.36999999999944</v>
      </c>
      <c r="L120" s="242">
        <f t="shared" si="26"/>
        <v>4.015513037234264E-2</v>
      </c>
    </row>
    <row r="121" spans="1:12" x14ac:dyDescent="0.35">
      <c r="A121" s="122" t="s">
        <v>13</v>
      </c>
      <c r="B121" s="9">
        <v>133.47</v>
      </c>
      <c r="C121" s="2">
        <v>127.47000000000001</v>
      </c>
      <c r="D121" s="234">
        <v>111.58000000000003</v>
      </c>
      <c r="E121" s="232"/>
      <c r="F121" s="158"/>
      <c r="G121" s="158"/>
      <c r="H121" s="158"/>
      <c r="I121" s="11">
        <v>-5.9999999999999858</v>
      </c>
      <c r="J121" s="238">
        <v>-4.4953922229714394E-2</v>
      </c>
      <c r="K121" s="11">
        <f t="shared" si="27"/>
        <v>-15.889999999999986</v>
      </c>
      <c r="L121" s="242">
        <f t="shared" si="26"/>
        <v>-0.12465678198791863</v>
      </c>
    </row>
    <row r="122" spans="1:12" x14ac:dyDescent="0.35">
      <c r="A122" s="122" t="s">
        <v>14</v>
      </c>
      <c r="B122" s="9">
        <v>1450.640000000001</v>
      </c>
      <c r="C122" s="2">
        <v>1675.69</v>
      </c>
      <c r="D122" s="234">
        <v>1932.8200000000002</v>
      </c>
      <c r="E122" s="232"/>
      <c r="F122" s="158"/>
      <c r="G122" s="158"/>
      <c r="H122" s="158"/>
      <c r="I122" s="11">
        <v>225.04999999999905</v>
      </c>
      <c r="J122" s="238">
        <v>0.15513842166216207</v>
      </c>
      <c r="K122" s="11">
        <f t="shared" si="27"/>
        <v>257.13000000000011</v>
      </c>
      <c r="L122" s="242">
        <f t="shared" si="26"/>
        <v>0.15344723666071891</v>
      </c>
    </row>
    <row r="123" spans="1:12" x14ac:dyDescent="0.35">
      <c r="A123" s="123" t="s">
        <v>16</v>
      </c>
      <c r="B123" s="87">
        <v>13906.469999999996</v>
      </c>
      <c r="C123" s="86">
        <v>14284.490000000002</v>
      </c>
      <c r="D123" s="235">
        <f>SUM(D124:D126)</f>
        <v>14803.680000000004</v>
      </c>
      <c r="E123" s="231"/>
      <c r="F123" s="162"/>
      <c r="G123" s="162"/>
      <c r="H123" s="162"/>
      <c r="I123" s="87">
        <v>378.02000000000589</v>
      </c>
      <c r="J123" s="239">
        <v>2.718303063250449E-2</v>
      </c>
      <c r="K123" s="87">
        <f t="shared" si="27"/>
        <v>519.19000000000233</v>
      </c>
      <c r="L123" s="239">
        <f t="shared" si="26"/>
        <v>3.634641488775614E-2</v>
      </c>
    </row>
    <row r="124" spans="1:12" x14ac:dyDescent="0.35">
      <c r="A124" s="122" t="s">
        <v>17</v>
      </c>
      <c r="B124" s="9">
        <v>2730.6300000000015</v>
      </c>
      <c r="C124" s="2">
        <v>2736.2899999999995</v>
      </c>
      <c r="D124" s="234">
        <v>2803.0100000000011</v>
      </c>
      <c r="E124" s="232"/>
      <c r="F124" s="158"/>
      <c r="G124" s="158"/>
      <c r="H124" s="158"/>
      <c r="I124" s="11">
        <v>5.6599999999980355</v>
      </c>
      <c r="J124" s="238">
        <v>2.0727817390118197E-3</v>
      </c>
      <c r="K124" s="11">
        <f t="shared" si="27"/>
        <v>66.720000000001619</v>
      </c>
      <c r="L124" s="242">
        <f t="shared" si="26"/>
        <v>2.4383380416550082E-2</v>
      </c>
    </row>
    <row r="125" spans="1:12" x14ac:dyDescent="0.35">
      <c r="A125" s="122" t="s">
        <v>18</v>
      </c>
      <c r="B125" s="9">
        <v>2649.9799999999996</v>
      </c>
      <c r="C125" s="2">
        <v>2797.75</v>
      </c>
      <c r="D125" s="234">
        <v>2996.7899999999995</v>
      </c>
      <c r="E125" s="232"/>
      <c r="F125" s="158"/>
      <c r="G125" s="158"/>
      <c r="H125" s="158"/>
      <c r="I125" s="11">
        <v>147.77000000000044</v>
      </c>
      <c r="J125" s="238">
        <v>5.5762685001396362E-2</v>
      </c>
      <c r="K125" s="11">
        <f t="shared" si="27"/>
        <v>199.03999999999951</v>
      </c>
      <c r="L125" s="242">
        <f t="shared" si="26"/>
        <v>7.1142882673576713E-2</v>
      </c>
    </row>
    <row r="126" spans="1:12" x14ac:dyDescent="0.35">
      <c r="A126" s="122" t="s">
        <v>19</v>
      </c>
      <c r="B126" s="9">
        <v>8525.8599999999951</v>
      </c>
      <c r="C126" s="2">
        <v>8750.4500000000025</v>
      </c>
      <c r="D126" s="234">
        <v>9003.8800000000028</v>
      </c>
      <c r="E126" s="232"/>
      <c r="F126" s="158"/>
      <c r="G126" s="158"/>
      <c r="H126" s="158"/>
      <c r="I126" s="11">
        <v>224.59000000000742</v>
      </c>
      <c r="J126" s="238">
        <v>2.63422106391622E-2</v>
      </c>
      <c r="K126" s="11">
        <f t="shared" si="27"/>
        <v>253.43000000000029</v>
      </c>
      <c r="L126" s="242">
        <f t="shared" si="26"/>
        <v>2.8961939100274892E-2</v>
      </c>
    </row>
    <row r="127" spans="1:12" x14ac:dyDescent="0.35">
      <c r="A127" s="123" t="s">
        <v>23</v>
      </c>
      <c r="B127" s="87">
        <v>214.51</v>
      </c>
      <c r="C127" s="86">
        <v>239.4199999999999</v>
      </c>
      <c r="D127" s="235">
        <v>264.36</v>
      </c>
      <c r="E127" s="231"/>
      <c r="F127" s="162"/>
      <c r="G127" s="162"/>
      <c r="H127" s="162"/>
      <c r="I127" s="87">
        <v>24.909999999999911</v>
      </c>
      <c r="J127" s="239">
        <v>0.11612512237191708</v>
      </c>
      <c r="K127" s="87">
        <f t="shared" si="27"/>
        <v>24.940000000000111</v>
      </c>
      <c r="L127" s="239">
        <f t="shared" si="26"/>
        <v>0.10416840698354402</v>
      </c>
    </row>
    <row r="128" spans="1:12" x14ac:dyDescent="0.35">
      <c r="A128" s="122" t="s">
        <v>26</v>
      </c>
      <c r="B128" s="9">
        <v>214.51</v>
      </c>
      <c r="C128" s="2">
        <v>239.4199999999999</v>
      </c>
      <c r="D128" s="234">
        <v>264.51</v>
      </c>
      <c r="E128" s="232"/>
      <c r="F128" s="158"/>
      <c r="G128" s="158"/>
      <c r="H128" s="158"/>
      <c r="I128" s="11">
        <v>24.909999999999911</v>
      </c>
      <c r="J128" s="238">
        <v>0.11612512237191708</v>
      </c>
      <c r="K128" s="11">
        <f t="shared" si="27"/>
        <v>25.090000000000089</v>
      </c>
      <c r="L128" s="242">
        <f t="shared" si="26"/>
        <v>0.10479492105922694</v>
      </c>
    </row>
    <row r="129" spans="1:12" x14ac:dyDescent="0.35">
      <c r="A129" s="123" t="s">
        <v>27</v>
      </c>
      <c r="B129" s="87">
        <v>0.94000000000000006</v>
      </c>
      <c r="C129" s="86">
        <v>1</v>
      </c>
      <c r="D129" s="235">
        <f>SUM(D130:D131)</f>
        <v>0.43</v>
      </c>
      <c r="E129" s="231"/>
      <c r="F129" s="162"/>
      <c r="G129" s="162"/>
      <c r="H129" s="162"/>
      <c r="I129" s="87">
        <v>5.9999999999999942E-2</v>
      </c>
      <c r="J129" s="239">
        <v>6.3829787234042534E-2</v>
      </c>
      <c r="K129" s="87">
        <f t="shared" si="27"/>
        <v>-0.57000000000000006</v>
      </c>
      <c r="L129" s="239">
        <f t="shared" si="26"/>
        <v>-0.57000000000000006</v>
      </c>
    </row>
    <row r="130" spans="1:12" x14ac:dyDescent="0.35">
      <c r="A130" s="122" t="s">
        <v>28</v>
      </c>
      <c r="B130" s="9">
        <v>0.8</v>
      </c>
      <c r="C130" s="2">
        <v>0.8600000000000001</v>
      </c>
      <c r="D130" s="234">
        <v>0.3</v>
      </c>
      <c r="E130" s="204"/>
      <c r="F130" s="204"/>
      <c r="G130" s="204"/>
      <c r="H130" s="204"/>
      <c r="I130" s="11">
        <v>6.0000000000000053E-2</v>
      </c>
      <c r="J130" s="238">
        <v>7.4999999999999956E-2</v>
      </c>
      <c r="K130" s="11">
        <f t="shared" si="27"/>
        <v>-0.56000000000000005</v>
      </c>
      <c r="L130" s="242">
        <f t="shared" si="26"/>
        <v>-0.65116279069767447</v>
      </c>
    </row>
    <row r="131" spans="1:12" x14ac:dyDescent="0.35">
      <c r="A131" s="122" t="s">
        <v>29</v>
      </c>
      <c r="B131" s="9">
        <v>0.14000000000000001</v>
      </c>
      <c r="C131" s="2">
        <v>0.14000000000000001</v>
      </c>
      <c r="D131" s="234">
        <v>0.13</v>
      </c>
      <c r="E131" s="204"/>
      <c r="F131" s="204"/>
      <c r="G131" s="204"/>
      <c r="H131" s="204"/>
      <c r="I131" s="11">
        <v>0</v>
      </c>
      <c r="J131" s="238">
        <v>0</v>
      </c>
      <c r="K131" s="11">
        <f t="shared" si="27"/>
        <v>-1.0000000000000009E-2</v>
      </c>
      <c r="L131" s="242">
        <f t="shared" si="26"/>
        <v>-7.1428571428571508E-2</v>
      </c>
    </row>
    <row r="132" spans="1:12" x14ac:dyDescent="0.35">
      <c r="A132" s="123" t="s">
        <v>35</v>
      </c>
      <c r="B132" s="87">
        <v>3.3</v>
      </c>
      <c r="C132" s="86">
        <v>1.7400000000000002</v>
      </c>
      <c r="D132" s="235">
        <v>0.42</v>
      </c>
      <c r="E132" s="231"/>
      <c r="F132" s="162"/>
      <c r="G132" s="162"/>
      <c r="H132" s="162"/>
      <c r="I132" s="87">
        <v>-1.5599999999999996</v>
      </c>
      <c r="J132" s="239">
        <v>-0.47272727272727266</v>
      </c>
      <c r="K132" s="87">
        <f t="shared" si="27"/>
        <v>-1.3200000000000003</v>
      </c>
      <c r="L132" s="239">
        <f t="shared" si="26"/>
        <v>-0.75862068965517249</v>
      </c>
    </row>
    <row r="133" spans="1:12" x14ac:dyDescent="0.35">
      <c r="A133" s="122" t="s">
        <v>35</v>
      </c>
      <c r="B133" s="9">
        <v>3.3</v>
      </c>
      <c r="C133" s="2">
        <v>1.7400000000000002</v>
      </c>
      <c r="D133" s="234">
        <v>0.42</v>
      </c>
      <c r="E133" s="204"/>
      <c r="F133" s="204"/>
      <c r="G133" s="204"/>
      <c r="H133" s="204"/>
      <c r="I133" s="11">
        <v>-1.5599999999999996</v>
      </c>
      <c r="J133" s="238">
        <v>-0.47272727272727266</v>
      </c>
      <c r="K133" s="11">
        <f t="shared" si="27"/>
        <v>-1.3200000000000003</v>
      </c>
      <c r="L133" s="242">
        <f t="shared" si="26"/>
        <v>-0.75862068965517249</v>
      </c>
    </row>
    <row r="134" spans="1:12" x14ac:dyDescent="0.35">
      <c r="A134" s="123" t="s">
        <v>39</v>
      </c>
      <c r="B134" s="87">
        <v>1177.7200000000003</v>
      </c>
      <c r="C134" s="86">
        <v>1193.08</v>
      </c>
      <c r="D134" s="235">
        <v>1634.57</v>
      </c>
      <c r="E134" s="231"/>
      <c r="F134" s="162"/>
      <c r="G134" s="162"/>
      <c r="H134" s="162"/>
      <c r="I134" s="87">
        <v>15.359999999999673</v>
      </c>
      <c r="J134" s="239">
        <v>1.3042149237509459E-2</v>
      </c>
      <c r="K134" s="87">
        <f t="shared" si="27"/>
        <v>441.49</v>
      </c>
      <c r="L134" s="239">
        <f t="shared" si="26"/>
        <v>0.37004224360478766</v>
      </c>
    </row>
    <row r="135" spans="1:12" x14ac:dyDescent="0.35">
      <c r="A135" s="122" t="s">
        <v>39</v>
      </c>
      <c r="B135" s="10">
        <v>1177.7200000000003</v>
      </c>
      <c r="C135" s="5">
        <v>1193.08</v>
      </c>
      <c r="D135" s="236">
        <v>1634.57</v>
      </c>
      <c r="E135" s="205"/>
      <c r="F135" s="205"/>
      <c r="G135" s="205"/>
      <c r="H135" s="205"/>
      <c r="I135" s="12">
        <v>15.359999999999673</v>
      </c>
      <c r="J135" s="240">
        <v>1.3042149237509459E-2</v>
      </c>
      <c r="K135" s="12">
        <f t="shared" si="27"/>
        <v>441.49</v>
      </c>
      <c r="L135" s="243">
        <f t="shared" si="26"/>
        <v>0.37004224360478766</v>
      </c>
    </row>
    <row r="136" spans="1:12" x14ac:dyDescent="0.35">
      <c r="A136" s="95" t="s">
        <v>40</v>
      </c>
      <c r="B136" s="96">
        <v>19753.239999999991</v>
      </c>
      <c r="C136" s="97">
        <v>20643.169999999991</v>
      </c>
      <c r="D136" s="98">
        <f>SUM(D115,D123,D127,D129,D132,D134)</f>
        <v>22187.820000000003</v>
      </c>
      <c r="E136" s="98"/>
      <c r="F136" s="98"/>
      <c r="G136" s="98"/>
      <c r="H136" s="98"/>
      <c r="I136" s="99">
        <v>889.93000000000029</v>
      </c>
      <c r="J136" s="100">
        <v>4.5052355967932334E-2</v>
      </c>
      <c r="K136" s="97">
        <f t="shared" si="27"/>
        <v>1544.6500000000124</v>
      </c>
      <c r="L136" s="101">
        <f t="shared" si="26"/>
        <v>7.4826201595976416E-2</v>
      </c>
    </row>
    <row r="139" spans="1:12" ht="18.5" x14ac:dyDescent="0.45">
      <c r="A139" s="84"/>
    </row>
    <row r="141" spans="1:12" ht="17.5" x14ac:dyDescent="0.35">
      <c r="A141" s="152" t="s">
        <v>68</v>
      </c>
    </row>
    <row r="142" spans="1:12" x14ac:dyDescent="0.35">
      <c r="D142" s="6"/>
      <c r="E142" s="6"/>
      <c r="F142" s="6"/>
      <c r="G142" s="6"/>
      <c r="H142" s="6"/>
    </row>
    <row r="144" spans="1:12" ht="43" customHeight="1" x14ac:dyDescent="0.35">
      <c r="B144" s="323" t="s">
        <v>1</v>
      </c>
      <c r="C144" s="323"/>
      <c r="D144" s="323"/>
      <c r="E144" s="323" t="s">
        <v>121</v>
      </c>
      <c r="F144" s="323"/>
      <c r="G144" s="323" t="s">
        <v>122</v>
      </c>
      <c r="H144" s="323"/>
      <c r="I144" s="323" t="s">
        <v>2</v>
      </c>
      <c r="J144" s="323"/>
      <c r="K144" s="323" t="s">
        <v>5</v>
      </c>
      <c r="L144" s="323"/>
    </row>
    <row r="145" spans="1:12" x14ac:dyDescent="0.35">
      <c r="A145" s="121" t="s">
        <v>0</v>
      </c>
      <c r="B145" s="90">
        <v>2019</v>
      </c>
      <c r="C145" s="90">
        <v>2020</v>
      </c>
      <c r="D145" s="90">
        <v>2021</v>
      </c>
      <c r="E145" s="90">
        <v>2020</v>
      </c>
      <c r="F145" s="90">
        <v>2021</v>
      </c>
      <c r="G145" s="201">
        <v>2020</v>
      </c>
      <c r="H145" s="201">
        <v>2021</v>
      </c>
      <c r="I145" s="90" t="s">
        <v>3</v>
      </c>
      <c r="J145" s="91" t="s">
        <v>4</v>
      </c>
      <c r="K145" s="90" t="s">
        <v>3</v>
      </c>
      <c r="L145" s="91" t="s">
        <v>4</v>
      </c>
    </row>
    <row r="146" spans="1:12" x14ac:dyDescent="0.35">
      <c r="A146" s="94" t="s">
        <v>6</v>
      </c>
      <c r="B146" s="162">
        <v>171.31</v>
      </c>
      <c r="C146" s="219">
        <v>136.25</v>
      </c>
      <c r="D146" s="219">
        <f>SUM(D147:D151)</f>
        <v>88.9</v>
      </c>
      <c r="E146" s="219"/>
      <c r="F146" s="219"/>
      <c r="G146" s="219"/>
      <c r="H146" s="219"/>
      <c r="I146" s="87">
        <v>-35.06</v>
      </c>
      <c r="J146" s="93">
        <v>-0.20465822193683969</v>
      </c>
      <c r="K146" s="87">
        <f>D146-C146</f>
        <v>-47.349999999999994</v>
      </c>
      <c r="L146" s="92">
        <f>(D146/C146)-1</f>
        <v>-0.34752293577981652</v>
      </c>
    </row>
    <row r="147" spans="1:12" x14ac:dyDescent="0.35">
      <c r="A147" s="122" t="s">
        <v>7</v>
      </c>
      <c r="B147" s="204">
        <v>16.41</v>
      </c>
      <c r="C147" s="173">
        <v>16.73</v>
      </c>
      <c r="D147" s="173">
        <v>17.110000000000003</v>
      </c>
      <c r="E147" s="158"/>
      <c r="F147" s="158"/>
      <c r="G147" s="158"/>
      <c r="H147" s="158"/>
      <c r="I147" s="220">
        <v>0.32000000000000028</v>
      </c>
      <c r="J147" s="221">
        <v>1.9500304692260828E-2</v>
      </c>
      <c r="K147" s="222">
        <f t="shared" ref="K147:K157" si="28">D147-C147</f>
        <v>0.38000000000000256</v>
      </c>
      <c r="L147" s="223">
        <f t="shared" ref="L147:L157" si="29">(D147/C147)-1</f>
        <v>2.2713687985654651E-2</v>
      </c>
    </row>
    <row r="148" spans="1:12" x14ac:dyDescent="0.35">
      <c r="A148" s="122" t="s">
        <v>8</v>
      </c>
      <c r="B148" s="204">
        <v>6.69</v>
      </c>
      <c r="C148" s="173">
        <v>5.14</v>
      </c>
      <c r="D148" s="173">
        <v>4.72</v>
      </c>
      <c r="E148" s="158"/>
      <c r="F148" s="158"/>
      <c r="G148" s="158"/>
      <c r="H148" s="158"/>
      <c r="I148" s="220">
        <v>-1.5500000000000007</v>
      </c>
      <c r="J148" s="221">
        <v>-0.23168908819133038</v>
      </c>
      <c r="K148" s="222">
        <f t="shared" si="28"/>
        <v>-0.41999999999999993</v>
      </c>
      <c r="L148" s="223">
        <f t="shared" si="29"/>
        <v>-8.1712062256809381E-2</v>
      </c>
    </row>
    <row r="149" spans="1:12" x14ac:dyDescent="0.35">
      <c r="A149" s="122" t="s">
        <v>11</v>
      </c>
      <c r="B149" s="204">
        <v>129.43</v>
      </c>
      <c r="C149" s="173">
        <v>93.86</v>
      </c>
      <c r="D149" s="173">
        <v>53.919999999999995</v>
      </c>
      <c r="E149" s="158"/>
      <c r="F149" s="158"/>
      <c r="G149" s="158"/>
      <c r="H149" s="158"/>
      <c r="I149" s="220">
        <v>-35.570000000000007</v>
      </c>
      <c r="J149" s="221">
        <v>-0.27482036622112338</v>
      </c>
      <c r="K149" s="222">
        <f t="shared" si="28"/>
        <v>-39.940000000000005</v>
      </c>
      <c r="L149" s="223">
        <f t="shared" si="29"/>
        <v>-0.4255273812060516</v>
      </c>
    </row>
    <row r="150" spans="1:12" x14ac:dyDescent="0.35">
      <c r="A150" s="122" t="s">
        <v>13</v>
      </c>
      <c r="B150" s="204">
        <v>9.6900000000000013</v>
      </c>
      <c r="C150" s="173">
        <v>4.82</v>
      </c>
      <c r="D150" s="173">
        <v>0.04</v>
      </c>
      <c r="E150" s="158"/>
      <c r="F150" s="158"/>
      <c r="G150" s="158"/>
      <c r="H150" s="158"/>
      <c r="I150" s="220">
        <v>-4.870000000000001</v>
      </c>
      <c r="J150" s="221">
        <v>-0.50257997936016507</v>
      </c>
      <c r="K150" s="222">
        <f t="shared" si="28"/>
        <v>-4.78</v>
      </c>
      <c r="L150" s="223">
        <f t="shared" si="29"/>
        <v>-0.99170124481327804</v>
      </c>
    </row>
    <row r="151" spans="1:12" x14ac:dyDescent="0.35">
      <c r="A151" s="122" t="s">
        <v>14</v>
      </c>
      <c r="B151" s="204">
        <v>9.09</v>
      </c>
      <c r="C151" s="173">
        <v>15.7</v>
      </c>
      <c r="D151" s="173">
        <v>13.110000000000001</v>
      </c>
      <c r="E151" s="158"/>
      <c r="F151" s="158"/>
      <c r="G151" s="158"/>
      <c r="H151" s="158"/>
      <c r="I151" s="220">
        <v>6.6099999999999994</v>
      </c>
      <c r="J151" s="221">
        <v>0.72717271727172705</v>
      </c>
      <c r="K151" s="222">
        <f t="shared" si="28"/>
        <v>-2.5899999999999981</v>
      </c>
      <c r="L151" s="223">
        <f t="shared" si="29"/>
        <v>-0.16496815286624189</v>
      </c>
    </row>
    <row r="152" spans="1:12" x14ac:dyDescent="0.35">
      <c r="A152" s="123" t="s">
        <v>16</v>
      </c>
      <c r="B152" s="218">
        <v>4476.6299999999983</v>
      </c>
      <c r="C152" s="162">
        <v>4426.75</v>
      </c>
      <c r="D152" s="162">
        <f>SUM(D153:D155)</f>
        <v>4018.75</v>
      </c>
      <c r="E152" s="162"/>
      <c r="F152" s="162"/>
      <c r="G152" s="162"/>
      <c r="H152" s="162"/>
      <c r="I152" s="162">
        <v>-49.87999999999829</v>
      </c>
      <c r="J152" s="163">
        <v>-1.1142310175287773E-2</v>
      </c>
      <c r="K152" s="162">
        <f t="shared" si="28"/>
        <v>-408</v>
      </c>
      <c r="L152" s="163">
        <f t="shared" si="29"/>
        <v>-9.2166939628395506E-2</v>
      </c>
    </row>
    <row r="153" spans="1:12" x14ac:dyDescent="0.35">
      <c r="A153" s="122" t="s">
        <v>17</v>
      </c>
      <c r="B153" s="204">
        <v>493.34000000000015</v>
      </c>
      <c r="C153" s="173">
        <v>420.68999999999994</v>
      </c>
      <c r="D153" s="173">
        <v>258.49</v>
      </c>
      <c r="E153" s="158"/>
      <c r="F153" s="158"/>
      <c r="G153" s="158"/>
      <c r="H153" s="158"/>
      <c r="I153" s="220">
        <v>-72.650000000000205</v>
      </c>
      <c r="J153" s="221">
        <v>-0.14726152349292609</v>
      </c>
      <c r="K153" s="222">
        <f t="shared" si="28"/>
        <v>-162.19999999999993</v>
      </c>
      <c r="L153" s="223">
        <f t="shared" si="29"/>
        <v>-0.38555706101880238</v>
      </c>
    </row>
    <row r="154" spans="1:12" x14ac:dyDescent="0.35">
      <c r="A154" s="122" t="s">
        <v>18</v>
      </c>
      <c r="B154" s="204">
        <v>109.83000000000001</v>
      </c>
      <c r="C154" s="173">
        <v>97.009999999999991</v>
      </c>
      <c r="D154" s="173">
        <v>85.580000000000013</v>
      </c>
      <c r="E154" s="158"/>
      <c r="F154" s="158"/>
      <c r="G154" s="158"/>
      <c r="H154" s="158"/>
      <c r="I154" s="220">
        <v>-12.820000000000022</v>
      </c>
      <c r="J154" s="221">
        <v>-0.11672584903942473</v>
      </c>
      <c r="K154" s="222">
        <f t="shared" si="28"/>
        <v>-11.429999999999978</v>
      </c>
      <c r="L154" s="223">
        <f t="shared" si="29"/>
        <v>-0.11782290485516933</v>
      </c>
    </row>
    <row r="155" spans="1:12" x14ac:dyDescent="0.35">
      <c r="A155" s="122" t="s">
        <v>19</v>
      </c>
      <c r="B155" s="204">
        <v>3873.4599999999978</v>
      </c>
      <c r="C155" s="173">
        <v>3909.0499999999997</v>
      </c>
      <c r="D155" s="173">
        <v>3674.68</v>
      </c>
      <c r="E155" s="158"/>
      <c r="F155" s="158"/>
      <c r="G155" s="158"/>
      <c r="H155" s="158"/>
      <c r="I155" s="220">
        <v>35.590000000001965</v>
      </c>
      <c r="J155" s="221">
        <v>9.1881676847060945E-3</v>
      </c>
      <c r="K155" s="222">
        <f t="shared" si="28"/>
        <v>-234.36999999999989</v>
      </c>
      <c r="L155" s="223">
        <f t="shared" si="29"/>
        <v>-5.9955743722899357E-2</v>
      </c>
    </row>
    <row r="156" spans="1:12" x14ac:dyDescent="0.35">
      <c r="A156" s="123" t="s">
        <v>23</v>
      </c>
      <c r="B156" s="218">
        <v>10.89</v>
      </c>
      <c r="C156" s="162">
        <v>162.59999999999994</v>
      </c>
      <c r="D156" s="162">
        <v>133.52000000000001</v>
      </c>
      <c r="E156" s="162"/>
      <c r="F156" s="162"/>
      <c r="G156" s="162"/>
      <c r="H156" s="162"/>
      <c r="I156" s="162">
        <v>151.70999999999992</v>
      </c>
      <c r="J156" s="163">
        <v>13.931129476584015</v>
      </c>
      <c r="K156" s="162">
        <f t="shared" si="28"/>
        <v>-29.079999999999927</v>
      </c>
      <c r="L156" s="163">
        <f t="shared" si="29"/>
        <v>-0.17884378843788395</v>
      </c>
    </row>
    <row r="157" spans="1:12" x14ac:dyDescent="0.35">
      <c r="A157" s="122" t="s">
        <v>26</v>
      </c>
      <c r="B157" s="204">
        <v>10.89</v>
      </c>
      <c r="C157" s="173">
        <v>162.59999999999994</v>
      </c>
      <c r="D157" s="173">
        <v>133.52000000000001</v>
      </c>
      <c r="E157" s="158"/>
      <c r="F157" s="158"/>
      <c r="G157" s="158"/>
      <c r="H157" s="158"/>
      <c r="I157" s="173">
        <v>151.70999999999992</v>
      </c>
      <c r="J157" s="221">
        <v>13.931129476584015</v>
      </c>
      <c r="K157" s="222">
        <f t="shared" si="28"/>
        <v>-29.079999999999927</v>
      </c>
      <c r="L157" s="223">
        <f t="shared" si="29"/>
        <v>-0.17884378843788395</v>
      </c>
    </row>
    <row r="158" spans="1:12" x14ac:dyDescent="0.35">
      <c r="A158" s="123" t="s">
        <v>35</v>
      </c>
      <c r="B158" s="218"/>
      <c r="C158" s="162">
        <v>0.22</v>
      </c>
      <c r="D158" s="162"/>
      <c r="E158" s="162"/>
      <c r="F158" s="162"/>
      <c r="G158" s="162"/>
      <c r="H158" s="162"/>
      <c r="I158" s="162">
        <v>0.22</v>
      </c>
      <c r="J158" s="163" t="s">
        <v>41</v>
      </c>
      <c r="K158" s="162"/>
      <c r="L158" s="163"/>
    </row>
    <row r="159" spans="1:12" x14ac:dyDescent="0.35">
      <c r="A159" s="122" t="s">
        <v>35</v>
      </c>
      <c r="B159" s="204"/>
      <c r="C159" s="173">
        <v>0.22</v>
      </c>
      <c r="D159" s="173"/>
      <c r="E159" s="158"/>
      <c r="F159" s="158"/>
      <c r="G159" s="158"/>
      <c r="H159" s="158"/>
      <c r="I159" s="173">
        <v>0.22</v>
      </c>
      <c r="J159" s="175" t="s">
        <v>41</v>
      </c>
      <c r="K159" s="176"/>
      <c r="L159" s="176"/>
    </row>
    <row r="160" spans="1:12" x14ac:dyDescent="0.35">
      <c r="A160" s="123" t="s">
        <v>39</v>
      </c>
      <c r="B160" s="218">
        <v>84.500000000000014</v>
      </c>
      <c r="C160" s="162">
        <v>60.42</v>
      </c>
      <c r="D160" s="162">
        <v>42.519999999999996</v>
      </c>
      <c r="E160" s="162"/>
      <c r="F160" s="162"/>
      <c r="G160" s="162"/>
      <c r="H160" s="162"/>
      <c r="I160" s="162">
        <v>-24.080000000000013</v>
      </c>
      <c r="J160" s="163">
        <v>-0.28497041420118352</v>
      </c>
      <c r="K160" s="162">
        <f>D160-C160</f>
        <v>-17.900000000000006</v>
      </c>
      <c r="L160" s="163">
        <f>(D160/C160)-1</f>
        <v>-0.29625951671631923</v>
      </c>
    </row>
    <row r="161" spans="1:12" x14ac:dyDescent="0.35">
      <c r="A161" s="122" t="s">
        <v>39</v>
      </c>
      <c r="B161" s="224">
        <v>84.500000000000014</v>
      </c>
      <c r="C161" s="173">
        <v>60.42</v>
      </c>
      <c r="D161" s="173">
        <v>42.519999999999996</v>
      </c>
      <c r="E161" s="158"/>
      <c r="F161" s="158"/>
      <c r="G161" s="158"/>
      <c r="H161" s="158"/>
      <c r="I161" s="220">
        <v>-24.080000000000013</v>
      </c>
      <c r="J161" s="221">
        <v>-0.28497041420118352</v>
      </c>
      <c r="K161" s="222">
        <f>D161-C161</f>
        <v>-17.900000000000006</v>
      </c>
      <c r="L161" s="223">
        <f>(D161/C161)-1</f>
        <v>-0.29625951671631923</v>
      </c>
    </row>
    <row r="162" spans="1:12" x14ac:dyDescent="0.35">
      <c r="A162" s="230" t="s">
        <v>40</v>
      </c>
      <c r="B162" s="225">
        <v>4743.3299999999981</v>
      </c>
      <c r="C162" s="229">
        <v>4786.2399999999989</v>
      </c>
      <c r="D162" s="228">
        <f>SUM(D146,D152,D156,D160)</f>
        <v>4283.6900000000005</v>
      </c>
      <c r="E162" s="149"/>
      <c r="F162" s="228"/>
      <c r="G162" s="149"/>
      <c r="H162" s="149"/>
      <c r="I162" s="149">
        <v>42.910000000000764</v>
      </c>
      <c r="J162" s="227">
        <v>9.0463872427177794E-3</v>
      </c>
      <c r="K162" s="226">
        <f>D162-C162</f>
        <v>-502.54999999999836</v>
      </c>
      <c r="L162" s="144">
        <f>(D162/C162)-1</f>
        <v>-0.1049989135521826</v>
      </c>
    </row>
  </sheetData>
  <mergeCells count="26">
    <mergeCell ref="K7:L7"/>
    <mergeCell ref="B46:D46"/>
    <mergeCell ref="I46:J46"/>
    <mergeCell ref="K46:L46"/>
    <mergeCell ref="K144:L144"/>
    <mergeCell ref="B77:D77"/>
    <mergeCell ref="I77:J77"/>
    <mergeCell ref="K77:L77"/>
    <mergeCell ref="B113:D113"/>
    <mergeCell ref="I113:J113"/>
    <mergeCell ref="K113:L113"/>
    <mergeCell ref="E46:F46"/>
    <mergeCell ref="G46:H46"/>
    <mergeCell ref="E77:F77"/>
    <mergeCell ref="G77:H77"/>
    <mergeCell ref="E113:F113"/>
    <mergeCell ref="A7:A8"/>
    <mergeCell ref="E7:F7"/>
    <mergeCell ref="G7:H7"/>
    <mergeCell ref="B144:D144"/>
    <mergeCell ref="I144:J144"/>
    <mergeCell ref="B7:D7"/>
    <mergeCell ref="I7:J7"/>
    <mergeCell ref="G113:H113"/>
    <mergeCell ref="E144:F144"/>
    <mergeCell ref="G144:H144"/>
  </mergeCells>
  <conditionalFormatting sqref="J10">
    <cfRule type="cellIs" dxfId="134" priority="181" operator="lessThan">
      <formula>0</formula>
    </cfRule>
  </conditionalFormatting>
  <conditionalFormatting sqref="I10">
    <cfRule type="cellIs" dxfId="133" priority="182" operator="lessThan">
      <formula>0</formula>
    </cfRule>
  </conditionalFormatting>
  <conditionalFormatting sqref="J105">
    <cfRule type="cellIs" dxfId="132" priority="143" operator="lessThan">
      <formula>0</formula>
    </cfRule>
  </conditionalFormatting>
  <conditionalFormatting sqref="J49:J55">
    <cfRule type="cellIs" dxfId="131" priority="156" operator="lessThan">
      <formula>0</formula>
    </cfRule>
  </conditionalFormatting>
  <conditionalFormatting sqref="J57:J59">
    <cfRule type="cellIs" dxfId="130" priority="155" operator="lessThan">
      <formula>0</formula>
    </cfRule>
  </conditionalFormatting>
  <conditionalFormatting sqref="J61:J62">
    <cfRule type="cellIs" dxfId="129" priority="154" operator="lessThan">
      <formula>0</formula>
    </cfRule>
  </conditionalFormatting>
  <conditionalFormatting sqref="J68">
    <cfRule type="cellIs" dxfId="128" priority="153" operator="lessThan">
      <formula>0</formula>
    </cfRule>
  </conditionalFormatting>
  <conditionalFormatting sqref="L49:L55 L57:L59 L61:L62 L64 L66 L68">
    <cfRule type="cellIs" dxfId="127" priority="152" operator="lessThan">
      <formula>0</formula>
    </cfRule>
  </conditionalFormatting>
  <conditionalFormatting sqref="J80:J86">
    <cfRule type="cellIs" dxfId="126" priority="151" operator="lessThan">
      <formula>0</formula>
    </cfRule>
  </conditionalFormatting>
  <conditionalFormatting sqref="J88:J90">
    <cfRule type="cellIs" dxfId="125" priority="150" operator="lessThan">
      <formula>0</formula>
    </cfRule>
  </conditionalFormatting>
  <conditionalFormatting sqref="L22">
    <cfRule type="cellIs" dxfId="124" priority="63" operator="lessThan">
      <formula>0</formula>
    </cfRule>
  </conditionalFormatting>
  <conditionalFormatting sqref="K49:K55 K57:K59 K61:K62 K64 K66 K68">
    <cfRule type="cellIs" dxfId="123" priority="164" operator="lessThan">
      <formula>0</formula>
    </cfRule>
  </conditionalFormatting>
  <conditionalFormatting sqref="I49:I55">
    <cfRule type="cellIs" dxfId="122" priority="163" operator="lessThan">
      <formula>0</formula>
    </cfRule>
  </conditionalFormatting>
  <conditionalFormatting sqref="I57:I59">
    <cfRule type="cellIs" dxfId="121" priority="162" operator="lessThan">
      <formula>0</formula>
    </cfRule>
  </conditionalFormatting>
  <conditionalFormatting sqref="I68">
    <cfRule type="cellIs" dxfId="120" priority="161" operator="lessThan">
      <formula>0</formula>
    </cfRule>
  </conditionalFormatting>
  <conditionalFormatting sqref="J96:J97">
    <cfRule type="cellIs" dxfId="119" priority="149" operator="lessThan">
      <formula>0</formula>
    </cfRule>
  </conditionalFormatting>
  <conditionalFormatting sqref="J102">
    <cfRule type="cellIs" dxfId="118" priority="148" operator="lessThan">
      <formula>0</formula>
    </cfRule>
  </conditionalFormatting>
  <conditionalFormatting sqref="J104">
    <cfRule type="cellIs" dxfId="117" priority="147" operator="lessThan">
      <formula>0</formula>
    </cfRule>
  </conditionalFormatting>
  <conditionalFormatting sqref="I102">
    <cfRule type="cellIs" dxfId="116" priority="135" operator="lessThan">
      <formula>0</formula>
    </cfRule>
  </conditionalFormatting>
  <conditionalFormatting sqref="I99:I100">
    <cfRule type="cellIs" dxfId="115" priority="134" operator="lessThan">
      <formula>0</formula>
    </cfRule>
  </conditionalFormatting>
  <conditionalFormatting sqref="I80:I86">
    <cfRule type="cellIs" dxfId="114" priority="142" operator="lessThan">
      <formula>0</formula>
    </cfRule>
  </conditionalFormatting>
  <conditionalFormatting sqref="I88:I90">
    <cfRule type="cellIs" dxfId="113" priority="141" operator="lessThan">
      <formula>0</formula>
    </cfRule>
  </conditionalFormatting>
  <conditionalFormatting sqref="I96:I97">
    <cfRule type="cellIs" dxfId="112" priority="140" operator="lessThan">
      <formula>0</formula>
    </cfRule>
  </conditionalFormatting>
  <conditionalFormatting sqref="I92">
    <cfRule type="cellIs" dxfId="111" priority="139" operator="lessThan">
      <formula>0</formula>
    </cfRule>
  </conditionalFormatting>
  <conditionalFormatting sqref="I94">
    <cfRule type="cellIs" dxfId="110" priority="138" operator="lessThan">
      <formula>0</formula>
    </cfRule>
  </conditionalFormatting>
  <conditionalFormatting sqref="I105">
    <cfRule type="cellIs" dxfId="109" priority="133" operator="lessThan">
      <formula>0</formula>
    </cfRule>
  </conditionalFormatting>
  <conditionalFormatting sqref="J147:J151">
    <cfRule type="cellIs" dxfId="108" priority="122" operator="lessThan">
      <formula>0</formula>
    </cfRule>
  </conditionalFormatting>
  <conditionalFormatting sqref="J153:J155">
    <cfRule type="cellIs" dxfId="107" priority="121" operator="lessThan">
      <formula>0</formula>
    </cfRule>
  </conditionalFormatting>
  <conditionalFormatting sqref="K80:K86 K88:K90">
    <cfRule type="cellIs" dxfId="106" priority="130" operator="lessThan">
      <formula>0</formula>
    </cfRule>
  </conditionalFormatting>
  <conditionalFormatting sqref="L80:L86 L88:L90">
    <cfRule type="cellIs" dxfId="105" priority="129" operator="lessThan">
      <formula>0</formula>
    </cfRule>
  </conditionalFormatting>
  <conditionalFormatting sqref="K96:K97 K99:K100 K102">
    <cfRule type="cellIs" dxfId="104" priority="128" operator="lessThan">
      <formula>0</formula>
    </cfRule>
  </conditionalFormatting>
  <conditionalFormatting sqref="L96:L97 L99:L100 L104:L105 L102">
    <cfRule type="cellIs" dxfId="103" priority="127" operator="lessThan">
      <formula>0</formula>
    </cfRule>
  </conditionalFormatting>
  <conditionalFormatting sqref="K104:K105">
    <cfRule type="cellIs" dxfId="102" priority="126" operator="lessThan">
      <formula>0</formula>
    </cfRule>
  </conditionalFormatting>
  <conditionalFormatting sqref="I116:J122 I124:J126 I128:J128 I130:J131 I133:J133 I135:J135">
    <cfRule type="cellIs" dxfId="101" priority="125" operator="lessThan">
      <formula>0</formula>
    </cfRule>
  </conditionalFormatting>
  <conditionalFormatting sqref="K116:K122 K124:K126 K128 K130:K131 K133 K135">
    <cfRule type="cellIs" dxfId="100" priority="124" operator="lessThan">
      <formula>0</formula>
    </cfRule>
  </conditionalFormatting>
  <conditionalFormatting sqref="L116:L122 L124:L126 L128 L130:L131 L133 L135">
    <cfRule type="cellIs" dxfId="99" priority="123" operator="lessThan">
      <formula>0</formula>
    </cfRule>
  </conditionalFormatting>
  <conditionalFormatting sqref="J157">
    <cfRule type="cellIs" dxfId="98" priority="120" operator="lessThan">
      <formula>0</formula>
    </cfRule>
  </conditionalFormatting>
  <conditionalFormatting sqref="J161">
    <cfRule type="cellIs" dxfId="97" priority="119" operator="lessThan">
      <formula>0</formula>
    </cfRule>
  </conditionalFormatting>
  <conditionalFormatting sqref="K161">
    <cfRule type="cellIs" dxfId="96" priority="107" operator="lessThan">
      <formula>0</formula>
    </cfRule>
  </conditionalFormatting>
  <conditionalFormatting sqref="L161">
    <cfRule type="cellIs" dxfId="95" priority="106" operator="lessThan">
      <formula>0</formula>
    </cfRule>
  </conditionalFormatting>
  <conditionalFormatting sqref="I18:I20">
    <cfRule type="cellIs" dxfId="94" priority="104" operator="lessThan">
      <formula>0</formula>
    </cfRule>
  </conditionalFormatting>
  <conditionalFormatting sqref="I27">
    <cfRule type="cellIs" dxfId="93" priority="103" operator="lessThan">
      <formula>0</formula>
    </cfRule>
  </conditionalFormatting>
  <conditionalFormatting sqref="I147:I151">
    <cfRule type="cellIs" dxfId="92" priority="112" operator="lessThan">
      <formula>0</formula>
    </cfRule>
  </conditionalFormatting>
  <conditionalFormatting sqref="I153:I155">
    <cfRule type="cellIs" dxfId="91" priority="111" operator="lessThan">
      <formula>0</formula>
    </cfRule>
  </conditionalFormatting>
  <conditionalFormatting sqref="I161">
    <cfRule type="cellIs" dxfId="90" priority="110" operator="lessThan">
      <formula>0</formula>
    </cfRule>
  </conditionalFormatting>
  <conditionalFormatting sqref="K147:K151 K153:K155 K157">
    <cfRule type="cellIs" dxfId="89" priority="109" operator="lessThan">
      <formula>0</formula>
    </cfRule>
  </conditionalFormatting>
  <conditionalFormatting sqref="L147:L151 L153:L155 L157">
    <cfRule type="cellIs" dxfId="88" priority="108" operator="lessThan">
      <formula>0</formula>
    </cfRule>
  </conditionalFormatting>
  <conditionalFormatting sqref="I11:I16">
    <cfRule type="cellIs" dxfId="87" priority="105" operator="lessThan">
      <formula>0</formula>
    </cfRule>
  </conditionalFormatting>
  <conditionalFormatting sqref="I37">
    <cfRule type="cellIs" dxfId="86" priority="102" operator="lessThan">
      <formula>0</formula>
    </cfRule>
  </conditionalFormatting>
  <conditionalFormatting sqref="I29:I30">
    <cfRule type="cellIs" dxfId="85" priority="101" operator="lessThan">
      <formula>0</formula>
    </cfRule>
  </conditionalFormatting>
  <conditionalFormatting sqref="J11:J16">
    <cfRule type="cellIs" dxfId="84" priority="96" operator="lessThan">
      <formula>0</formula>
    </cfRule>
  </conditionalFormatting>
  <conditionalFormatting sqref="J18:J20">
    <cfRule type="cellIs" dxfId="83" priority="95" operator="lessThan">
      <formula>0</formula>
    </cfRule>
  </conditionalFormatting>
  <conditionalFormatting sqref="J26:J27">
    <cfRule type="cellIs" dxfId="82" priority="94" operator="lessThan">
      <formula>0</formula>
    </cfRule>
  </conditionalFormatting>
  <conditionalFormatting sqref="J29">
    <cfRule type="cellIs" dxfId="81" priority="93" operator="lessThan">
      <formula>0</formula>
    </cfRule>
  </conditionalFormatting>
  <conditionalFormatting sqref="J37">
    <cfRule type="cellIs" dxfId="80" priority="92" operator="lessThan">
      <formula>0</formula>
    </cfRule>
  </conditionalFormatting>
  <conditionalFormatting sqref="L29">
    <cfRule type="cellIs" dxfId="79" priority="70" operator="lessThan">
      <formula>0</formula>
    </cfRule>
  </conditionalFormatting>
  <conditionalFormatting sqref="I32 I34:I35">
    <cfRule type="cellIs" dxfId="78" priority="90" operator="lessThan">
      <formula>0</formula>
    </cfRule>
  </conditionalFormatting>
  <conditionalFormatting sqref="L32 L34">
    <cfRule type="cellIs" dxfId="77" priority="67" operator="lessThan">
      <formula>0</formula>
    </cfRule>
  </conditionalFormatting>
  <conditionalFormatting sqref="J32 J34:J35">
    <cfRule type="cellIs" dxfId="76" priority="87" operator="lessThan">
      <formula>0</formula>
    </cfRule>
  </conditionalFormatting>
  <conditionalFormatting sqref="K10:K16">
    <cfRule type="cellIs" dxfId="75" priority="86" operator="lessThan">
      <formula>0</formula>
    </cfRule>
  </conditionalFormatting>
  <conditionalFormatting sqref="K18:K20 K22 K24 K26:K27 K29:K30 K32 K37 K34">
    <cfRule type="cellIs" dxfId="74" priority="85" operator="lessThan">
      <formula>0</formula>
    </cfRule>
  </conditionalFormatting>
  <conditionalFormatting sqref="J9">
    <cfRule type="cellIs" dxfId="73" priority="62" operator="lessThan">
      <formula>0</formula>
    </cfRule>
  </conditionalFormatting>
  <conditionalFormatting sqref="L10">
    <cfRule type="cellIs" dxfId="72" priority="82" operator="lessThan">
      <formula>0</formula>
    </cfRule>
  </conditionalFormatting>
  <conditionalFormatting sqref="I38">
    <cfRule type="cellIs" dxfId="71" priority="57" operator="lessThan">
      <formula>0</formula>
    </cfRule>
  </conditionalFormatting>
  <conditionalFormatting sqref="J38">
    <cfRule type="cellIs" dxfId="70" priority="56" operator="lessThan">
      <formula>0</formula>
    </cfRule>
  </conditionalFormatting>
  <conditionalFormatting sqref="L38">
    <cfRule type="cellIs" dxfId="69" priority="55" operator="lessThan">
      <formula>0</formula>
    </cfRule>
  </conditionalFormatting>
  <conditionalFormatting sqref="J48">
    <cfRule type="cellIs" dxfId="68" priority="54" operator="lessThan">
      <formula>0</formula>
    </cfRule>
  </conditionalFormatting>
  <conditionalFormatting sqref="I69">
    <cfRule type="cellIs" dxfId="67" priority="53" operator="lessThan">
      <formula>0</formula>
    </cfRule>
  </conditionalFormatting>
  <conditionalFormatting sqref="L11:L16">
    <cfRule type="cellIs" dxfId="66" priority="73" operator="lessThan">
      <formula>0</formula>
    </cfRule>
  </conditionalFormatting>
  <conditionalFormatting sqref="L18:L20">
    <cfRule type="cellIs" dxfId="65" priority="72" operator="lessThan">
      <formula>0</formula>
    </cfRule>
  </conditionalFormatting>
  <conditionalFormatting sqref="L26:L27">
    <cfRule type="cellIs" dxfId="64" priority="71" operator="lessThan">
      <formula>0</formula>
    </cfRule>
  </conditionalFormatting>
  <conditionalFormatting sqref="L37">
    <cfRule type="cellIs" dxfId="63" priority="69" operator="lessThan">
      <formula>0</formula>
    </cfRule>
  </conditionalFormatting>
  <conditionalFormatting sqref="L136">
    <cfRule type="cellIs" dxfId="62" priority="47" operator="lessThan">
      <formula>0</formula>
    </cfRule>
  </conditionalFormatting>
  <conditionalFormatting sqref="L24">
    <cfRule type="cellIs" dxfId="61" priority="64" operator="lessThan">
      <formula>0</formula>
    </cfRule>
  </conditionalFormatting>
  <conditionalFormatting sqref="J146">
    <cfRule type="cellIs" dxfId="60" priority="40" operator="lessThan">
      <formula>0</formula>
    </cfRule>
  </conditionalFormatting>
  <conditionalFormatting sqref="J115">
    <cfRule type="cellIs" dxfId="59" priority="41" operator="lessThan">
      <formula>0</formula>
    </cfRule>
  </conditionalFormatting>
  <conditionalFormatting sqref="K162">
    <cfRule type="cellIs" dxfId="58" priority="42" operator="lessThan">
      <formula>0</formula>
    </cfRule>
  </conditionalFormatting>
  <conditionalFormatting sqref="J69">
    <cfRule type="cellIs" dxfId="57" priority="52" operator="lessThan">
      <formula>0</formula>
    </cfRule>
  </conditionalFormatting>
  <conditionalFormatting sqref="L69">
    <cfRule type="cellIs" dxfId="56" priority="51" operator="lessThan">
      <formula>0</formula>
    </cfRule>
  </conditionalFormatting>
  <conditionalFormatting sqref="J79">
    <cfRule type="cellIs" dxfId="55" priority="50" operator="lessThan">
      <formula>0</formula>
    </cfRule>
  </conditionalFormatting>
  <conditionalFormatting sqref="J136">
    <cfRule type="cellIs" dxfId="54" priority="49" operator="lessThan">
      <formula>0</formula>
    </cfRule>
  </conditionalFormatting>
  <conditionalFormatting sqref="I136">
    <cfRule type="cellIs" dxfId="53" priority="48" operator="lessThan">
      <formula>0</formula>
    </cfRule>
  </conditionalFormatting>
  <conditionalFormatting sqref="K136">
    <cfRule type="cellIs" dxfId="52" priority="46" operator="lessThan">
      <formula>0</formula>
    </cfRule>
  </conditionalFormatting>
  <conditionalFormatting sqref="J162">
    <cfRule type="cellIs" dxfId="51" priority="45" operator="lessThan">
      <formula>0</formula>
    </cfRule>
  </conditionalFormatting>
  <conditionalFormatting sqref="I162">
    <cfRule type="cellIs" dxfId="50" priority="44" operator="lessThan">
      <formula>0</formula>
    </cfRule>
  </conditionalFormatting>
  <conditionalFormatting sqref="L162">
    <cfRule type="cellIs" dxfId="49" priority="43" operator="lessThan">
      <formula>0</formula>
    </cfRule>
  </conditionalFormatting>
  <conditionalFormatting sqref="I17">
    <cfRule type="cellIs" dxfId="48" priority="39" operator="lessThan">
      <formula>0</formula>
    </cfRule>
  </conditionalFormatting>
  <conditionalFormatting sqref="I25">
    <cfRule type="cellIs" dxfId="47" priority="38" operator="lessThan">
      <formula>0</formula>
    </cfRule>
  </conditionalFormatting>
  <conditionalFormatting sqref="I31">
    <cfRule type="cellIs" dxfId="46" priority="37" operator="lessThan">
      <formula>0</formula>
    </cfRule>
  </conditionalFormatting>
  <conditionalFormatting sqref="I36">
    <cfRule type="cellIs" dxfId="45" priority="36" operator="lessThan">
      <formula>0</formula>
    </cfRule>
  </conditionalFormatting>
  <conditionalFormatting sqref="K28">
    <cfRule type="cellIs" dxfId="44" priority="35" operator="lessThan">
      <formula>0</formula>
    </cfRule>
  </conditionalFormatting>
  <conditionalFormatting sqref="K25">
    <cfRule type="cellIs" dxfId="43" priority="34" operator="lessThan">
      <formula>0</formula>
    </cfRule>
  </conditionalFormatting>
  <conditionalFormatting sqref="K17">
    <cfRule type="cellIs" dxfId="42" priority="33" operator="lessThan">
      <formula>0</formula>
    </cfRule>
  </conditionalFormatting>
  <conditionalFormatting sqref="J17">
    <cfRule type="cellIs" dxfId="41" priority="32" operator="lessThan">
      <formula>0</formula>
    </cfRule>
  </conditionalFormatting>
  <conditionalFormatting sqref="L17">
    <cfRule type="cellIs" dxfId="40" priority="31" operator="lessThan">
      <formula>0</formula>
    </cfRule>
  </conditionalFormatting>
  <conditionalFormatting sqref="J25">
    <cfRule type="cellIs" dxfId="39" priority="30" operator="lessThan">
      <formula>0</formula>
    </cfRule>
  </conditionalFormatting>
  <conditionalFormatting sqref="J31">
    <cfRule type="cellIs" dxfId="38" priority="28" operator="lessThan">
      <formula>0</formula>
    </cfRule>
  </conditionalFormatting>
  <conditionalFormatting sqref="J36">
    <cfRule type="cellIs" dxfId="37" priority="27" operator="lessThan">
      <formula>0</formula>
    </cfRule>
  </conditionalFormatting>
  <conditionalFormatting sqref="L23">
    <cfRule type="cellIs" dxfId="36" priority="25" operator="lessThan">
      <formula>0</formula>
    </cfRule>
  </conditionalFormatting>
  <conditionalFormatting sqref="L21">
    <cfRule type="cellIs" dxfId="35" priority="24" operator="lessThan">
      <formula>0</formula>
    </cfRule>
  </conditionalFormatting>
  <conditionalFormatting sqref="J33">
    <cfRule type="cellIs" dxfId="34" priority="9" operator="lessThan">
      <formula>0</formula>
    </cfRule>
  </conditionalFormatting>
  <conditionalFormatting sqref="K38">
    <cfRule type="cellIs" dxfId="33" priority="8" operator="lessThan">
      <formula>0</formula>
    </cfRule>
  </conditionalFormatting>
  <conditionalFormatting sqref="I28">
    <cfRule type="cellIs" dxfId="32" priority="12" operator="lessThan">
      <formula>0</formula>
    </cfRule>
  </conditionalFormatting>
  <conditionalFormatting sqref="K33">
    <cfRule type="cellIs" dxfId="31" priority="19" operator="lessThan">
      <formula>0</formula>
    </cfRule>
  </conditionalFormatting>
  <conditionalFormatting sqref="L35">
    <cfRule type="cellIs" dxfId="30" priority="16" operator="lessThan">
      <formula>0</formula>
    </cfRule>
  </conditionalFormatting>
  <conditionalFormatting sqref="K35">
    <cfRule type="cellIs" dxfId="29" priority="17" operator="lessThan">
      <formula>0</formula>
    </cfRule>
  </conditionalFormatting>
  <conditionalFormatting sqref="I33">
    <cfRule type="cellIs" dxfId="28" priority="15" operator="lessThan">
      <formula>0</formula>
    </cfRule>
  </conditionalFormatting>
  <conditionalFormatting sqref="L25">
    <cfRule type="cellIs" dxfId="27" priority="5" operator="lessThan">
      <formula>0</formula>
    </cfRule>
  </conditionalFormatting>
  <conditionalFormatting sqref="L28">
    <cfRule type="cellIs" dxfId="26" priority="4" operator="lessThan">
      <formula>0</formula>
    </cfRule>
  </conditionalFormatting>
  <conditionalFormatting sqref="L31">
    <cfRule type="cellIs" dxfId="25" priority="3" operator="lessThan">
      <formula>0</formula>
    </cfRule>
  </conditionalFormatting>
  <conditionalFormatting sqref="L33">
    <cfRule type="cellIs" dxfId="24" priority="2" operator="lessThan">
      <formula>0</formula>
    </cfRule>
  </conditionalFormatting>
  <conditionalFormatting sqref="L36">
    <cfRule type="cellIs" dxfId="23" priority="1" operator="lessThan">
      <formula>0</formula>
    </cfRule>
  </conditionalFormatting>
  <hyperlinks>
    <hyperlink ref="B1" location="ÍNDICE!A1" display="ÍNDICE!A1" xr:uid="{61A2842F-49BA-4768-874F-9C8BAB2DF2B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autoPageBreaks="0"/>
  </sheetPr>
  <dimension ref="A1:AS33"/>
  <sheetViews>
    <sheetView topLeftCell="L11" zoomScale="88" zoomScaleNormal="88" workbookViewId="0">
      <selection activeCell="AA26" sqref="AA26"/>
    </sheetView>
  </sheetViews>
  <sheetFormatPr baseColWidth="10" defaultRowHeight="14.5" x14ac:dyDescent="0.35"/>
  <cols>
    <col min="1" max="1" width="24.81640625" bestFit="1" customWidth="1"/>
    <col min="2" max="2" width="17.26953125" customWidth="1"/>
    <col min="3" max="3" width="13.7265625" customWidth="1"/>
    <col min="4" max="8" width="15.26953125" customWidth="1"/>
    <col min="9" max="9" width="15.453125" customWidth="1"/>
    <col min="10" max="10" width="16.453125" customWidth="1"/>
    <col min="11" max="11" width="14.1796875" customWidth="1"/>
    <col min="12" max="12" width="16.453125" customWidth="1"/>
  </cols>
  <sheetData>
    <row r="1" spans="1:45" ht="21" x14ac:dyDescent="0.5">
      <c r="A1" s="337" t="s">
        <v>80</v>
      </c>
      <c r="B1" s="338" t="s">
        <v>79</v>
      </c>
      <c r="J1" s="337"/>
      <c r="K1" s="338"/>
    </row>
    <row r="5" spans="1:45" ht="18.5" x14ac:dyDescent="0.45">
      <c r="A5" s="150" t="s">
        <v>53</v>
      </c>
      <c r="C5" s="7"/>
      <c r="D5" s="7"/>
      <c r="E5" s="7"/>
      <c r="F5" s="7"/>
      <c r="G5" s="7"/>
      <c r="H5" s="7"/>
      <c r="I5" s="7"/>
      <c r="J5" s="7"/>
      <c r="K5" s="7"/>
      <c r="L5" s="7"/>
    </row>
    <row r="7" spans="1:45" ht="43" customHeight="1" x14ac:dyDescent="0.35">
      <c r="A7" s="323" t="s">
        <v>134</v>
      </c>
      <c r="B7" s="322" t="s">
        <v>1</v>
      </c>
      <c r="C7" s="322"/>
      <c r="D7" s="322"/>
      <c r="E7" s="323" t="s">
        <v>121</v>
      </c>
      <c r="F7" s="323"/>
      <c r="G7" s="323" t="s">
        <v>122</v>
      </c>
      <c r="H7" s="323"/>
      <c r="I7" s="323" t="s">
        <v>2</v>
      </c>
      <c r="J7" s="323"/>
      <c r="K7" s="323" t="s">
        <v>5</v>
      </c>
      <c r="L7" s="323"/>
    </row>
    <row r="8" spans="1:45" x14ac:dyDescent="0.35">
      <c r="A8" s="323"/>
      <c r="B8" s="90">
        <v>2019</v>
      </c>
      <c r="C8" s="90">
        <v>2020</v>
      </c>
      <c r="D8" s="90">
        <v>2021</v>
      </c>
      <c r="E8" s="90">
        <v>2020</v>
      </c>
      <c r="F8" s="90">
        <v>2021</v>
      </c>
      <c r="G8" s="201">
        <v>2020</v>
      </c>
      <c r="H8" s="201">
        <v>2021</v>
      </c>
      <c r="I8" s="90" t="s">
        <v>3</v>
      </c>
      <c r="J8" s="91" t="s">
        <v>4</v>
      </c>
      <c r="K8" s="90" t="s">
        <v>3</v>
      </c>
      <c r="L8" s="91" t="s">
        <v>4</v>
      </c>
    </row>
    <row r="9" spans="1:45" x14ac:dyDescent="0.35">
      <c r="A9" s="200" t="s">
        <v>6</v>
      </c>
      <c r="B9" s="202">
        <v>637.16000000000008</v>
      </c>
      <c r="C9" s="202">
        <v>753.16</v>
      </c>
      <c r="D9" s="202">
        <f>SUM(D10:D16)</f>
        <v>853.76</v>
      </c>
      <c r="E9" s="202">
        <v>877</v>
      </c>
      <c r="F9" s="202">
        <v>968</v>
      </c>
      <c r="G9" s="275">
        <f>IFERROR(C9/E9,"")</f>
        <v>0.8587913340935005</v>
      </c>
      <c r="H9" s="275">
        <f>IFERROR(D9/F9,"")</f>
        <v>0.88198347107438013</v>
      </c>
      <c r="I9" s="202">
        <v>115.99999999999989</v>
      </c>
      <c r="J9" s="203">
        <v>0.18205788185071237</v>
      </c>
      <c r="K9" s="202">
        <f>D9-C9</f>
        <v>100.60000000000002</v>
      </c>
      <c r="L9" s="295">
        <f>(D9/C9)-1</f>
        <v>0.13357055605714585</v>
      </c>
      <c r="AS9" s="282">
        <f>F9/$F$32</f>
        <v>0.34192864712115861</v>
      </c>
    </row>
    <row r="10" spans="1:45" x14ac:dyDescent="0.35">
      <c r="A10" s="169" t="s">
        <v>7</v>
      </c>
      <c r="B10" s="173">
        <v>78.160000000000011</v>
      </c>
      <c r="C10" s="173">
        <v>85.66</v>
      </c>
      <c r="D10" s="173">
        <v>117.18999999999998</v>
      </c>
      <c r="E10" s="173">
        <v>130</v>
      </c>
      <c r="F10" s="173">
        <v>169</v>
      </c>
      <c r="G10" s="172">
        <f>IFERROR(C10/E10,"")</f>
        <v>0.65892307692307694</v>
      </c>
      <c r="H10" s="172">
        <f>IFERROR(D10/F10,"")</f>
        <v>0.69343195266272184</v>
      </c>
      <c r="I10" s="156">
        <v>7.4999999999999858</v>
      </c>
      <c r="J10" s="174">
        <v>9.5957011258955838E-2</v>
      </c>
      <c r="K10" s="156">
        <f t="shared" ref="K10:K32" si="0">D10-C10</f>
        <v>31.529999999999987</v>
      </c>
      <c r="L10" s="174">
        <f t="shared" ref="L10:L32" si="1">(D10/C10)-1</f>
        <v>0.36808311930889559</v>
      </c>
    </row>
    <row r="11" spans="1:45" x14ac:dyDescent="0.35">
      <c r="A11" s="169" t="s">
        <v>8</v>
      </c>
      <c r="B11" s="173">
        <v>81.86</v>
      </c>
      <c r="C11" s="173">
        <v>81.739999999999995</v>
      </c>
      <c r="D11" s="173">
        <v>78.64</v>
      </c>
      <c r="E11" s="173">
        <v>116</v>
      </c>
      <c r="F11" s="173">
        <v>116</v>
      </c>
      <c r="G11" s="172">
        <f t="shared" ref="G11:H11" si="2">IFERROR(C11/E11,"")</f>
        <v>0.70465517241379305</v>
      </c>
      <c r="H11" s="172">
        <f t="shared" si="2"/>
        <v>0.6779310344827586</v>
      </c>
      <c r="I11" s="156">
        <v>-0.12000000000000455</v>
      </c>
      <c r="J11" s="174">
        <v>-1.4659174199853631E-3</v>
      </c>
      <c r="K11" s="156">
        <f t="shared" si="0"/>
        <v>-3.0999999999999943</v>
      </c>
      <c r="L11" s="174">
        <f t="shared" si="1"/>
        <v>-3.7925128456080204E-2</v>
      </c>
    </row>
    <row r="12" spans="1:45" x14ac:dyDescent="0.35">
      <c r="A12" s="169" t="s">
        <v>9</v>
      </c>
      <c r="B12" s="173">
        <v>91.65</v>
      </c>
      <c r="C12" s="173">
        <v>129.81</v>
      </c>
      <c r="D12" s="173">
        <v>145.19</v>
      </c>
      <c r="E12" s="173">
        <v>130</v>
      </c>
      <c r="F12" s="173">
        <v>145</v>
      </c>
      <c r="G12" s="172">
        <f t="shared" ref="G12:G16" si="3">IFERROR(C12/E12,"")</f>
        <v>0.9985384615384616</v>
      </c>
      <c r="H12" s="172">
        <f t="shared" ref="H12:H16" si="4">IFERROR(D12/F12,"")</f>
        <v>1.0013103448275862</v>
      </c>
      <c r="I12" s="156">
        <v>38.159999999999997</v>
      </c>
      <c r="J12" s="174">
        <v>0.416366612111293</v>
      </c>
      <c r="K12" s="156">
        <f t="shared" si="0"/>
        <v>15.379999999999995</v>
      </c>
      <c r="L12" s="174">
        <f t="shared" si="1"/>
        <v>0.11848085663662267</v>
      </c>
    </row>
    <row r="13" spans="1:45" x14ac:dyDescent="0.35">
      <c r="A13" s="169" t="s">
        <v>10</v>
      </c>
      <c r="B13" s="173"/>
      <c r="C13" s="173"/>
      <c r="D13" s="173"/>
      <c r="E13" s="173">
        <v>2</v>
      </c>
      <c r="F13" s="173">
        <v>2</v>
      </c>
      <c r="G13" s="172">
        <f t="shared" si="3"/>
        <v>0</v>
      </c>
      <c r="H13" s="172">
        <f t="shared" si="4"/>
        <v>0</v>
      </c>
      <c r="I13" s="156">
        <v>0</v>
      </c>
      <c r="J13" s="174" t="s">
        <v>41</v>
      </c>
      <c r="K13" s="156">
        <f t="shared" si="0"/>
        <v>0</v>
      </c>
      <c r="L13" s="174"/>
    </row>
    <row r="14" spans="1:45" x14ac:dyDescent="0.35">
      <c r="A14" s="169" t="s">
        <v>11</v>
      </c>
      <c r="B14" s="173">
        <v>61.389999999999993</v>
      </c>
      <c r="C14" s="173">
        <v>60.64</v>
      </c>
      <c r="D14" s="173">
        <v>73.399999999999977</v>
      </c>
      <c r="E14" s="173">
        <v>95</v>
      </c>
      <c r="F14" s="173">
        <v>95</v>
      </c>
      <c r="G14" s="172">
        <f t="shared" si="3"/>
        <v>0.63831578947368417</v>
      </c>
      <c r="H14" s="172">
        <f t="shared" si="4"/>
        <v>0.77263157894736822</v>
      </c>
      <c r="I14" s="156">
        <v>-0.74999999999999289</v>
      </c>
      <c r="J14" s="174">
        <v>-1.2216973448444302E-2</v>
      </c>
      <c r="K14" s="156">
        <f t="shared" si="0"/>
        <v>12.759999999999977</v>
      </c>
      <c r="L14" s="174">
        <f t="shared" si="1"/>
        <v>0.21042216358839005</v>
      </c>
    </row>
    <row r="15" spans="1:45" x14ac:dyDescent="0.35">
      <c r="A15" s="169" t="s">
        <v>13</v>
      </c>
      <c r="B15" s="173">
        <v>23.650000000000006</v>
      </c>
      <c r="C15" s="173">
        <v>43.39</v>
      </c>
      <c r="D15" s="173">
        <v>54.19</v>
      </c>
      <c r="E15" s="173">
        <v>43</v>
      </c>
      <c r="F15" s="173">
        <v>56</v>
      </c>
      <c r="G15" s="172">
        <f t="shared" si="3"/>
        <v>1.0090697674418605</v>
      </c>
      <c r="H15" s="172">
        <f t="shared" si="4"/>
        <v>0.96767857142857139</v>
      </c>
      <c r="I15" s="156">
        <v>19.739999999999995</v>
      </c>
      <c r="J15" s="174">
        <v>0.83467230443974594</v>
      </c>
      <c r="K15" s="156">
        <f t="shared" si="0"/>
        <v>10.799999999999997</v>
      </c>
      <c r="L15" s="174">
        <f t="shared" si="1"/>
        <v>0.24890527771375881</v>
      </c>
    </row>
    <row r="16" spans="1:45" x14ac:dyDescent="0.35">
      <c r="A16" s="169" t="s">
        <v>14</v>
      </c>
      <c r="B16" s="173">
        <v>300.45</v>
      </c>
      <c r="C16" s="173">
        <v>351.92</v>
      </c>
      <c r="D16" s="173">
        <v>385.15000000000003</v>
      </c>
      <c r="E16" s="173">
        <v>361</v>
      </c>
      <c r="F16" s="173">
        <v>385</v>
      </c>
      <c r="G16" s="172">
        <f t="shared" si="3"/>
        <v>0.97484764542936297</v>
      </c>
      <c r="H16" s="172">
        <f t="shared" si="4"/>
        <v>1.0003896103896104</v>
      </c>
      <c r="I16" s="156">
        <v>51.470000000000027</v>
      </c>
      <c r="J16" s="174">
        <v>0.17130970211349661</v>
      </c>
      <c r="K16" s="156">
        <f t="shared" si="0"/>
        <v>33.230000000000018</v>
      </c>
      <c r="L16" s="174">
        <f t="shared" si="1"/>
        <v>9.44248692884746E-2</v>
      </c>
    </row>
    <row r="17" spans="1:45" x14ac:dyDescent="0.35">
      <c r="A17" s="153" t="s">
        <v>16</v>
      </c>
      <c r="B17" s="162">
        <v>395.28</v>
      </c>
      <c r="C17" s="162">
        <v>459.25999999999988</v>
      </c>
      <c r="D17" s="162">
        <f>SUM(D18:D20)</f>
        <v>490.84999999999991</v>
      </c>
      <c r="E17" s="162">
        <v>717</v>
      </c>
      <c r="F17" s="162">
        <v>848</v>
      </c>
      <c r="G17" s="275">
        <f>IFERROR(C17/E17,"")</f>
        <v>0.64052998605299838</v>
      </c>
      <c r="H17" s="275">
        <f>IFERROR(D17/F17,"")</f>
        <v>0.57883254716981125</v>
      </c>
      <c r="I17" s="162">
        <v>63.979999999999905</v>
      </c>
      <c r="J17" s="163">
        <v>0.16185994737907272</v>
      </c>
      <c r="K17" s="162">
        <f t="shared" si="0"/>
        <v>31.590000000000032</v>
      </c>
      <c r="L17" s="295">
        <f t="shared" si="1"/>
        <v>6.878456647650566E-2</v>
      </c>
      <c r="AS17" s="282">
        <f>F17/$F$32</f>
        <v>0.29954079830448604</v>
      </c>
    </row>
    <row r="18" spans="1:45" x14ac:dyDescent="0.35">
      <c r="A18" s="169" t="s">
        <v>17</v>
      </c>
      <c r="B18" s="173">
        <v>157.73999999999998</v>
      </c>
      <c r="C18" s="173">
        <v>187.28</v>
      </c>
      <c r="D18" s="173">
        <v>219.02999999999997</v>
      </c>
      <c r="E18" s="173">
        <v>210</v>
      </c>
      <c r="F18" s="173">
        <v>273</v>
      </c>
      <c r="G18" s="172">
        <f t="shared" ref="G18:G20" si="5">IFERROR(C18/E18,"")</f>
        <v>0.89180952380952383</v>
      </c>
      <c r="H18" s="172">
        <f t="shared" ref="H18:H20" si="6">IFERROR(D18/F18,"")</f>
        <v>0.80230769230769217</v>
      </c>
      <c r="I18" s="173">
        <v>29.54000000000002</v>
      </c>
      <c r="J18" s="175">
        <v>0.18727019145429202</v>
      </c>
      <c r="K18" s="156">
        <f t="shared" si="0"/>
        <v>31.749999999999972</v>
      </c>
      <c r="L18" s="174">
        <f t="shared" si="1"/>
        <v>0.16953225117471149</v>
      </c>
    </row>
    <row r="19" spans="1:45" x14ac:dyDescent="0.35">
      <c r="A19" s="169" t="s">
        <v>18</v>
      </c>
      <c r="B19" s="173">
        <v>0.66000000000000014</v>
      </c>
      <c r="C19" s="173">
        <v>0.63000000000000012</v>
      </c>
      <c r="D19" s="173">
        <v>0.56000000000000005</v>
      </c>
      <c r="E19" s="173">
        <v>17</v>
      </c>
      <c r="F19" s="173">
        <v>16</v>
      </c>
      <c r="G19" s="172">
        <f t="shared" si="5"/>
        <v>3.7058823529411769E-2</v>
      </c>
      <c r="H19" s="172">
        <f t="shared" si="6"/>
        <v>3.5000000000000003E-2</v>
      </c>
      <c r="I19" s="156">
        <v>-3.0000000000000027E-2</v>
      </c>
      <c r="J19" s="174">
        <v>-4.5454545454545525E-2</v>
      </c>
      <c r="K19" s="156">
        <f t="shared" si="0"/>
        <v>-7.0000000000000062E-2</v>
      </c>
      <c r="L19" s="174">
        <f t="shared" si="1"/>
        <v>-0.11111111111111116</v>
      </c>
    </row>
    <row r="20" spans="1:45" x14ac:dyDescent="0.35">
      <c r="A20" s="169" t="s">
        <v>19</v>
      </c>
      <c r="B20" s="173">
        <v>236.88000000000002</v>
      </c>
      <c r="C20" s="173">
        <v>271.34999999999991</v>
      </c>
      <c r="D20" s="173">
        <v>271.25999999999993</v>
      </c>
      <c r="E20" s="173">
        <v>490</v>
      </c>
      <c r="F20" s="173">
        <v>559</v>
      </c>
      <c r="G20" s="172">
        <f t="shared" si="5"/>
        <v>0.55377551020408144</v>
      </c>
      <c r="H20" s="172">
        <f t="shared" si="6"/>
        <v>0.48525939177101957</v>
      </c>
      <c r="I20" s="173">
        <v>34.469999999999885</v>
      </c>
      <c r="J20" s="175">
        <v>0.14551671732522742</v>
      </c>
      <c r="K20" s="156">
        <f t="shared" si="0"/>
        <v>-8.9999999999974989E-2</v>
      </c>
      <c r="L20" s="174">
        <f t="shared" si="1"/>
        <v>-3.3167495854058426E-4</v>
      </c>
    </row>
    <row r="21" spans="1:45" x14ac:dyDescent="0.35">
      <c r="A21" s="153" t="s">
        <v>20</v>
      </c>
      <c r="B21" s="162"/>
      <c r="C21" s="162">
        <v>7.0000000000000007E-2</v>
      </c>
      <c r="D21" s="162"/>
      <c r="E21" s="162"/>
      <c r="F21" s="162"/>
      <c r="G21" s="275" t="str">
        <f>IFERROR(C21/E21,"")</f>
        <v/>
      </c>
      <c r="H21" s="275" t="str">
        <f>IFERROR(D21/F21,"")</f>
        <v/>
      </c>
      <c r="I21" s="162">
        <v>7.0000000000000007E-2</v>
      </c>
      <c r="J21" s="163" t="s">
        <v>41</v>
      </c>
      <c r="K21" s="154">
        <f t="shared" si="0"/>
        <v>-7.0000000000000007E-2</v>
      </c>
      <c r="L21" s="155">
        <f t="shared" si="1"/>
        <v>-1</v>
      </c>
    </row>
    <row r="22" spans="1:45" x14ac:dyDescent="0.35">
      <c r="A22" s="169" t="s">
        <v>20</v>
      </c>
      <c r="B22" s="173"/>
      <c r="C22" s="173">
        <v>7.0000000000000007E-2</v>
      </c>
      <c r="D22" s="176">
        <v>0</v>
      </c>
      <c r="E22" s="176"/>
      <c r="F22" s="176"/>
      <c r="G22" s="172" t="str">
        <f t="shared" ref="G22" si="7">IFERROR(C22/E22,"")</f>
        <v/>
      </c>
      <c r="H22" s="172" t="str">
        <f t="shared" ref="H22" si="8">IFERROR(D22/F22,"")</f>
        <v/>
      </c>
      <c r="I22" s="156">
        <v>7.0000000000000007E-2</v>
      </c>
      <c r="J22" s="175" t="s">
        <v>41</v>
      </c>
      <c r="K22" s="156">
        <f t="shared" si="0"/>
        <v>-7.0000000000000007E-2</v>
      </c>
      <c r="L22" s="174">
        <f t="shared" si="1"/>
        <v>-1</v>
      </c>
    </row>
    <row r="23" spans="1:45" x14ac:dyDescent="0.35">
      <c r="A23" s="153" t="s">
        <v>23</v>
      </c>
      <c r="B23" s="162">
        <v>0.43000000000000005</v>
      </c>
      <c r="C23" s="162">
        <v>2.02</v>
      </c>
      <c r="D23" s="162">
        <v>2</v>
      </c>
      <c r="E23" s="162">
        <v>1</v>
      </c>
      <c r="F23" s="162"/>
      <c r="G23" s="275">
        <f>IFERROR(C23/E23,"")</f>
        <v>2.02</v>
      </c>
      <c r="H23" s="275" t="str">
        <f>IFERROR(D23/F23,"")</f>
        <v/>
      </c>
      <c r="I23" s="162">
        <v>1.5899999999999999</v>
      </c>
      <c r="J23" s="163">
        <v>3.6976744186046506</v>
      </c>
      <c r="K23" s="154">
        <f t="shared" si="0"/>
        <v>-2.0000000000000018E-2</v>
      </c>
      <c r="L23" s="155">
        <f t="shared" si="1"/>
        <v>-9.9009900990099098E-3</v>
      </c>
    </row>
    <row r="24" spans="1:45" x14ac:dyDescent="0.35">
      <c r="A24" s="169" t="s">
        <v>26</v>
      </c>
      <c r="B24" s="173">
        <v>0.43000000000000005</v>
      </c>
      <c r="C24" s="173">
        <v>2.02</v>
      </c>
      <c r="D24" s="176">
        <v>2</v>
      </c>
      <c r="E24" s="176">
        <v>1</v>
      </c>
      <c r="F24" s="176"/>
      <c r="G24" s="172">
        <f t="shared" ref="G24" si="9">IFERROR(C24/E24,"")</f>
        <v>2.02</v>
      </c>
      <c r="H24" s="172" t="str">
        <f t="shared" ref="H24" si="10">IFERROR(D24/F24,"")</f>
        <v/>
      </c>
      <c r="I24" s="173">
        <v>1.5899999999999999</v>
      </c>
      <c r="J24" s="175">
        <v>3.6976744186046506</v>
      </c>
      <c r="K24" s="156">
        <f t="shared" si="0"/>
        <v>-2.0000000000000018E-2</v>
      </c>
      <c r="L24" s="174">
        <f t="shared" si="1"/>
        <v>-9.9009900990099098E-3</v>
      </c>
    </row>
    <row r="25" spans="1:45" x14ac:dyDescent="0.35">
      <c r="A25" s="153" t="s">
        <v>35</v>
      </c>
      <c r="B25" s="162">
        <v>0.47</v>
      </c>
      <c r="C25" s="162">
        <v>0.29000000000000004</v>
      </c>
      <c r="D25" s="162">
        <v>0.77</v>
      </c>
      <c r="E25" s="162">
        <v>7</v>
      </c>
      <c r="F25" s="162">
        <v>7</v>
      </c>
      <c r="G25" s="275">
        <f>IFERROR(C25/E25,"")</f>
        <v>4.1428571428571433E-2</v>
      </c>
      <c r="H25" s="275">
        <f>IFERROR(D25/F25,"")</f>
        <v>0.11</v>
      </c>
      <c r="I25" s="154">
        <v>-0.17999999999999994</v>
      </c>
      <c r="J25" s="155">
        <v>-0.38297872340425521</v>
      </c>
      <c r="K25" s="162">
        <f t="shared" si="0"/>
        <v>0.48</v>
      </c>
      <c r="L25" s="163">
        <f t="shared" si="1"/>
        <v>1.6551724137931032</v>
      </c>
    </row>
    <row r="26" spans="1:45" x14ac:dyDescent="0.35">
      <c r="A26" s="169" t="s">
        <v>35</v>
      </c>
      <c r="B26" s="173">
        <v>0.47</v>
      </c>
      <c r="C26" s="173">
        <v>0.29000000000000004</v>
      </c>
      <c r="D26" s="173">
        <v>0.77</v>
      </c>
      <c r="E26" s="173">
        <v>7</v>
      </c>
      <c r="F26" s="173">
        <v>7</v>
      </c>
      <c r="G26" s="172">
        <f t="shared" ref="G26" si="11">IFERROR(C26/E26,"")</f>
        <v>4.1428571428571433E-2</v>
      </c>
      <c r="H26" s="172">
        <f t="shared" ref="H26" si="12">IFERROR(D26/F26,"")</f>
        <v>0.11</v>
      </c>
      <c r="I26" s="156">
        <v>-0.17999999999999994</v>
      </c>
      <c r="J26" s="174">
        <v>-0.38297872340425521</v>
      </c>
      <c r="K26" s="156">
        <f t="shared" si="0"/>
        <v>0.48</v>
      </c>
      <c r="L26" s="174">
        <f t="shared" si="1"/>
        <v>1.6551724137931032</v>
      </c>
    </row>
    <row r="27" spans="1:45" x14ac:dyDescent="0.35">
      <c r="A27" s="153" t="s">
        <v>139</v>
      </c>
      <c r="B27" s="162"/>
      <c r="C27" s="162">
        <v>1.26</v>
      </c>
      <c r="D27" s="162"/>
      <c r="E27" s="162">
        <v>12</v>
      </c>
      <c r="F27" s="162">
        <v>12</v>
      </c>
      <c r="G27" s="275">
        <f>IFERROR(C27/E27,"")</f>
        <v>0.105</v>
      </c>
      <c r="H27" s="275">
        <f>IFERROR(D27/F27,"")</f>
        <v>0</v>
      </c>
      <c r="I27" s="154"/>
      <c r="J27" s="155"/>
      <c r="K27" s="162"/>
      <c r="L27" s="163"/>
    </row>
    <row r="28" spans="1:45" x14ac:dyDescent="0.35">
      <c r="A28" s="147" t="s">
        <v>37</v>
      </c>
      <c r="B28" s="173"/>
      <c r="C28" s="173">
        <v>1.1000000000000001</v>
      </c>
      <c r="D28" s="173"/>
      <c r="E28" s="173">
        <v>11</v>
      </c>
      <c r="F28" s="173">
        <v>11</v>
      </c>
      <c r="G28" s="172">
        <f t="shared" ref="G28:G29" si="13">IFERROR(C28/E28,"")</f>
        <v>0.1</v>
      </c>
      <c r="H28" s="172">
        <f t="shared" ref="H28:H29" si="14">IFERROR(D28/F28,"")</f>
        <v>0</v>
      </c>
      <c r="I28" s="156"/>
      <c r="J28" s="174"/>
      <c r="K28" s="156"/>
      <c r="L28" s="174"/>
    </row>
    <row r="29" spans="1:45" x14ac:dyDescent="0.35">
      <c r="A29" s="147" t="s">
        <v>138</v>
      </c>
      <c r="B29" s="173"/>
      <c r="C29" s="173">
        <v>0.16</v>
      </c>
      <c r="D29" s="173"/>
      <c r="E29" s="173">
        <v>1</v>
      </c>
      <c r="F29" s="173">
        <v>1</v>
      </c>
      <c r="G29" s="172">
        <f t="shared" si="13"/>
        <v>0.16</v>
      </c>
      <c r="H29" s="172">
        <f t="shared" si="14"/>
        <v>0</v>
      </c>
      <c r="I29" s="156"/>
      <c r="J29" s="174"/>
      <c r="K29" s="156"/>
      <c r="L29" s="174"/>
    </row>
    <row r="30" spans="1:45" x14ac:dyDescent="0.35">
      <c r="A30" s="153" t="s">
        <v>39</v>
      </c>
      <c r="B30" s="162">
        <v>856.16</v>
      </c>
      <c r="C30" s="162">
        <v>857.36</v>
      </c>
      <c r="D30" s="162">
        <v>987.67000000000019</v>
      </c>
      <c r="E30" s="162">
        <v>1014</v>
      </c>
      <c r="F30" s="162">
        <v>996</v>
      </c>
      <c r="G30" s="275">
        <f>IFERROR(C30/E30,"")</f>
        <v>0.84552268244575934</v>
      </c>
      <c r="H30" s="275">
        <f>IFERROR(D30/F30,"")</f>
        <v>0.99163654618473918</v>
      </c>
      <c r="I30" s="162">
        <v>1.2000000000000455</v>
      </c>
      <c r="J30" s="163">
        <v>1.4016071762288362E-3</v>
      </c>
      <c r="K30" s="162">
        <f t="shared" si="0"/>
        <v>130.31000000000017</v>
      </c>
      <c r="L30" s="295">
        <f t="shared" si="1"/>
        <v>0.15198982924325866</v>
      </c>
      <c r="AS30" s="282">
        <f>F30/$F$32</f>
        <v>0.3518191451783822</v>
      </c>
    </row>
    <row r="31" spans="1:45" x14ac:dyDescent="0.35">
      <c r="A31" s="169" t="s">
        <v>39</v>
      </c>
      <c r="B31" s="173">
        <v>856.16</v>
      </c>
      <c r="C31" s="173">
        <v>857.36</v>
      </c>
      <c r="D31" s="173">
        <v>987.67000000000019</v>
      </c>
      <c r="E31" s="173">
        <v>1014</v>
      </c>
      <c r="F31" s="173">
        <v>996</v>
      </c>
      <c r="G31" s="172">
        <f t="shared" ref="G31" si="15">IFERROR(C31/E31,"")</f>
        <v>0.84552268244575934</v>
      </c>
      <c r="H31" s="172">
        <f t="shared" ref="H31" si="16">IFERROR(D31/F31,"")</f>
        <v>0.99163654618473918</v>
      </c>
      <c r="I31" s="156">
        <v>1.2000000000000455</v>
      </c>
      <c r="J31" s="174">
        <v>1.4016071762288362E-3</v>
      </c>
      <c r="K31" s="156">
        <f t="shared" si="0"/>
        <v>130.31000000000017</v>
      </c>
      <c r="L31" s="174">
        <f t="shared" si="1"/>
        <v>0.15198982924325866</v>
      </c>
    </row>
    <row r="32" spans="1:45" x14ac:dyDescent="0.35">
      <c r="A32" s="168" t="s">
        <v>40</v>
      </c>
      <c r="B32" s="142">
        <v>1889.5</v>
      </c>
      <c r="C32" s="142">
        <v>2073.42</v>
      </c>
      <c r="D32" s="142">
        <f>SUM(D9,D17,D23,D25,D30)</f>
        <v>2335.0500000000002</v>
      </c>
      <c r="E32" s="142">
        <v>2628</v>
      </c>
      <c r="F32" s="142">
        <v>2831</v>
      </c>
      <c r="G32" s="278">
        <f>IFERROR(C32/E32,"")</f>
        <v>0.78897260273972603</v>
      </c>
      <c r="H32" s="278">
        <f>IFERROR(D32/F32,"")</f>
        <v>0.82481455316142716</v>
      </c>
      <c r="I32" s="149">
        <v>183.92000000000007</v>
      </c>
      <c r="J32" s="144">
        <v>9.7337920084678453E-2</v>
      </c>
      <c r="K32" s="146">
        <f t="shared" si="0"/>
        <v>261.63000000000011</v>
      </c>
      <c r="L32" s="144">
        <f t="shared" si="1"/>
        <v>0.12618282837051842</v>
      </c>
    </row>
    <row r="33" spans="12:12" x14ac:dyDescent="0.35">
      <c r="L33" s="145"/>
    </row>
  </sheetData>
  <mergeCells count="6">
    <mergeCell ref="B7:D7"/>
    <mergeCell ref="I7:J7"/>
    <mergeCell ref="K7:L7"/>
    <mergeCell ref="A7:A8"/>
    <mergeCell ref="E7:F7"/>
    <mergeCell ref="G7:H7"/>
  </mergeCells>
  <conditionalFormatting sqref="L10:L16 L18:L20 L22 L24 L26 L31 L33 L28:L29">
    <cfRule type="cellIs" dxfId="22" priority="13" operator="lessThan">
      <formula>0</formula>
    </cfRule>
  </conditionalFormatting>
  <conditionalFormatting sqref="J19">
    <cfRule type="cellIs" dxfId="21" priority="25" operator="lessThan">
      <formula>0</formula>
    </cfRule>
  </conditionalFormatting>
  <conditionalFormatting sqref="J26 J28:J29">
    <cfRule type="cellIs" dxfId="20" priority="24" operator="lessThan">
      <formula>0</formula>
    </cfRule>
  </conditionalFormatting>
  <conditionalFormatting sqref="J10:J16">
    <cfRule type="cellIs" dxfId="19" priority="26" operator="lessThan">
      <formula>0</formula>
    </cfRule>
  </conditionalFormatting>
  <conditionalFormatting sqref="J31">
    <cfRule type="cellIs" dxfId="18" priority="23" operator="lessThan">
      <formula>0</formula>
    </cfRule>
  </conditionalFormatting>
  <conditionalFormatting sqref="I10:I16">
    <cfRule type="cellIs" dxfId="17" priority="22" operator="lessThan">
      <formula>0</formula>
    </cfRule>
  </conditionalFormatting>
  <conditionalFormatting sqref="I19">
    <cfRule type="cellIs" dxfId="16" priority="21" operator="lessThan">
      <formula>0</formula>
    </cfRule>
  </conditionalFormatting>
  <conditionalFormatting sqref="I22">
    <cfRule type="cellIs" dxfId="15" priority="20" operator="lessThan">
      <formula>0</formula>
    </cfRule>
  </conditionalFormatting>
  <conditionalFormatting sqref="J9">
    <cfRule type="cellIs" dxfId="14" priority="12" operator="lessThan">
      <formula>0</formula>
    </cfRule>
  </conditionalFormatting>
  <conditionalFormatting sqref="I26 I28:I29">
    <cfRule type="cellIs" dxfId="13" priority="18" operator="lessThan">
      <formula>0</formula>
    </cfRule>
  </conditionalFormatting>
  <conditionalFormatting sqref="I31">
    <cfRule type="cellIs" dxfId="12" priority="17" operator="lessThan">
      <formula>0</formula>
    </cfRule>
  </conditionalFormatting>
  <conditionalFormatting sqref="K10:K16 K18:K20 K22 K24 K26 K31 K28:K29">
    <cfRule type="cellIs" dxfId="11" priority="14" operator="lessThan">
      <formula>0</formula>
    </cfRule>
  </conditionalFormatting>
  <conditionalFormatting sqref="J32">
    <cfRule type="cellIs" dxfId="10" priority="10" operator="lessThan">
      <formula>0</formula>
    </cfRule>
  </conditionalFormatting>
  <conditionalFormatting sqref="I32">
    <cfRule type="cellIs" dxfId="9" priority="11" operator="lessThan">
      <formula>0</formula>
    </cfRule>
  </conditionalFormatting>
  <conditionalFormatting sqref="L32">
    <cfRule type="cellIs" dxfId="8" priority="9" operator="lessThan">
      <formula>0</formula>
    </cfRule>
  </conditionalFormatting>
  <conditionalFormatting sqref="K21">
    <cfRule type="cellIs" dxfId="7" priority="8" operator="lessThan">
      <formula>0</formula>
    </cfRule>
  </conditionalFormatting>
  <conditionalFormatting sqref="K23">
    <cfRule type="cellIs" dxfId="6" priority="7" operator="lessThan">
      <formula>0</formula>
    </cfRule>
  </conditionalFormatting>
  <conditionalFormatting sqref="I25">
    <cfRule type="cellIs" dxfId="5" priority="6" operator="lessThan">
      <formula>0</formula>
    </cfRule>
  </conditionalFormatting>
  <conditionalFormatting sqref="J25">
    <cfRule type="cellIs" dxfId="4" priority="5" operator="lessThan">
      <formula>0</formula>
    </cfRule>
  </conditionalFormatting>
  <conditionalFormatting sqref="L23">
    <cfRule type="cellIs" dxfId="3" priority="4" operator="lessThan">
      <formula>0</formula>
    </cfRule>
  </conditionalFormatting>
  <conditionalFormatting sqref="L21">
    <cfRule type="cellIs" dxfId="2" priority="3" operator="lessThan">
      <formula>0</formula>
    </cfRule>
  </conditionalFormatting>
  <conditionalFormatting sqref="I27">
    <cfRule type="cellIs" dxfId="1" priority="2" operator="lessThan">
      <formula>0</formula>
    </cfRule>
  </conditionalFormatting>
  <conditionalFormatting sqref="J27">
    <cfRule type="cellIs" dxfId="0" priority="1" operator="lessThan">
      <formula>0</formula>
    </cfRule>
  </conditionalFormatting>
  <hyperlinks>
    <hyperlink ref="B1" location="ÍNDICE!A1" display="ÍNDICE!A1" xr:uid="{EF082003-CB41-4A9C-A496-13ED45F1B2B2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autoPageBreaks="0"/>
  </sheetPr>
  <dimension ref="A1:AA78"/>
  <sheetViews>
    <sheetView topLeftCell="A53" zoomScale="85" zoomScaleNormal="85" workbookViewId="0">
      <pane xSplit="1" topLeftCell="AD1" activePane="topRight" state="frozen"/>
      <selection pane="topRight" activeCell="B42" sqref="B42"/>
    </sheetView>
  </sheetViews>
  <sheetFormatPr baseColWidth="10" defaultRowHeight="14.5" x14ac:dyDescent="0.35"/>
  <cols>
    <col min="1" max="1" width="25.54296875" customWidth="1"/>
    <col min="2" max="24" width="10.26953125" customWidth="1"/>
    <col min="25" max="25" width="17" bestFit="1" customWidth="1"/>
    <col min="26" max="26" width="15.54296875" customWidth="1"/>
    <col min="27" max="27" width="14.26953125" customWidth="1"/>
  </cols>
  <sheetData>
    <row r="1" spans="1:27" ht="21" x14ac:dyDescent="0.5">
      <c r="A1" s="337" t="s">
        <v>80</v>
      </c>
      <c r="B1" s="338" t="s">
        <v>79</v>
      </c>
      <c r="F1" s="337"/>
      <c r="G1" s="338"/>
    </row>
    <row r="3" spans="1:27" ht="18.5" x14ac:dyDescent="0.45">
      <c r="A3" s="49" t="s">
        <v>64</v>
      </c>
      <c r="D3" s="50"/>
      <c r="E3" s="48"/>
    </row>
    <row r="4" spans="1:27" ht="31" x14ac:dyDescent="0.35">
      <c r="A4" s="264" t="s">
        <v>134</v>
      </c>
      <c r="B4" s="177" t="s">
        <v>74</v>
      </c>
      <c r="C4" s="177">
        <v>2000</v>
      </c>
      <c r="D4" s="177">
        <v>2001</v>
      </c>
      <c r="E4" s="177">
        <v>2002</v>
      </c>
      <c r="F4" s="177">
        <v>2003</v>
      </c>
      <c r="G4" s="177">
        <v>2004</v>
      </c>
      <c r="H4" s="177">
        <v>2005</v>
      </c>
      <c r="I4" s="177">
        <v>2006</v>
      </c>
      <c r="J4" s="177">
        <v>2007</v>
      </c>
      <c r="K4" s="177">
        <v>2008</v>
      </c>
      <c r="L4" s="177">
        <v>2009</v>
      </c>
      <c r="M4" s="177">
        <v>2010</v>
      </c>
      <c r="N4" s="177">
        <v>2011</v>
      </c>
      <c r="O4" s="177">
        <v>2012</v>
      </c>
      <c r="P4" s="177">
        <v>2013</v>
      </c>
      <c r="Q4" s="177">
        <v>2014</v>
      </c>
      <c r="R4" s="177">
        <v>2015</v>
      </c>
      <c r="S4" s="177">
        <v>2016</v>
      </c>
      <c r="T4" s="177">
        <v>2017</v>
      </c>
      <c r="U4" s="177">
        <v>2018</v>
      </c>
      <c r="V4" s="177">
        <v>2019</v>
      </c>
      <c r="W4" s="177">
        <v>2020</v>
      </c>
      <c r="X4" s="177">
        <v>2021</v>
      </c>
      <c r="Y4" s="264" t="s">
        <v>75</v>
      </c>
      <c r="Z4" s="264" t="s">
        <v>73</v>
      </c>
      <c r="AA4" s="178" t="s">
        <v>76</v>
      </c>
    </row>
    <row r="5" spans="1:27" x14ac:dyDescent="0.35">
      <c r="A5" s="179" t="s">
        <v>6</v>
      </c>
      <c r="B5" s="180">
        <f>SUM(B6:B13)</f>
        <v>13532.820000000002</v>
      </c>
      <c r="C5" s="180">
        <f t="shared" ref="C5:Z5" si="0">SUM(C6:C13)</f>
        <v>3333.6299999999997</v>
      </c>
      <c r="D5" s="180">
        <f t="shared" si="0"/>
        <v>1122.02</v>
      </c>
      <c r="E5" s="180">
        <f t="shared" si="0"/>
        <v>1369.5199999999998</v>
      </c>
      <c r="F5" s="180">
        <f t="shared" si="0"/>
        <v>1684.5899999999995</v>
      </c>
      <c r="G5" s="180">
        <f t="shared" si="0"/>
        <v>2530.7600000000002</v>
      </c>
      <c r="H5" s="180">
        <f t="shared" si="0"/>
        <v>3548.8999999999992</v>
      </c>
      <c r="I5" s="180">
        <f t="shared" si="0"/>
        <v>3901.0299999999988</v>
      </c>
      <c r="J5" s="180">
        <f t="shared" si="0"/>
        <v>2236.5300000000016</v>
      </c>
      <c r="K5" s="180">
        <f t="shared" si="0"/>
        <v>1965.04</v>
      </c>
      <c r="L5" s="180">
        <f t="shared" si="0"/>
        <v>1218.23</v>
      </c>
      <c r="M5" s="180">
        <f t="shared" si="0"/>
        <v>1496.54</v>
      </c>
      <c r="N5" s="180">
        <f t="shared" si="0"/>
        <v>824.45</v>
      </c>
      <c r="O5" s="180">
        <f t="shared" si="0"/>
        <v>705.68000000000018</v>
      </c>
      <c r="P5" s="180">
        <f t="shared" si="0"/>
        <v>899.34999999999991</v>
      </c>
      <c r="Q5" s="180">
        <f t="shared" si="0"/>
        <v>584.56000000000017</v>
      </c>
      <c r="R5" s="180">
        <f t="shared" si="0"/>
        <v>907.95</v>
      </c>
      <c r="S5" s="180">
        <f t="shared" si="0"/>
        <v>965.74</v>
      </c>
      <c r="T5" s="180">
        <f t="shared" si="0"/>
        <v>1403.31</v>
      </c>
      <c r="U5" s="180">
        <f t="shared" si="0"/>
        <v>2460.7499999999995</v>
      </c>
      <c r="V5" s="180">
        <f t="shared" si="0"/>
        <v>1743.2900000000004</v>
      </c>
      <c r="W5" s="180">
        <f t="shared" si="0"/>
        <v>1496.78</v>
      </c>
      <c r="X5" s="180">
        <f t="shared" si="0"/>
        <v>1430.6999999999998</v>
      </c>
      <c r="Y5" s="180">
        <f t="shared" si="0"/>
        <v>36.430000000000007</v>
      </c>
      <c r="Z5" s="180">
        <f t="shared" si="0"/>
        <v>51398.600000000006</v>
      </c>
      <c r="AA5" s="181">
        <f t="shared" ref="AA5:AA33" si="1">Z5/$Z$38</f>
        <v>0.4755430081153536</v>
      </c>
    </row>
    <row r="6" spans="1:27" x14ac:dyDescent="0.35">
      <c r="A6" s="147" t="s">
        <v>7</v>
      </c>
      <c r="B6" s="156">
        <v>855.47</v>
      </c>
      <c r="C6" s="156">
        <v>211.06999999999996</v>
      </c>
      <c r="D6" s="156">
        <v>92.23</v>
      </c>
      <c r="E6" s="156">
        <v>25.890000000000004</v>
      </c>
      <c r="F6" s="156">
        <v>77.27</v>
      </c>
      <c r="G6" s="156">
        <v>157.67999999999998</v>
      </c>
      <c r="H6" s="156">
        <v>157.44999999999999</v>
      </c>
      <c r="I6" s="156">
        <v>29.259999999999998</v>
      </c>
      <c r="J6" s="156">
        <v>52.489999999999995</v>
      </c>
      <c r="K6" s="156">
        <v>43.42</v>
      </c>
      <c r="L6" s="156">
        <v>25.72</v>
      </c>
      <c r="M6" s="156">
        <v>86.72999999999999</v>
      </c>
      <c r="N6" s="156">
        <v>31.07</v>
      </c>
      <c r="O6" s="156">
        <v>51.53</v>
      </c>
      <c r="P6" s="156">
        <v>36.93</v>
      </c>
      <c r="Q6" s="156">
        <v>25.790000000000003</v>
      </c>
      <c r="R6" s="156">
        <v>31.23</v>
      </c>
      <c r="S6" s="156">
        <v>28.84</v>
      </c>
      <c r="T6" s="156">
        <v>42.73</v>
      </c>
      <c r="U6" s="156">
        <v>60.75</v>
      </c>
      <c r="V6" s="156">
        <v>49.949999999999996</v>
      </c>
      <c r="W6" s="156">
        <v>4.59</v>
      </c>
      <c r="X6" s="156">
        <v>4.28</v>
      </c>
      <c r="Y6" s="156">
        <v>2.0500000000000003</v>
      </c>
      <c r="Z6" s="156">
        <f>SUM(B6:Y6)</f>
        <v>2184.4200000000005</v>
      </c>
      <c r="AA6" s="182">
        <f t="shared" si="1"/>
        <v>2.0210388177641821E-2</v>
      </c>
    </row>
    <row r="7" spans="1:27" x14ac:dyDescent="0.35">
      <c r="A7" s="147" t="s">
        <v>8</v>
      </c>
      <c r="B7" s="156">
        <v>404.61999999999972</v>
      </c>
      <c r="C7" s="156">
        <v>91.18</v>
      </c>
      <c r="D7" s="156">
        <v>9.89</v>
      </c>
      <c r="E7" s="156">
        <v>113.03999999999999</v>
      </c>
      <c r="F7" s="156">
        <v>71.45</v>
      </c>
      <c r="G7" s="156">
        <v>28.700000000000003</v>
      </c>
      <c r="H7" s="156">
        <v>44.47</v>
      </c>
      <c r="I7" s="156">
        <v>30.9</v>
      </c>
      <c r="J7" s="156">
        <v>29.049999999999997</v>
      </c>
      <c r="K7" s="156">
        <v>49.389999999999993</v>
      </c>
      <c r="L7" s="156">
        <v>32.5</v>
      </c>
      <c r="M7" s="156">
        <v>31.399999999999995</v>
      </c>
      <c r="N7" s="156">
        <v>1.78</v>
      </c>
      <c r="O7" s="156">
        <v>12.81</v>
      </c>
      <c r="P7" s="156">
        <v>0.66</v>
      </c>
      <c r="Q7" s="156">
        <v>16.46</v>
      </c>
      <c r="R7" s="156">
        <v>5.12</v>
      </c>
      <c r="S7" s="156">
        <v>0.16</v>
      </c>
      <c r="T7" s="156">
        <v>7.2900000000000009</v>
      </c>
      <c r="U7" s="156">
        <v>41.970000000000006</v>
      </c>
      <c r="V7" s="156">
        <v>16.02</v>
      </c>
      <c r="W7" s="156">
        <v>4.5</v>
      </c>
      <c r="X7" s="156"/>
      <c r="Y7" s="156">
        <v>0.16</v>
      </c>
      <c r="Z7" s="156">
        <v>1043.5199999999998</v>
      </c>
      <c r="AA7" s="182">
        <f t="shared" si="1"/>
        <v>9.6547112144792589E-3</v>
      </c>
    </row>
    <row r="8" spans="1:27" x14ac:dyDescent="0.35">
      <c r="A8" s="147" t="s">
        <v>9</v>
      </c>
      <c r="B8" s="156">
        <v>1962.4000000000008</v>
      </c>
      <c r="C8" s="156">
        <v>908.54</v>
      </c>
      <c r="D8" s="156">
        <v>186.31000000000009</v>
      </c>
      <c r="E8" s="156">
        <v>352.00999999999982</v>
      </c>
      <c r="F8" s="156">
        <v>372.52</v>
      </c>
      <c r="G8" s="156">
        <v>679.74999999999989</v>
      </c>
      <c r="H8" s="156">
        <v>887.03999999999974</v>
      </c>
      <c r="I8" s="156">
        <v>1960.0799999999997</v>
      </c>
      <c r="J8" s="156">
        <v>847.71000000000026</v>
      </c>
      <c r="K8" s="156">
        <v>295.14999999999998</v>
      </c>
      <c r="L8" s="156">
        <v>265.20999999999992</v>
      </c>
      <c r="M8" s="156">
        <v>330.10000000000008</v>
      </c>
      <c r="N8" s="156">
        <v>186.48</v>
      </c>
      <c r="O8" s="156">
        <v>145.44000000000003</v>
      </c>
      <c r="P8" s="156">
        <v>348.07</v>
      </c>
      <c r="Q8" s="156">
        <v>110.28</v>
      </c>
      <c r="R8" s="156">
        <v>194.56000000000003</v>
      </c>
      <c r="S8" s="156">
        <v>219.53</v>
      </c>
      <c r="T8" s="156">
        <v>287.32000000000005</v>
      </c>
      <c r="U8" s="156">
        <v>482.4</v>
      </c>
      <c r="V8" s="156">
        <v>406.08000000000004</v>
      </c>
      <c r="W8" s="156">
        <v>228.96</v>
      </c>
      <c r="X8" s="156">
        <v>299.91000000000003</v>
      </c>
      <c r="Y8" s="156">
        <v>0.55000000000000004</v>
      </c>
      <c r="Z8" s="156">
        <v>11956.399999999998</v>
      </c>
      <c r="AA8" s="182">
        <f t="shared" si="1"/>
        <v>0.11062134809567599</v>
      </c>
    </row>
    <row r="9" spans="1:27" x14ac:dyDescent="0.35">
      <c r="A9" s="147" t="s">
        <v>10</v>
      </c>
      <c r="B9" s="156">
        <v>198.64000000000013</v>
      </c>
      <c r="C9" s="156">
        <v>3.8200000000000003</v>
      </c>
      <c r="D9" s="156">
        <v>0.53</v>
      </c>
      <c r="E9" s="156">
        <v>0.71</v>
      </c>
      <c r="F9" s="156">
        <v>0.62</v>
      </c>
      <c r="G9" s="156">
        <v>4.05</v>
      </c>
      <c r="H9" s="156">
        <v>1.78</v>
      </c>
      <c r="I9" s="156"/>
      <c r="J9" s="156">
        <v>0.31</v>
      </c>
      <c r="K9" s="156">
        <v>0.02</v>
      </c>
      <c r="L9" s="156">
        <v>0.69000000000000006</v>
      </c>
      <c r="M9" s="156">
        <v>0.03</v>
      </c>
      <c r="N9" s="156">
        <v>0.36000000000000004</v>
      </c>
      <c r="O9" s="156">
        <v>0.09</v>
      </c>
      <c r="P9" s="156">
        <v>0.03</v>
      </c>
      <c r="Q9" s="156">
        <v>0.36</v>
      </c>
      <c r="R9" s="156">
        <v>0.74</v>
      </c>
      <c r="S9" s="156"/>
      <c r="T9" s="156">
        <v>0.18</v>
      </c>
      <c r="U9" s="156"/>
      <c r="V9" s="156"/>
      <c r="W9" s="156"/>
      <c r="X9" s="156"/>
      <c r="Y9" s="156">
        <v>1.3500000000000003</v>
      </c>
      <c r="Z9" s="156">
        <v>214.3100000000002</v>
      </c>
      <c r="AA9" s="182">
        <f t="shared" si="1"/>
        <v>1.9828092996541057E-3</v>
      </c>
    </row>
    <row r="10" spans="1:27" x14ac:dyDescent="0.35">
      <c r="A10" s="147" t="s">
        <v>11</v>
      </c>
      <c r="B10" s="156">
        <v>2198.2999999999997</v>
      </c>
      <c r="C10" s="156">
        <v>339.15</v>
      </c>
      <c r="D10" s="156">
        <v>399.32000000000005</v>
      </c>
      <c r="E10" s="156">
        <v>103.82</v>
      </c>
      <c r="F10" s="156">
        <v>114.97</v>
      </c>
      <c r="G10" s="156">
        <v>463.97</v>
      </c>
      <c r="H10" s="156">
        <v>327.64999999999992</v>
      </c>
      <c r="I10" s="156">
        <v>159.29000000000005</v>
      </c>
      <c r="J10" s="156">
        <v>197.54000000000002</v>
      </c>
      <c r="K10" s="156">
        <v>824.1400000000001</v>
      </c>
      <c r="L10" s="156">
        <v>312.96999999999997</v>
      </c>
      <c r="M10" s="156">
        <v>177.67</v>
      </c>
      <c r="N10" s="156">
        <v>128.85999999999999</v>
      </c>
      <c r="O10" s="156">
        <v>35.93</v>
      </c>
      <c r="P10" s="156">
        <v>236.43999999999997</v>
      </c>
      <c r="Q10" s="156">
        <v>112.94999999999999</v>
      </c>
      <c r="R10" s="156">
        <v>329.91999999999996</v>
      </c>
      <c r="S10" s="156">
        <v>268.95999999999998</v>
      </c>
      <c r="T10" s="156">
        <v>109.22</v>
      </c>
      <c r="U10" s="156">
        <v>264.84000000000003</v>
      </c>
      <c r="V10" s="156">
        <v>64.27000000000001</v>
      </c>
      <c r="W10" s="156">
        <v>345.59000000000003</v>
      </c>
      <c r="X10" s="156">
        <v>141.80000000000001</v>
      </c>
      <c r="Y10" s="156">
        <v>27.850000000000005</v>
      </c>
      <c r="Z10" s="156">
        <v>7685.4200000000019</v>
      </c>
      <c r="AA10" s="182">
        <f t="shared" si="1"/>
        <v>7.1105978478594775E-2</v>
      </c>
    </row>
    <row r="11" spans="1:27" x14ac:dyDescent="0.35">
      <c r="A11" s="147" t="s">
        <v>12</v>
      </c>
      <c r="B11" s="156">
        <v>0.16999999999999998</v>
      </c>
      <c r="C11" s="156">
        <v>0.46</v>
      </c>
      <c r="D11" s="156"/>
      <c r="E11" s="156"/>
      <c r="F11" s="156"/>
      <c r="G11" s="156"/>
      <c r="H11" s="156"/>
      <c r="I11" s="156"/>
      <c r="J11" s="156"/>
      <c r="K11" s="156">
        <v>0.34</v>
      </c>
      <c r="L11" s="156">
        <v>0.01</v>
      </c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>
        <v>0.02</v>
      </c>
      <c r="Z11" s="156">
        <v>1</v>
      </c>
      <c r="AA11" s="182">
        <f t="shared" si="1"/>
        <v>9.2520614980827007E-6</v>
      </c>
    </row>
    <row r="12" spans="1:27" x14ac:dyDescent="0.35">
      <c r="A12" s="147" t="s">
        <v>13</v>
      </c>
      <c r="B12" s="156">
        <v>884.8799999999992</v>
      </c>
      <c r="C12" s="156">
        <v>127.37999999999998</v>
      </c>
      <c r="D12" s="156">
        <v>11.379999999999999</v>
      </c>
      <c r="E12" s="156">
        <v>19.79</v>
      </c>
      <c r="F12" s="156">
        <v>6.9</v>
      </c>
      <c r="G12" s="156">
        <v>22.81</v>
      </c>
      <c r="H12" s="156">
        <v>27.609999999999996</v>
      </c>
      <c r="I12" s="156">
        <v>0.94</v>
      </c>
      <c r="J12" s="156">
        <v>4.25</v>
      </c>
      <c r="K12" s="156">
        <v>17.649999999999999</v>
      </c>
      <c r="L12" s="156">
        <v>27.830000000000002</v>
      </c>
      <c r="M12" s="156">
        <v>30.819999999999997</v>
      </c>
      <c r="N12" s="156">
        <v>3.08</v>
      </c>
      <c r="O12" s="156">
        <v>10.009999999999998</v>
      </c>
      <c r="P12" s="156">
        <v>5.94</v>
      </c>
      <c r="Q12" s="156">
        <v>19.070000000000004</v>
      </c>
      <c r="R12" s="156">
        <v>45.470000000000013</v>
      </c>
      <c r="S12" s="156">
        <v>22.71</v>
      </c>
      <c r="T12" s="156">
        <v>9.0299999999999976</v>
      </c>
      <c r="U12" s="156">
        <v>57.319999999999993</v>
      </c>
      <c r="V12" s="156">
        <v>17.020000000000003</v>
      </c>
      <c r="W12" s="156">
        <v>25.78</v>
      </c>
      <c r="X12" s="156">
        <v>3.4</v>
      </c>
      <c r="Y12" s="156">
        <v>0.58000000000000007</v>
      </c>
      <c r="Z12" s="156">
        <v>1401.649999999999</v>
      </c>
      <c r="AA12" s="182">
        <f t="shared" si="1"/>
        <v>1.2968151998787609E-2</v>
      </c>
    </row>
    <row r="13" spans="1:27" x14ac:dyDescent="0.35">
      <c r="A13" s="147" t="s">
        <v>14</v>
      </c>
      <c r="B13" s="156">
        <v>7028.340000000002</v>
      </c>
      <c r="C13" s="156">
        <v>1652.03</v>
      </c>
      <c r="D13" s="156">
        <v>422.35999999999996</v>
      </c>
      <c r="E13" s="156">
        <v>754.26</v>
      </c>
      <c r="F13" s="156">
        <v>1040.8599999999994</v>
      </c>
      <c r="G13" s="156">
        <v>1173.8000000000006</v>
      </c>
      <c r="H13" s="156">
        <v>2102.8999999999996</v>
      </c>
      <c r="I13" s="156">
        <v>1720.5599999999993</v>
      </c>
      <c r="J13" s="156">
        <v>1105.1800000000014</v>
      </c>
      <c r="K13" s="156">
        <v>734.92999999999984</v>
      </c>
      <c r="L13" s="156">
        <v>553.30000000000007</v>
      </c>
      <c r="M13" s="156">
        <v>839.79</v>
      </c>
      <c r="N13" s="156">
        <v>472.82000000000005</v>
      </c>
      <c r="O13" s="156">
        <v>449.87000000000012</v>
      </c>
      <c r="P13" s="156">
        <v>271.28000000000003</v>
      </c>
      <c r="Q13" s="156">
        <v>299.65000000000009</v>
      </c>
      <c r="R13" s="156">
        <v>300.91000000000003</v>
      </c>
      <c r="S13" s="156">
        <v>425.53999999999991</v>
      </c>
      <c r="T13" s="156">
        <v>947.54</v>
      </c>
      <c r="U13" s="156">
        <v>1553.4699999999996</v>
      </c>
      <c r="V13" s="156">
        <v>1189.9500000000005</v>
      </c>
      <c r="W13" s="156">
        <v>887.3599999999999</v>
      </c>
      <c r="X13" s="156">
        <v>981.31</v>
      </c>
      <c r="Y13" s="156">
        <v>3.8699999999999983</v>
      </c>
      <c r="Z13" s="156">
        <v>26911.880000000008</v>
      </c>
      <c r="AA13" s="182">
        <f t="shared" si="1"/>
        <v>0.24899036878902195</v>
      </c>
    </row>
    <row r="14" spans="1:27" x14ac:dyDescent="0.35">
      <c r="A14" s="179" t="s">
        <v>15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>
        <f t="shared" ref="Y14:Z14" si="2">Y15</f>
        <v>0.18</v>
      </c>
      <c r="Z14" s="180">
        <f t="shared" si="2"/>
        <v>0.18</v>
      </c>
      <c r="AA14" s="181">
        <f t="shared" si="1"/>
        <v>1.6653710696548862E-6</v>
      </c>
    </row>
    <row r="15" spans="1:27" x14ac:dyDescent="0.35">
      <c r="A15" s="147" t="s">
        <v>15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>
        <v>0.18</v>
      </c>
      <c r="Z15" s="156">
        <v>0.18</v>
      </c>
      <c r="AA15" s="182">
        <f t="shared" si="1"/>
        <v>1.6653710696548862E-6</v>
      </c>
    </row>
    <row r="16" spans="1:27" x14ac:dyDescent="0.35">
      <c r="A16" s="179" t="s">
        <v>16</v>
      </c>
      <c r="B16" s="180">
        <f>SUM(B17:B19)</f>
        <v>21637.479999999934</v>
      </c>
      <c r="C16" s="180">
        <f t="shared" ref="C16:Z16" si="3">SUM(C17:C19)</f>
        <v>4739.07</v>
      </c>
      <c r="D16" s="180">
        <f t="shared" si="3"/>
        <v>990.85999999999899</v>
      </c>
      <c r="E16" s="180">
        <f t="shared" si="3"/>
        <v>1060.5900000000004</v>
      </c>
      <c r="F16" s="180">
        <f t="shared" si="3"/>
        <v>989.54000000000019</v>
      </c>
      <c r="G16" s="180">
        <f t="shared" si="3"/>
        <v>1729.439999999998</v>
      </c>
      <c r="H16" s="180">
        <f t="shared" si="3"/>
        <v>2086.599999999999</v>
      </c>
      <c r="I16" s="180">
        <f t="shared" si="3"/>
        <v>952.74000000000024</v>
      </c>
      <c r="J16" s="180">
        <f t="shared" si="3"/>
        <v>961.26999999999919</v>
      </c>
      <c r="K16" s="180">
        <f t="shared" si="3"/>
        <v>1160.3700000000003</v>
      </c>
      <c r="L16" s="180">
        <f t="shared" si="3"/>
        <v>1107.2299999999998</v>
      </c>
      <c r="M16" s="180">
        <f t="shared" si="3"/>
        <v>2004.0300000000011</v>
      </c>
      <c r="N16" s="180">
        <f t="shared" si="3"/>
        <v>777.75999999999988</v>
      </c>
      <c r="O16" s="180">
        <f t="shared" si="3"/>
        <v>896.82000000000028</v>
      </c>
      <c r="P16" s="180">
        <f t="shared" si="3"/>
        <v>748.40000000000032</v>
      </c>
      <c r="Q16" s="180">
        <f t="shared" si="3"/>
        <v>834.5100000000001</v>
      </c>
      <c r="R16" s="180">
        <f t="shared" si="3"/>
        <v>791.75000000000011</v>
      </c>
      <c r="S16" s="180">
        <f t="shared" si="3"/>
        <v>654.24999999999989</v>
      </c>
      <c r="T16" s="180">
        <f t="shared" si="3"/>
        <v>858.6999999999997</v>
      </c>
      <c r="U16" s="180">
        <f t="shared" si="3"/>
        <v>1372.5000000000005</v>
      </c>
      <c r="V16" s="180">
        <f t="shared" si="3"/>
        <v>1050.29</v>
      </c>
      <c r="W16" s="180">
        <f t="shared" si="3"/>
        <v>691.36000000000035</v>
      </c>
      <c r="X16" s="180">
        <f t="shared" si="3"/>
        <v>512.53999999999951</v>
      </c>
      <c r="Y16" s="180">
        <f t="shared" si="3"/>
        <v>85.410000000000039</v>
      </c>
      <c r="Z16" s="180">
        <f t="shared" si="3"/>
        <v>48693.509999999922</v>
      </c>
      <c r="AA16" s="181">
        <f t="shared" si="1"/>
        <v>0.45051534907750429</v>
      </c>
    </row>
    <row r="17" spans="1:27" x14ac:dyDescent="0.35">
      <c r="A17" s="147" t="s">
        <v>17</v>
      </c>
      <c r="B17" s="156">
        <v>2185.2500000000018</v>
      </c>
      <c r="C17" s="156">
        <v>817.9299999999995</v>
      </c>
      <c r="D17" s="156">
        <v>122.49000000000002</v>
      </c>
      <c r="E17" s="156">
        <v>166.21999999999997</v>
      </c>
      <c r="F17" s="156">
        <v>133.69999999999996</v>
      </c>
      <c r="G17" s="156">
        <v>206.06000000000006</v>
      </c>
      <c r="H17" s="156">
        <v>614.95000000000027</v>
      </c>
      <c r="I17" s="156">
        <v>139.68</v>
      </c>
      <c r="J17" s="156">
        <v>128.36000000000001</v>
      </c>
      <c r="K17" s="156">
        <v>345.91999999999996</v>
      </c>
      <c r="L17" s="156">
        <v>137.10999999999999</v>
      </c>
      <c r="M17" s="156">
        <v>938.74000000000046</v>
      </c>
      <c r="N17" s="156">
        <v>132.44000000000003</v>
      </c>
      <c r="O17" s="156">
        <v>207.12999999999994</v>
      </c>
      <c r="P17" s="156">
        <v>124.06000000000006</v>
      </c>
      <c r="Q17" s="156">
        <v>169.39000000000001</v>
      </c>
      <c r="R17" s="156">
        <v>165.48999999999998</v>
      </c>
      <c r="S17" s="156">
        <v>83.019999999999982</v>
      </c>
      <c r="T17" s="156">
        <v>107.07000000000001</v>
      </c>
      <c r="U17" s="156">
        <v>199.76999999999998</v>
      </c>
      <c r="V17" s="156">
        <v>101.87</v>
      </c>
      <c r="W17" s="156">
        <v>36.83</v>
      </c>
      <c r="X17" s="156">
        <v>29.369999999999997</v>
      </c>
      <c r="Y17" s="156">
        <v>20.689999999999987</v>
      </c>
      <c r="Z17" s="156">
        <v>7313.5400000000018</v>
      </c>
      <c r="AA17" s="182">
        <f t="shared" si="1"/>
        <v>6.7665321848687773E-2</v>
      </c>
    </row>
    <row r="18" spans="1:27" x14ac:dyDescent="0.35">
      <c r="A18" s="147" t="s">
        <v>18</v>
      </c>
      <c r="B18" s="156">
        <v>1834.5400000000027</v>
      </c>
      <c r="C18" s="156">
        <v>643.88999999999976</v>
      </c>
      <c r="D18" s="156">
        <v>87.56</v>
      </c>
      <c r="E18" s="156">
        <v>89.910000000000039</v>
      </c>
      <c r="F18" s="156">
        <v>56.07</v>
      </c>
      <c r="G18" s="156">
        <v>154.08000000000004</v>
      </c>
      <c r="H18" s="156">
        <v>135.46</v>
      </c>
      <c r="I18" s="156">
        <v>67.45</v>
      </c>
      <c r="J18" s="156">
        <v>111.77999999999999</v>
      </c>
      <c r="K18" s="156">
        <v>119.37000000000002</v>
      </c>
      <c r="L18" s="156">
        <v>88.659999999999968</v>
      </c>
      <c r="M18" s="156">
        <v>169.69999999999996</v>
      </c>
      <c r="N18" s="156">
        <v>79.199999999999974</v>
      </c>
      <c r="O18" s="156">
        <v>114.31999999999998</v>
      </c>
      <c r="P18" s="156">
        <v>60.310000000000009</v>
      </c>
      <c r="Q18" s="156">
        <v>97.729999999999961</v>
      </c>
      <c r="R18" s="156">
        <v>89.109999999999943</v>
      </c>
      <c r="S18" s="156">
        <v>105.25999999999996</v>
      </c>
      <c r="T18" s="156">
        <v>119.53999999999999</v>
      </c>
      <c r="U18" s="156">
        <v>239.29000000000016</v>
      </c>
      <c r="V18" s="156">
        <v>164.71000000000012</v>
      </c>
      <c r="W18" s="156">
        <v>109.14</v>
      </c>
      <c r="X18" s="156">
        <v>65.430000000000021</v>
      </c>
      <c r="Y18" s="156">
        <v>13.17</v>
      </c>
      <c r="Z18" s="156">
        <v>4815.680000000003</v>
      </c>
      <c r="AA18" s="182">
        <f t="shared" si="1"/>
        <v>4.4554967515086932E-2</v>
      </c>
    </row>
    <row r="19" spans="1:27" x14ac:dyDescent="0.35">
      <c r="A19" s="147" t="s">
        <v>19</v>
      </c>
      <c r="B19" s="156">
        <v>17617.68999999993</v>
      </c>
      <c r="C19" s="156">
        <v>3277.25</v>
      </c>
      <c r="D19" s="156">
        <v>780.80999999999892</v>
      </c>
      <c r="E19" s="156">
        <v>804.46000000000038</v>
      </c>
      <c r="F19" s="156">
        <v>799.77000000000021</v>
      </c>
      <c r="G19" s="156">
        <v>1369.2999999999979</v>
      </c>
      <c r="H19" s="156">
        <v>1336.1899999999987</v>
      </c>
      <c r="I19" s="156">
        <v>745.61000000000024</v>
      </c>
      <c r="J19" s="156">
        <v>721.1299999999992</v>
      </c>
      <c r="K19" s="156">
        <v>695.0800000000005</v>
      </c>
      <c r="L19" s="156">
        <v>881.45999999999981</v>
      </c>
      <c r="M19" s="156">
        <v>895.59000000000049</v>
      </c>
      <c r="N19" s="156">
        <v>566.11999999999989</v>
      </c>
      <c r="O19" s="156">
        <v>575.37000000000035</v>
      </c>
      <c r="P19" s="156">
        <v>564.0300000000002</v>
      </c>
      <c r="Q19" s="156">
        <v>567.3900000000001</v>
      </c>
      <c r="R19" s="156">
        <v>537.1500000000002</v>
      </c>
      <c r="S19" s="156">
        <v>465.96999999999991</v>
      </c>
      <c r="T19" s="156">
        <v>632.08999999999969</v>
      </c>
      <c r="U19" s="156">
        <v>933.44000000000028</v>
      </c>
      <c r="V19" s="156">
        <v>783.70999999999992</v>
      </c>
      <c r="W19" s="156">
        <v>545.39000000000033</v>
      </c>
      <c r="X19" s="156">
        <v>417.73999999999955</v>
      </c>
      <c r="Y19" s="156">
        <v>51.550000000000054</v>
      </c>
      <c r="Z19" s="156">
        <v>36564.289999999921</v>
      </c>
      <c r="AA19" s="182">
        <f t="shared" si="1"/>
        <v>0.33829505971372958</v>
      </c>
    </row>
    <row r="20" spans="1:27" x14ac:dyDescent="0.35">
      <c r="A20" s="179" t="s">
        <v>20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1">
        <f t="shared" si="1"/>
        <v>0</v>
      </c>
    </row>
    <row r="21" spans="1:27" x14ac:dyDescent="0.35">
      <c r="A21" s="147" t="s">
        <v>20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82">
        <f t="shared" si="1"/>
        <v>0</v>
      </c>
    </row>
    <row r="22" spans="1:27" x14ac:dyDescent="0.35">
      <c r="A22" s="179" t="s">
        <v>23</v>
      </c>
      <c r="B22" s="180">
        <f>SUM(B23:B25)</f>
        <v>702.93999999999903</v>
      </c>
      <c r="C22" s="180">
        <f t="shared" ref="C22:Z22" si="4">SUM(C23:C25)</f>
        <v>189.40999999999997</v>
      </c>
      <c r="D22" s="180">
        <f t="shared" si="4"/>
        <v>29.059999999999995</v>
      </c>
      <c r="E22" s="180">
        <f t="shared" si="4"/>
        <v>48.500000000000007</v>
      </c>
      <c r="F22" s="180">
        <f t="shared" si="4"/>
        <v>65.820000000000022</v>
      </c>
      <c r="G22" s="180">
        <f t="shared" si="4"/>
        <v>49.7</v>
      </c>
      <c r="H22" s="180">
        <f t="shared" si="4"/>
        <v>97.169999999999973</v>
      </c>
      <c r="I22" s="180">
        <f t="shared" si="4"/>
        <v>60.250000000000007</v>
      </c>
      <c r="J22" s="180">
        <f t="shared" si="4"/>
        <v>39.28</v>
      </c>
      <c r="K22" s="180">
        <f t="shared" si="4"/>
        <v>74.040000000000006</v>
      </c>
      <c r="L22" s="180">
        <f t="shared" si="4"/>
        <v>18.04</v>
      </c>
      <c r="M22" s="180">
        <f t="shared" si="4"/>
        <v>127.19000000000001</v>
      </c>
      <c r="N22" s="180">
        <f t="shared" si="4"/>
        <v>42.029999999999994</v>
      </c>
      <c r="O22" s="180">
        <f t="shared" si="4"/>
        <v>48.37</v>
      </c>
      <c r="P22" s="180">
        <f t="shared" si="4"/>
        <v>22.159999999999993</v>
      </c>
      <c r="Q22" s="180">
        <f t="shared" si="4"/>
        <v>11.489999999999998</v>
      </c>
      <c r="R22" s="180">
        <f t="shared" si="4"/>
        <v>24.809999999999992</v>
      </c>
      <c r="S22" s="180">
        <f t="shared" si="4"/>
        <v>21.57</v>
      </c>
      <c r="T22" s="180">
        <f t="shared" si="4"/>
        <v>19.68</v>
      </c>
      <c r="U22" s="180">
        <f t="shared" si="4"/>
        <v>95.27</v>
      </c>
      <c r="V22" s="180">
        <f t="shared" si="4"/>
        <v>103.32</v>
      </c>
      <c r="W22" s="180">
        <f t="shared" si="4"/>
        <v>23.659999999999997</v>
      </c>
      <c r="X22" s="180">
        <f t="shared" si="4"/>
        <v>35.26</v>
      </c>
      <c r="Y22" s="180">
        <f t="shared" si="4"/>
        <v>0.05</v>
      </c>
      <c r="Z22" s="180">
        <f t="shared" si="4"/>
        <v>1949.0699999999988</v>
      </c>
      <c r="AA22" s="181">
        <f t="shared" si="1"/>
        <v>1.8032915504068041E-2</v>
      </c>
    </row>
    <row r="23" spans="1:27" x14ac:dyDescent="0.35">
      <c r="A23" s="147" t="s">
        <v>24</v>
      </c>
      <c r="B23" s="156">
        <v>0.5</v>
      </c>
      <c r="C23" s="156">
        <v>0.86</v>
      </c>
      <c r="D23" s="156"/>
      <c r="E23" s="156"/>
      <c r="F23" s="156"/>
      <c r="G23" s="156">
        <v>0.04</v>
      </c>
      <c r="H23" s="156">
        <v>0.1</v>
      </c>
      <c r="I23" s="156"/>
      <c r="J23" s="156"/>
      <c r="K23" s="156"/>
      <c r="L23" s="156"/>
      <c r="M23" s="156"/>
      <c r="N23" s="156"/>
      <c r="O23" s="156">
        <v>0.13</v>
      </c>
      <c r="P23" s="156">
        <v>0.12000000000000001</v>
      </c>
      <c r="Q23" s="156"/>
      <c r="R23" s="156">
        <v>0.01</v>
      </c>
      <c r="S23" s="156">
        <v>0.02</v>
      </c>
      <c r="T23" s="156"/>
      <c r="U23" s="156"/>
      <c r="V23" s="156"/>
      <c r="W23" s="156"/>
      <c r="X23" s="156"/>
      <c r="Y23" s="156"/>
      <c r="Z23" s="156">
        <v>1.78</v>
      </c>
      <c r="AA23" s="182">
        <f t="shared" si="1"/>
        <v>1.6468669466587207E-5</v>
      </c>
    </row>
    <row r="24" spans="1:27" x14ac:dyDescent="0.35">
      <c r="A24" s="147" t="s">
        <v>25</v>
      </c>
      <c r="B24" s="156">
        <v>7.0000000000000007E-2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>
        <v>7.0000000000000007E-2</v>
      </c>
      <c r="R24" s="156"/>
      <c r="S24" s="156"/>
      <c r="T24" s="156">
        <v>0.01</v>
      </c>
      <c r="U24" s="156"/>
      <c r="V24" s="156"/>
      <c r="W24" s="156"/>
      <c r="X24" s="156">
        <v>7.0000000000000007E-2</v>
      </c>
      <c r="Y24" s="156"/>
      <c r="Z24" s="156">
        <v>0.22000000000000003</v>
      </c>
      <c r="AA24" s="182">
        <f t="shared" si="1"/>
        <v>2.0354535295781946E-6</v>
      </c>
    </row>
    <row r="25" spans="1:27" x14ac:dyDescent="0.35">
      <c r="A25" s="147" t="s">
        <v>26</v>
      </c>
      <c r="B25" s="156">
        <v>702.36999999999898</v>
      </c>
      <c r="C25" s="156">
        <v>188.54999999999995</v>
      </c>
      <c r="D25" s="156">
        <v>29.059999999999995</v>
      </c>
      <c r="E25" s="156">
        <v>48.500000000000007</v>
      </c>
      <c r="F25" s="156">
        <v>65.820000000000022</v>
      </c>
      <c r="G25" s="156">
        <v>49.660000000000004</v>
      </c>
      <c r="H25" s="156">
        <v>97.069999999999979</v>
      </c>
      <c r="I25" s="156">
        <v>60.250000000000007</v>
      </c>
      <c r="J25" s="156">
        <v>39.28</v>
      </c>
      <c r="K25" s="156">
        <v>74.040000000000006</v>
      </c>
      <c r="L25" s="156">
        <v>18.04</v>
      </c>
      <c r="M25" s="156">
        <v>127.19000000000001</v>
      </c>
      <c r="N25" s="156">
        <v>42.029999999999994</v>
      </c>
      <c r="O25" s="156">
        <v>48.239999999999995</v>
      </c>
      <c r="P25" s="156">
        <v>22.039999999999992</v>
      </c>
      <c r="Q25" s="156">
        <v>11.419999999999998</v>
      </c>
      <c r="R25" s="156">
        <v>24.79999999999999</v>
      </c>
      <c r="S25" s="156">
        <v>21.55</v>
      </c>
      <c r="T25" s="156">
        <v>19.669999999999998</v>
      </c>
      <c r="U25" s="156">
        <v>95.27</v>
      </c>
      <c r="V25" s="156">
        <v>103.32</v>
      </c>
      <c r="W25" s="156">
        <v>23.659999999999997</v>
      </c>
      <c r="X25" s="156">
        <v>35.19</v>
      </c>
      <c r="Y25" s="156">
        <v>0.05</v>
      </c>
      <c r="Z25" s="156">
        <v>1947.0699999999988</v>
      </c>
      <c r="AA25" s="182">
        <f t="shared" si="1"/>
        <v>1.8014411381071873E-2</v>
      </c>
    </row>
    <row r="26" spans="1:27" x14ac:dyDescent="0.35">
      <c r="A26" s="179" t="s">
        <v>27</v>
      </c>
      <c r="B26" s="180">
        <f>SUM(B27:B28)</f>
        <v>16.88</v>
      </c>
      <c r="C26" s="180">
        <f t="shared" ref="C26:Z26" si="5">SUM(C27:C28)</f>
        <v>5.879999999999999</v>
      </c>
      <c r="D26" s="180">
        <f t="shared" si="5"/>
        <v>10.08</v>
      </c>
      <c r="E26" s="180">
        <f t="shared" si="5"/>
        <v>0.96</v>
      </c>
      <c r="F26" s="180">
        <f t="shared" si="5"/>
        <v>0</v>
      </c>
      <c r="G26" s="180">
        <f t="shared" si="5"/>
        <v>0.12</v>
      </c>
      <c r="H26" s="180">
        <f t="shared" si="5"/>
        <v>0.77</v>
      </c>
      <c r="I26" s="180">
        <f t="shared" si="5"/>
        <v>0</v>
      </c>
      <c r="J26" s="180">
        <f t="shared" si="5"/>
        <v>0.28999999999999998</v>
      </c>
      <c r="K26" s="180">
        <f t="shared" si="5"/>
        <v>7.4299999999999988</v>
      </c>
      <c r="L26" s="180">
        <f t="shared" si="5"/>
        <v>0.35000000000000003</v>
      </c>
      <c r="M26" s="180">
        <f t="shared" si="5"/>
        <v>4.0399999999999991</v>
      </c>
      <c r="N26" s="180">
        <f t="shared" si="5"/>
        <v>0.44</v>
      </c>
      <c r="O26" s="180">
        <f t="shared" si="5"/>
        <v>0.56000000000000005</v>
      </c>
      <c r="P26" s="180">
        <f t="shared" si="5"/>
        <v>6.9999999999999993E-2</v>
      </c>
      <c r="Q26" s="180">
        <f t="shared" si="5"/>
        <v>0.45999999999999996</v>
      </c>
      <c r="R26" s="180">
        <f t="shared" si="5"/>
        <v>1.35</v>
      </c>
      <c r="S26" s="180">
        <f t="shared" si="5"/>
        <v>1.7100000000000004</v>
      </c>
      <c r="T26" s="180">
        <f t="shared" si="5"/>
        <v>1.1400000000000001</v>
      </c>
      <c r="U26" s="180">
        <f t="shared" si="5"/>
        <v>1.1500000000000001</v>
      </c>
      <c r="V26" s="180">
        <f t="shared" si="5"/>
        <v>0.80999999999999994</v>
      </c>
      <c r="W26" s="180">
        <f t="shared" si="5"/>
        <v>0.57999999999999996</v>
      </c>
      <c r="X26" s="180">
        <f t="shared" si="5"/>
        <v>0</v>
      </c>
      <c r="Y26" s="180">
        <f t="shared" si="5"/>
        <v>0.64</v>
      </c>
      <c r="Z26" s="180">
        <f t="shared" si="5"/>
        <v>55.71</v>
      </c>
      <c r="AA26" s="181">
        <f t="shared" si="1"/>
        <v>5.1543234605818734E-4</v>
      </c>
    </row>
    <row r="27" spans="1:27" x14ac:dyDescent="0.35">
      <c r="A27" s="147" t="s">
        <v>28</v>
      </c>
      <c r="B27" s="156">
        <v>13.01</v>
      </c>
      <c r="C27" s="156">
        <v>3.9499999999999993</v>
      </c>
      <c r="D27" s="156">
        <v>10.08</v>
      </c>
      <c r="E27" s="156">
        <v>0.96</v>
      </c>
      <c r="F27" s="156"/>
      <c r="G27" s="156">
        <v>0.11</v>
      </c>
      <c r="H27" s="156">
        <v>0.47</v>
      </c>
      <c r="I27" s="156"/>
      <c r="J27" s="156">
        <v>0.28999999999999998</v>
      </c>
      <c r="K27" s="156">
        <v>7.379999999999999</v>
      </c>
      <c r="L27" s="156">
        <v>0.15000000000000002</v>
      </c>
      <c r="M27" s="156">
        <v>3.859999999999999</v>
      </c>
      <c r="N27" s="156">
        <v>0.44</v>
      </c>
      <c r="O27" s="156">
        <v>0.56000000000000005</v>
      </c>
      <c r="P27" s="156">
        <v>6.9999999999999993E-2</v>
      </c>
      <c r="Q27" s="156">
        <v>0.41</v>
      </c>
      <c r="R27" s="156">
        <v>0.99</v>
      </c>
      <c r="S27" s="156">
        <v>1.6700000000000004</v>
      </c>
      <c r="T27" s="156">
        <v>1.1400000000000001</v>
      </c>
      <c r="U27" s="156">
        <v>0.43</v>
      </c>
      <c r="V27" s="156">
        <v>0.80999999999999994</v>
      </c>
      <c r="W27" s="156">
        <v>0.57999999999999996</v>
      </c>
      <c r="X27" s="156"/>
      <c r="Y27" s="156">
        <v>0.25</v>
      </c>
      <c r="Z27" s="156">
        <v>47.61</v>
      </c>
      <c r="AA27" s="182">
        <f t="shared" si="1"/>
        <v>4.4049064792371742E-4</v>
      </c>
    </row>
    <row r="28" spans="1:27" x14ac:dyDescent="0.35">
      <c r="A28" s="147" t="s">
        <v>29</v>
      </c>
      <c r="B28" s="156">
        <v>3.87</v>
      </c>
      <c r="C28" s="156">
        <v>1.9300000000000002</v>
      </c>
      <c r="D28" s="156"/>
      <c r="E28" s="156"/>
      <c r="F28" s="156"/>
      <c r="G28" s="156">
        <v>0.01</v>
      </c>
      <c r="H28" s="156">
        <v>0.3</v>
      </c>
      <c r="I28" s="156"/>
      <c r="J28" s="156"/>
      <c r="K28" s="156">
        <v>0.05</v>
      </c>
      <c r="L28" s="156">
        <v>0.2</v>
      </c>
      <c r="M28" s="156">
        <v>0.18</v>
      </c>
      <c r="N28" s="156"/>
      <c r="O28" s="156"/>
      <c r="P28" s="156"/>
      <c r="Q28" s="156">
        <v>0.05</v>
      </c>
      <c r="R28" s="156">
        <v>0.36</v>
      </c>
      <c r="S28" s="156">
        <v>0.04</v>
      </c>
      <c r="T28" s="156"/>
      <c r="U28" s="156">
        <v>0.72000000000000008</v>
      </c>
      <c r="V28" s="156"/>
      <c r="W28" s="156"/>
      <c r="X28" s="156"/>
      <c r="Y28" s="156">
        <v>0.39</v>
      </c>
      <c r="Z28" s="156">
        <v>8.1</v>
      </c>
      <c r="AA28" s="182">
        <f t="shared" si="1"/>
        <v>7.4941698134469871E-5</v>
      </c>
    </row>
    <row r="29" spans="1:27" x14ac:dyDescent="0.35">
      <c r="A29" s="179" t="s">
        <v>30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>
        <f t="shared" ref="W29:Z29" si="6">W30</f>
        <v>0.05</v>
      </c>
      <c r="X29" s="180"/>
      <c r="Y29" s="180"/>
      <c r="Z29" s="180">
        <f t="shared" si="6"/>
        <v>0.05</v>
      </c>
      <c r="AA29" s="181">
        <f t="shared" si="1"/>
        <v>4.626030749041351E-7</v>
      </c>
    </row>
    <row r="30" spans="1:27" x14ac:dyDescent="0.35">
      <c r="A30" s="147" t="s">
        <v>31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>
        <v>0.05</v>
      </c>
      <c r="X30" s="156"/>
      <c r="Y30" s="156"/>
      <c r="Z30" s="156">
        <v>0.05</v>
      </c>
      <c r="AA30" s="182">
        <f t="shared" si="1"/>
        <v>4.626030749041351E-7</v>
      </c>
    </row>
    <row r="31" spans="1:27" x14ac:dyDescent="0.35">
      <c r="A31" s="179" t="s">
        <v>35</v>
      </c>
      <c r="B31" s="180">
        <f>B32</f>
        <v>546.16999999999928</v>
      </c>
      <c r="C31" s="180">
        <f t="shared" ref="C31:Z31" si="7">C32</f>
        <v>24.730000000000011</v>
      </c>
      <c r="D31" s="180">
        <f t="shared" si="7"/>
        <v>0.63</v>
      </c>
      <c r="E31" s="180">
        <f t="shared" si="7"/>
        <v>11.28</v>
      </c>
      <c r="F31" s="180">
        <f t="shared" si="7"/>
        <v>1.02</v>
      </c>
      <c r="G31" s="180">
        <f t="shared" si="7"/>
        <v>2.54</v>
      </c>
      <c r="H31" s="180">
        <f t="shared" si="7"/>
        <v>10.100000000000001</v>
      </c>
      <c r="I31" s="180">
        <f t="shared" si="7"/>
        <v>0</v>
      </c>
      <c r="J31" s="180">
        <f t="shared" si="7"/>
        <v>1.06</v>
      </c>
      <c r="K31" s="180">
        <f t="shared" si="7"/>
        <v>0.94000000000000006</v>
      </c>
      <c r="L31" s="180">
        <f t="shared" si="7"/>
        <v>1.1100000000000001</v>
      </c>
      <c r="M31" s="180">
        <f t="shared" si="7"/>
        <v>1.77</v>
      </c>
      <c r="N31" s="180">
        <f t="shared" si="7"/>
        <v>0.02</v>
      </c>
      <c r="O31" s="180">
        <f t="shared" si="7"/>
        <v>5.73</v>
      </c>
      <c r="P31" s="180">
        <f t="shared" si="7"/>
        <v>0.2</v>
      </c>
      <c r="Q31" s="180">
        <f t="shared" si="7"/>
        <v>4.9399999999999995</v>
      </c>
      <c r="R31" s="180">
        <f t="shared" si="7"/>
        <v>13.62</v>
      </c>
      <c r="S31" s="180">
        <f t="shared" si="7"/>
        <v>3.41</v>
      </c>
      <c r="T31" s="180">
        <f t="shared" si="7"/>
        <v>4.21</v>
      </c>
      <c r="U31" s="180">
        <f t="shared" si="7"/>
        <v>11.210000000000003</v>
      </c>
      <c r="V31" s="180">
        <f t="shared" si="7"/>
        <v>1.23</v>
      </c>
      <c r="W31" s="180">
        <f t="shared" si="7"/>
        <v>6.4799999999999995</v>
      </c>
      <c r="X31" s="180">
        <f t="shared" si="7"/>
        <v>7.41</v>
      </c>
      <c r="Y31" s="180">
        <f t="shared" si="7"/>
        <v>9.1599999999999877</v>
      </c>
      <c r="Z31" s="180">
        <f t="shared" si="7"/>
        <v>668.96999999999935</v>
      </c>
      <c r="AA31" s="181">
        <f t="shared" si="1"/>
        <v>6.1893515803723787E-3</v>
      </c>
    </row>
    <row r="32" spans="1:27" x14ac:dyDescent="0.35">
      <c r="A32" s="147" t="s">
        <v>35</v>
      </c>
      <c r="B32" s="156">
        <v>546.16999999999928</v>
      </c>
      <c r="C32" s="156">
        <v>24.730000000000011</v>
      </c>
      <c r="D32" s="156">
        <v>0.63</v>
      </c>
      <c r="E32" s="156">
        <v>11.28</v>
      </c>
      <c r="F32" s="156">
        <v>1.02</v>
      </c>
      <c r="G32" s="156">
        <v>2.54</v>
      </c>
      <c r="H32" s="156">
        <v>10.100000000000001</v>
      </c>
      <c r="I32" s="156"/>
      <c r="J32" s="156">
        <v>1.06</v>
      </c>
      <c r="K32" s="156">
        <v>0.94000000000000006</v>
      </c>
      <c r="L32" s="156">
        <v>1.1100000000000001</v>
      </c>
      <c r="M32" s="156">
        <v>1.77</v>
      </c>
      <c r="N32" s="156">
        <v>0.02</v>
      </c>
      <c r="O32" s="156">
        <v>5.73</v>
      </c>
      <c r="P32" s="156">
        <v>0.2</v>
      </c>
      <c r="Q32" s="156">
        <v>4.9399999999999995</v>
      </c>
      <c r="R32" s="156">
        <v>13.62</v>
      </c>
      <c r="S32" s="156">
        <v>3.41</v>
      </c>
      <c r="T32" s="156">
        <v>4.21</v>
      </c>
      <c r="U32" s="156">
        <v>11.210000000000003</v>
      </c>
      <c r="V32" s="156">
        <v>1.23</v>
      </c>
      <c r="W32" s="156">
        <v>6.4799999999999995</v>
      </c>
      <c r="X32" s="156">
        <v>7.41</v>
      </c>
      <c r="Y32" s="156">
        <v>9.1599999999999877</v>
      </c>
      <c r="Z32" s="156">
        <v>668.96999999999935</v>
      </c>
      <c r="AA32" s="182">
        <f t="shared" si="1"/>
        <v>6.1893515803723787E-3</v>
      </c>
    </row>
    <row r="33" spans="1:27" x14ac:dyDescent="0.35">
      <c r="A33" s="179" t="s">
        <v>36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1">
        <f t="shared" si="1"/>
        <v>0</v>
      </c>
    </row>
    <row r="34" spans="1:27" x14ac:dyDescent="0.35">
      <c r="A34" s="147" t="s">
        <v>37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82">
        <f t="shared" ref="AA34:AA35" si="8">Z34/$Z$38</f>
        <v>0</v>
      </c>
    </row>
    <row r="35" spans="1:27" x14ac:dyDescent="0.35">
      <c r="A35" s="147" t="s">
        <v>38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82">
        <f t="shared" si="8"/>
        <v>0</v>
      </c>
    </row>
    <row r="36" spans="1:27" x14ac:dyDescent="0.35">
      <c r="A36" s="179" t="s">
        <v>39</v>
      </c>
      <c r="B36" s="180">
        <v>1299.1799999999998</v>
      </c>
      <c r="C36" s="180">
        <v>376.04</v>
      </c>
      <c r="D36" s="180">
        <v>341.54</v>
      </c>
      <c r="E36" s="180">
        <v>163.67999999999998</v>
      </c>
      <c r="F36" s="180">
        <v>218.23999999999998</v>
      </c>
      <c r="G36" s="180">
        <v>216.78999999999996</v>
      </c>
      <c r="H36" s="180">
        <v>330.05</v>
      </c>
      <c r="I36" s="180">
        <v>211.04</v>
      </c>
      <c r="J36" s="180">
        <v>239.62</v>
      </c>
      <c r="K36" s="180">
        <v>150.60999999999999</v>
      </c>
      <c r="L36" s="180">
        <v>130.98000000000002</v>
      </c>
      <c r="M36" s="180">
        <v>192.89999999999998</v>
      </c>
      <c r="N36" s="180">
        <v>109.37999999999998</v>
      </c>
      <c r="O36" s="180">
        <v>148.35</v>
      </c>
      <c r="P36" s="180">
        <v>74.37</v>
      </c>
      <c r="Q36" s="180">
        <v>187.85000000000002</v>
      </c>
      <c r="R36" s="180">
        <v>198.46000000000004</v>
      </c>
      <c r="S36" s="180">
        <v>159.33000000000004</v>
      </c>
      <c r="T36" s="180">
        <v>219.7</v>
      </c>
      <c r="U36" s="180">
        <v>142.66999999999999</v>
      </c>
      <c r="V36" s="180">
        <v>109.13</v>
      </c>
      <c r="W36" s="180">
        <v>41.120000000000005</v>
      </c>
      <c r="X36" s="180">
        <v>42.410000000000004</v>
      </c>
      <c r="Y36" s="180">
        <v>14.49</v>
      </c>
      <c r="Z36" s="180">
        <v>5317.9300000000012</v>
      </c>
      <c r="AA36" s="181">
        <f>Z36/$Z$38</f>
        <v>4.9201815402498947E-2</v>
      </c>
    </row>
    <row r="37" spans="1:27" x14ac:dyDescent="0.35">
      <c r="A37" s="147" t="s">
        <v>39</v>
      </c>
      <c r="B37" s="156">
        <v>1299.1799999999998</v>
      </c>
      <c r="C37" s="156">
        <v>376.04</v>
      </c>
      <c r="D37" s="156">
        <v>341.54</v>
      </c>
      <c r="E37" s="156">
        <v>163.67999999999998</v>
      </c>
      <c r="F37" s="156">
        <v>218.23999999999998</v>
      </c>
      <c r="G37" s="156">
        <v>216.78999999999996</v>
      </c>
      <c r="H37" s="156">
        <v>330.05</v>
      </c>
      <c r="I37" s="156">
        <v>211.04</v>
      </c>
      <c r="J37" s="156">
        <v>239.62</v>
      </c>
      <c r="K37" s="156">
        <v>150.60999999999999</v>
      </c>
      <c r="L37" s="156">
        <v>130.98000000000002</v>
      </c>
      <c r="M37" s="156">
        <v>192.89999999999998</v>
      </c>
      <c r="N37" s="156">
        <v>109.37999999999998</v>
      </c>
      <c r="O37" s="156">
        <v>148.35</v>
      </c>
      <c r="P37" s="156">
        <v>74.37</v>
      </c>
      <c r="Q37" s="156">
        <v>187.85000000000002</v>
      </c>
      <c r="R37" s="156">
        <v>198.46000000000004</v>
      </c>
      <c r="S37" s="156">
        <v>159.33000000000004</v>
      </c>
      <c r="T37" s="156">
        <v>219.7</v>
      </c>
      <c r="U37" s="156">
        <v>142.66999999999999</v>
      </c>
      <c r="V37" s="156">
        <v>109.13</v>
      </c>
      <c r="W37" s="156">
        <v>41.120000000000005</v>
      </c>
      <c r="X37" s="156">
        <v>42.410000000000004</v>
      </c>
      <c r="Y37" s="156">
        <v>14.49</v>
      </c>
      <c r="Z37" s="156">
        <v>5317.9300000000012</v>
      </c>
      <c r="AA37" s="182">
        <f>Z37/$Z$38</f>
        <v>4.9201815402498947E-2</v>
      </c>
    </row>
    <row r="38" spans="1:27" x14ac:dyDescent="0.35">
      <c r="A38" s="183" t="s">
        <v>40</v>
      </c>
      <c r="B38" s="184">
        <f>SUM(B5,B14,B16,B20,B22,B26,B29,B31,B33,B36)</f>
        <v>37735.469999999936</v>
      </c>
      <c r="C38" s="184">
        <f t="shared" ref="C38:Y38" si="9">SUM(C5,C14,C16,C20,C22,C26,C29,C31,C33,C36)</f>
        <v>8668.7599999999984</v>
      </c>
      <c r="D38" s="184">
        <f t="shared" si="9"/>
        <v>2494.1899999999991</v>
      </c>
      <c r="E38" s="184">
        <f t="shared" si="9"/>
        <v>2654.53</v>
      </c>
      <c r="F38" s="184">
        <f t="shared" si="9"/>
        <v>2959.2099999999996</v>
      </c>
      <c r="G38" s="184">
        <f t="shared" si="9"/>
        <v>4529.3499999999976</v>
      </c>
      <c r="H38" s="184">
        <f t="shared" si="9"/>
        <v>6073.5899999999992</v>
      </c>
      <c r="I38" s="184">
        <f t="shared" si="9"/>
        <v>5125.0599999999986</v>
      </c>
      <c r="J38" s="184">
        <f t="shared" si="9"/>
        <v>3478.0500000000006</v>
      </c>
      <c r="K38" s="184">
        <f t="shared" si="9"/>
        <v>3358.4300000000003</v>
      </c>
      <c r="L38" s="184">
        <f t="shared" si="9"/>
        <v>2475.94</v>
      </c>
      <c r="M38" s="184">
        <f t="shared" si="9"/>
        <v>3826.4700000000012</v>
      </c>
      <c r="N38" s="184">
        <f t="shared" si="9"/>
        <v>1754.08</v>
      </c>
      <c r="O38" s="184">
        <f t="shared" si="9"/>
        <v>1805.5100000000002</v>
      </c>
      <c r="P38" s="184">
        <f t="shared" si="9"/>
        <v>1744.5500000000002</v>
      </c>
      <c r="Q38" s="184">
        <f t="shared" si="9"/>
        <v>1623.8100000000004</v>
      </c>
      <c r="R38" s="184">
        <f t="shared" si="9"/>
        <v>1937.94</v>
      </c>
      <c r="S38" s="184">
        <f t="shared" si="9"/>
        <v>1806.0099999999998</v>
      </c>
      <c r="T38" s="184">
        <f t="shared" si="9"/>
        <v>2506.7399999999993</v>
      </c>
      <c r="U38" s="184">
        <f t="shared" si="9"/>
        <v>4083.55</v>
      </c>
      <c r="V38" s="184">
        <f t="shared" si="9"/>
        <v>3008.0700000000006</v>
      </c>
      <c r="W38" s="184">
        <f t="shared" si="9"/>
        <v>2260.0300000000002</v>
      </c>
      <c r="X38" s="184">
        <f t="shared" si="9"/>
        <v>2028.3199999999995</v>
      </c>
      <c r="Y38" s="184">
        <f t="shared" si="9"/>
        <v>146.36000000000004</v>
      </c>
      <c r="Z38" s="184">
        <f>SUM(Z5,Z14,Z16,Z20,Z22,Z26,Z29,Z31,Z33,Z36)</f>
        <v>108084.01999999993</v>
      </c>
      <c r="AA38" s="185">
        <f>Z38/$Z$38</f>
        <v>1</v>
      </c>
    </row>
    <row r="39" spans="1:27" x14ac:dyDescent="0.35">
      <c r="X39" s="6"/>
    </row>
    <row r="41" spans="1:27" ht="15.5" x14ac:dyDescent="0.35">
      <c r="A41" s="108" t="s">
        <v>110</v>
      </c>
      <c r="B41" s="189" t="s">
        <v>74</v>
      </c>
      <c r="C41" s="189">
        <v>2000</v>
      </c>
      <c r="D41" s="189">
        <v>2001</v>
      </c>
      <c r="E41" s="189">
        <v>2002</v>
      </c>
      <c r="F41" s="189">
        <v>2003</v>
      </c>
      <c r="G41" s="189">
        <v>2004</v>
      </c>
      <c r="H41" s="189">
        <v>2005</v>
      </c>
      <c r="I41" s="189">
        <v>2006</v>
      </c>
      <c r="J41" s="189">
        <v>2007</v>
      </c>
      <c r="K41" s="189">
        <v>2008</v>
      </c>
      <c r="L41" s="189">
        <v>2009</v>
      </c>
      <c r="M41" s="189">
        <v>2010</v>
      </c>
      <c r="N41" s="189">
        <v>2011</v>
      </c>
      <c r="O41" s="189">
        <v>2012</v>
      </c>
      <c r="P41" s="189">
        <v>2013</v>
      </c>
      <c r="Q41" s="189">
        <v>2014</v>
      </c>
      <c r="R41" s="189">
        <v>2015</v>
      </c>
      <c r="S41" s="189">
        <v>2016</v>
      </c>
      <c r="T41" s="189">
        <v>2017</v>
      </c>
      <c r="U41" s="189">
        <v>2018</v>
      </c>
      <c r="V41" s="189">
        <v>2019</v>
      </c>
      <c r="W41" s="189">
        <v>2020</v>
      </c>
      <c r="X41" s="189">
        <v>2021</v>
      </c>
      <c r="Y41" s="190" t="s">
        <v>75</v>
      </c>
    </row>
    <row r="42" spans="1:27" x14ac:dyDescent="0.35">
      <c r="A42" s="188" t="s">
        <v>6</v>
      </c>
      <c r="B42" s="174">
        <f t="shared" ref="B42:Y42" si="10">B5/$Z$5</f>
        <v>0.26329160716439748</v>
      </c>
      <c r="C42" s="174">
        <f t="shared" si="10"/>
        <v>6.4858381356690642E-2</v>
      </c>
      <c r="D42" s="174">
        <f t="shared" si="10"/>
        <v>2.1829777464755847E-2</v>
      </c>
      <c r="E42" s="174">
        <f t="shared" si="10"/>
        <v>2.6645083718233563E-2</v>
      </c>
      <c r="F42" s="174">
        <f t="shared" si="10"/>
        <v>3.27750172183678E-2</v>
      </c>
      <c r="G42" s="174">
        <f t="shared" si="10"/>
        <v>4.923791698606577E-2</v>
      </c>
      <c r="H42" s="174">
        <f t="shared" si="10"/>
        <v>6.9046627729159912E-2</v>
      </c>
      <c r="I42" s="174">
        <f t="shared" si="10"/>
        <v>7.5897592541431053E-2</v>
      </c>
      <c r="J42" s="174">
        <f t="shared" si="10"/>
        <v>4.3513442000365797E-2</v>
      </c>
      <c r="K42" s="174">
        <f t="shared" si="10"/>
        <v>3.8231391516500443E-2</v>
      </c>
      <c r="L42" s="174">
        <f t="shared" si="10"/>
        <v>2.3701618332016824E-2</v>
      </c>
      <c r="M42" s="174">
        <f t="shared" si="10"/>
        <v>2.9116357254866859E-2</v>
      </c>
      <c r="N42" s="174">
        <f t="shared" si="10"/>
        <v>1.6040320164362451E-2</v>
      </c>
      <c r="O42" s="174">
        <f t="shared" si="10"/>
        <v>1.3729556836178419E-2</v>
      </c>
      <c r="P42" s="174">
        <f t="shared" si="10"/>
        <v>1.7497558299253282E-2</v>
      </c>
      <c r="Q42" s="174">
        <f t="shared" si="10"/>
        <v>1.1373072418314898E-2</v>
      </c>
      <c r="R42" s="174">
        <f t="shared" si="10"/>
        <v>1.7664878031697362E-2</v>
      </c>
      <c r="S42" s="174">
        <f t="shared" si="10"/>
        <v>1.8789227722155855E-2</v>
      </c>
      <c r="T42" s="174">
        <f t="shared" si="10"/>
        <v>2.7302494620476039E-2</v>
      </c>
      <c r="U42" s="174">
        <f t="shared" si="10"/>
        <v>4.7875817629273933E-2</v>
      </c>
      <c r="V42" s="174">
        <f t="shared" si="10"/>
        <v>3.3917071671212842E-2</v>
      </c>
      <c r="W42" s="174">
        <f t="shared" si="10"/>
        <v>2.9121026642749022E-2</v>
      </c>
      <c r="X42" s="174">
        <f t="shared" si="10"/>
        <v>2.7835388512527572E-2</v>
      </c>
      <c r="Y42" s="196">
        <f t="shared" si="10"/>
        <v>7.0877416894623592E-4</v>
      </c>
    </row>
    <row r="43" spans="1:27" x14ac:dyDescent="0.35">
      <c r="A43" s="188" t="s">
        <v>15</v>
      </c>
      <c r="B43" s="174">
        <f t="shared" ref="B43:Y43" si="11">B14/$Z$15</f>
        <v>0</v>
      </c>
      <c r="C43" s="174">
        <f t="shared" si="11"/>
        <v>0</v>
      </c>
      <c r="D43" s="174">
        <f t="shared" si="11"/>
        <v>0</v>
      </c>
      <c r="E43" s="174">
        <f t="shared" si="11"/>
        <v>0</v>
      </c>
      <c r="F43" s="174">
        <f t="shared" si="11"/>
        <v>0</v>
      </c>
      <c r="G43" s="174">
        <f t="shared" si="11"/>
        <v>0</v>
      </c>
      <c r="H43" s="174">
        <f t="shared" si="11"/>
        <v>0</v>
      </c>
      <c r="I43" s="174">
        <f t="shared" si="11"/>
        <v>0</v>
      </c>
      <c r="J43" s="174">
        <f t="shared" si="11"/>
        <v>0</v>
      </c>
      <c r="K43" s="174">
        <f t="shared" si="11"/>
        <v>0</v>
      </c>
      <c r="L43" s="174">
        <f t="shared" si="11"/>
        <v>0</v>
      </c>
      <c r="M43" s="174">
        <f t="shared" si="11"/>
        <v>0</v>
      </c>
      <c r="N43" s="174">
        <f t="shared" si="11"/>
        <v>0</v>
      </c>
      <c r="O43" s="174">
        <f t="shared" si="11"/>
        <v>0</v>
      </c>
      <c r="P43" s="174">
        <f t="shared" si="11"/>
        <v>0</v>
      </c>
      <c r="Q43" s="174">
        <f t="shared" si="11"/>
        <v>0</v>
      </c>
      <c r="R43" s="174">
        <f t="shared" si="11"/>
        <v>0</v>
      </c>
      <c r="S43" s="174">
        <f t="shared" si="11"/>
        <v>0</v>
      </c>
      <c r="T43" s="174">
        <f t="shared" si="11"/>
        <v>0</v>
      </c>
      <c r="U43" s="174">
        <f t="shared" si="11"/>
        <v>0</v>
      </c>
      <c r="V43" s="174">
        <f t="shared" si="11"/>
        <v>0</v>
      </c>
      <c r="W43" s="174">
        <f t="shared" si="11"/>
        <v>0</v>
      </c>
      <c r="X43" s="174">
        <f t="shared" si="11"/>
        <v>0</v>
      </c>
      <c r="Y43" s="191">
        <f t="shared" si="11"/>
        <v>1</v>
      </c>
    </row>
    <row r="44" spans="1:27" x14ac:dyDescent="0.35">
      <c r="A44" s="188" t="s">
        <v>16</v>
      </c>
      <c r="B44" s="174">
        <f t="shared" ref="B44:Y44" si="12">B16/$Z$16</f>
        <v>0.4443606550441726</v>
      </c>
      <c r="C44" s="174">
        <f t="shared" si="12"/>
        <v>9.7324468907663608E-2</v>
      </c>
      <c r="D44" s="174">
        <f t="shared" si="12"/>
        <v>2.034891302762936E-2</v>
      </c>
      <c r="E44" s="174">
        <f t="shared" si="12"/>
        <v>2.178093138079391E-2</v>
      </c>
      <c r="F44" s="174">
        <f t="shared" si="12"/>
        <v>2.0321804692247526E-2</v>
      </c>
      <c r="G44" s="174">
        <f t="shared" si="12"/>
        <v>3.5516848138489106E-2</v>
      </c>
      <c r="H44" s="174">
        <f t="shared" si="12"/>
        <v>4.2851706521053884E-2</v>
      </c>
      <c r="I44" s="174">
        <f t="shared" si="12"/>
        <v>1.9566057160389581E-2</v>
      </c>
      <c r="J44" s="174">
        <f t="shared" si="12"/>
        <v>1.9741234509485981E-2</v>
      </c>
      <c r="K44" s="174">
        <f t="shared" si="12"/>
        <v>2.3830075096250038E-2</v>
      </c>
      <c r="L44" s="174">
        <f t="shared" si="12"/>
        <v>2.2738759230952987E-2</v>
      </c>
      <c r="M44" s="174">
        <f t="shared" si="12"/>
        <v>4.1155997996447667E-2</v>
      </c>
      <c r="N44" s="174">
        <f t="shared" si="12"/>
        <v>1.5972559792875912E-2</v>
      </c>
      <c r="O44" s="174">
        <f t="shared" si="12"/>
        <v>1.8417649497848926E-2</v>
      </c>
      <c r="P44" s="174">
        <f t="shared" si="12"/>
        <v>1.5369604696806649E-2</v>
      </c>
      <c r="Q44" s="174">
        <f t="shared" si="12"/>
        <v>1.7138012848118802E-2</v>
      </c>
      <c r="R44" s="174">
        <f t="shared" si="12"/>
        <v>1.6259867074688215E-2</v>
      </c>
      <c r="S44" s="174">
        <f t="shared" si="12"/>
        <v>1.3436082139077691E-2</v>
      </c>
      <c r="T44" s="174">
        <f t="shared" si="12"/>
        <v>1.7634793630609113E-2</v>
      </c>
      <c r="U44" s="174">
        <f t="shared" si="12"/>
        <v>2.8186507811821384E-2</v>
      </c>
      <c r="V44" s="174">
        <f t="shared" si="12"/>
        <v>2.156940421834453E-2</v>
      </c>
      <c r="W44" s="174">
        <f t="shared" si="12"/>
        <v>1.4198196022426838E-2</v>
      </c>
      <c r="X44" s="174">
        <f t="shared" si="12"/>
        <v>1.0525838042893197E-2</v>
      </c>
      <c r="Y44" s="196">
        <f t="shared" si="12"/>
        <v>1.7540325189126882E-3</v>
      </c>
    </row>
    <row r="45" spans="1:27" x14ac:dyDescent="0.35">
      <c r="A45" s="188" t="s">
        <v>20</v>
      </c>
      <c r="B45" s="174">
        <v>0</v>
      </c>
      <c r="C45" s="174">
        <v>0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74">
        <v>0</v>
      </c>
      <c r="S45" s="174">
        <v>0</v>
      </c>
      <c r="T45" s="174">
        <v>0</v>
      </c>
      <c r="U45" s="174">
        <v>0</v>
      </c>
      <c r="V45" s="174">
        <v>0</v>
      </c>
      <c r="W45" s="174">
        <v>0</v>
      </c>
      <c r="X45" s="174">
        <v>0</v>
      </c>
      <c r="Y45" s="191">
        <v>0</v>
      </c>
    </row>
    <row r="46" spans="1:27" x14ac:dyDescent="0.35">
      <c r="A46" s="188" t="s">
        <v>23</v>
      </c>
      <c r="B46" s="174">
        <f t="shared" ref="B46:Y46" si="13">B22/$Z$22</f>
        <v>0.36065405552391627</v>
      </c>
      <c r="C46" s="174">
        <f t="shared" si="13"/>
        <v>9.7179680565603124E-2</v>
      </c>
      <c r="D46" s="174">
        <f t="shared" si="13"/>
        <v>1.4909674870579308E-2</v>
      </c>
      <c r="E46" s="174">
        <f t="shared" si="13"/>
        <v>2.4883662464662653E-2</v>
      </c>
      <c r="F46" s="174">
        <f t="shared" si="13"/>
        <v>3.3769951823177241E-2</v>
      </c>
      <c r="G46" s="174">
        <f t="shared" si="13"/>
        <v>2.5499340711211006E-2</v>
      </c>
      <c r="H46" s="174">
        <f t="shared" si="13"/>
        <v>4.9854546014252966E-2</v>
      </c>
      <c r="I46" s="174">
        <f t="shared" si="13"/>
        <v>3.0912178628781956E-2</v>
      </c>
      <c r="J46" s="174">
        <f t="shared" si="13"/>
        <v>2.0153201270349461E-2</v>
      </c>
      <c r="K46" s="174">
        <f t="shared" si="13"/>
        <v>3.7987347812033459E-2</v>
      </c>
      <c r="L46" s="174">
        <f t="shared" si="13"/>
        <v>9.2556963064435917E-3</v>
      </c>
      <c r="M46" s="174">
        <f t="shared" si="13"/>
        <v>6.525676348207099E-2</v>
      </c>
      <c r="N46" s="174">
        <f t="shared" si="13"/>
        <v>2.1564130585356105E-2</v>
      </c>
      <c r="O46" s="174">
        <f t="shared" si="13"/>
        <v>2.4816963987953244E-2</v>
      </c>
      <c r="P46" s="174">
        <f t="shared" si="13"/>
        <v>1.1369524952926272E-2</v>
      </c>
      <c r="Q46" s="174">
        <f t="shared" si="13"/>
        <v>5.8951192107004908E-3</v>
      </c>
      <c r="R46" s="174">
        <f t="shared" si="13"/>
        <v>1.272914774738722E-2</v>
      </c>
      <c r="S46" s="174">
        <f t="shared" si="13"/>
        <v>1.1066816481706668E-2</v>
      </c>
      <c r="T46" s="174">
        <f t="shared" si="13"/>
        <v>1.0097123243393008E-2</v>
      </c>
      <c r="U46" s="174">
        <f t="shared" si="13"/>
        <v>4.887972212388475E-2</v>
      </c>
      <c r="V46" s="174">
        <f t="shared" si="13"/>
        <v>5.3009897027813294E-2</v>
      </c>
      <c r="W46" s="174">
        <f t="shared" si="13"/>
        <v>1.2139122761111716E-2</v>
      </c>
      <c r="X46" s="174">
        <f t="shared" si="13"/>
        <v>1.8090679144412473E-2</v>
      </c>
      <c r="Y46" s="191">
        <f t="shared" si="13"/>
        <v>2.5653260272848094E-5</v>
      </c>
    </row>
    <row r="47" spans="1:27" x14ac:dyDescent="0.35">
      <c r="A47" s="188" t="s">
        <v>27</v>
      </c>
      <c r="B47" s="174">
        <f t="shared" ref="B47:Y47" si="14">B26/$Z$26</f>
        <v>0.30299766648716564</v>
      </c>
      <c r="C47" s="174">
        <f t="shared" si="14"/>
        <v>0.10554658050619277</v>
      </c>
      <c r="D47" s="174">
        <f t="shared" si="14"/>
        <v>0.18093699515347333</v>
      </c>
      <c r="E47" s="174">
        <f t="shared" si="14"/>
        <v>1.7232094776521271E-2</v>
      </c>
      <c r="F47" s="174">
        <f t="shared" si="14"/>
        <v>0</v>
      </c>
      <c r="G47" s="174">
        <f t="shared" si="14"/>
        <v>2.1540118470651588E-3</v>
      </c>
      <c r="H47" s="174">
        <f t="shared" si="14"/>
        <v>1.3821576018668102E-2</v>
      </c>
      <c r="I47" s="174">
        <f t="shared" si="14"/>
        <v>0</v>
      </c>
      <c r="J47" s="174">
        <f t="shared" si="14"/>
        <v>5.2055286304074667E-3</v>
      </c>
      <c r="K47" s="174">
        <f t="shared" si="14"/>
        <v>0.13336923353078439</v>
      </c>
      <c r="L47" s="174">
        <f t="shared" si="14"/>
        <v>6.2825345539400468E-3</v>
      </c>
      <c r="M47" s="174">
        <f t="shared" si="14"/>
        <v>7.2518398851193669E-2</v>
      </c>
      <c r="N47" s="174">
        <f t="shared" si="14"/>
        <v>7.8980434392389165E-3</v>
      </c>
      <c r="O47" s="174">
        <f t="shared" si="14"/>
        <v>1.0052055286304075E-2</v>
      </c>
      <c r="P47" s="174">
        <f t="shared" si="14"/>
        <v>1.2565069107880091E-3</v>
      </c>
      <c r="Q47" s="174">
        <f t="shared" si="14"/>
        <v>8.2570454137497751E-3</v>
      </c>
      <c r="R47" s="174">
        <f t="shared" si="14"/>
        <v>2.4232633279483037E-2</v>
      </c>
      <c r="S47" s="174">
        <f t="shared" si="14"/>
        <v>3.069466882067852E-2</v>
      </c>
      <c r="T47" s="174">
        <f t="shared" si="14"/>
        <v>2.0463112547119012E-2</v>
      </c>
      <c r="U47" s="174">
        <f t="shared" si="14"/>
        <v>2.0642613534374441E-2</v>
      </c>
      <c r="V47" s="174">
        <f t="shared" si="14"/>
        <v>1.4539579967689821E-2</v>
      </c>
      <c r="W47" s="174">
        <f t="shared" si="14"/>
        <v>1.0411057260814933E-2</v>
      </c>
      <c r="X47" s="174">
        <f t="shared" si="14"/>
        <v>0</v>
      </c>
      <c r="Y47" s="191">
        <f t="shared" si="14"/>
        <v>1.1488063184347514E-2</v>
      </c>
    </row>
    <row r="48" spans="1:27" x14ac:dyDescent="0.35">
      <c r="A48" s="188" t="s">
        <v>30</v>
      </c>
      <c r="B48" s="174">
        <f t="shared" ref="B48:Y48" si="15">B29/$Z$29</f>
        <v>0</v>
      </c>
      <c r="C48" s="174">
        <f t="shared" si="15"/>
        <v>0</v>
      </c>
      <c r="D48" s="174">
        <f t="shared" si="15"/>
        <v>0</v>
      </c>
      <c r="E48" s="174">
        <f t="shared" si="15"/>
        <v>0</v>
      </c>
      <c r="F48" s="174">
        <f t="shared" si="15"/>
        <v>0</v>
      </c>
      <c r="G48" s="174">
        <f t="shared" si="15"/>
        <v>0</v>
      </c>
      <c r="H48" s="174">
        <f t="shared" si="15"/>
        <v>0</v>
      </c>
      <c r="I48" s="174">
        <f t="shared" si="15"/>
        <v>0</v>
      </c>
      <c r="J48" s="174">
        <f t="shared" si="15"/>
        <v>0</v>
      </c>
      <c r="K48" s="174">
        <f t="shared" si="15"/>
        <v>0</v>
      </c>
      <c r="L48" s="174">
        <f t="shared" si="15"/>
        <v>0</v>
      </c>
      <c r="M48" s="174">
        <f t="shared" si="15"/>
        <v>0</v>
      </c>
      <c r="N48" s="174">
        <f t="shared" si="15"/>
        <v>0</v>
      </c>
      <c r="O48" s="174">
        <f t="shared" si="15"/>
        <v>0</v>
      </c>
      <c r="P48" s="174">
        <f t="shared" si="15"/>
        <v>0</v>
      </c>
      <c r="Q48" s="174">
        <f t="shared" si="15"/>
        <v>0</v>
      </c>
      <c r="R48" s="174">
        <f t="shared" si="15"/>
        <v>0</v>
      </c>
      <c r="S48" s="174">
        <f t="shared" si="15"/>
        <v>0</v>
      </c>
      <c r="T48" s="174">
        <f t="shared" si="15"/>
        <v>0</v>
      </c>
      <c r="U48" s="174">
        <f t="shared" si="15"/>
        <v>0</v>
      </c>
      <c r="V48" s="174">
        <f t="shared" si="15"/>
        <v>0</v>
      </c>
      <c r="W48" s="174">
        <f t="shared" si="15"/>
        <v>1</v>
      </c>
      <c r="X48" s="174">
        <f t="shared" si="15"/>
        <v>0</v>
      </c>
      <c r="Y48" s="191">
        <f t="shared" si="15"/>
        <v>0</v>
      </c>
    </row>
    <row r="49" spans="1:26" x14ac:dyDescent="0.35">
      <c r="A49" s="188" t="s">
        <v>35</v>
      </c>
      <c r="B49" s="174">
        <f t="shared" ref="B49:Y49" si="16">B31/$Z$31</f>
        <v>0.81643421977069197</v>
      </c>
      <c r="C49" s="174">
        <f t="shared" si="16"/>
        <v>3.6967278054322372E-2</v>
      </c>
      <c r="D49" s="174">
        <f t="shared" si="16"/>
        <v>9.4174626664872961E-4</v>
      </c>
      <c r="E49" s="174">
        <f t="shared" si="16"/>
        <v>1.6861742679043917E-2</v>
      </c>
      <c r="F49" s="174">
        <f t="shared" si="16"/>
        <v>1.5247320507646097E-3</v>
      </c>
      <c r="G49" s="174">
        <f t="shared" si="16"/>
        <v>3.7968817734726559E-3</v>
      </c>
      <c r="H49" s="174">
        <f t="shared" si="16"/>
        <v>1.5097836973257412E-2</v>
      </c>
      <c r="I49" s="174">
        <f t="shared" si="16"/>
        <v>0</v>
      </c>
      <c r="J49" s="174">
        <f t="shared" si="16"/>
        <v>1.5845254645200848E-3</v>
      </c>
      <c r="K49" s="174">
        <f t="shared" si="16"/>
        <v>1.4051452232536601E-3</v>
      </c>
      <c r="L49" s="174">
        <f t="shared" si="16"/>
        <v>1.6592672317144283E-3</v>
      </c>
      <c r="M49" s="174">
        <f t="shared" si="16"/>
        <v>2.645858558679764E-3</v>
      </c>
      <c r="N49" s="174">
        <f t="shared" si="16"/>
        <v>2.9896706877737449E-5</v>
      </c>
      <c r="O49" s="174">
        <f t="shared" si="16"/>
        <v>8.5654065204717796E-3</v>
      </c>
      <c r="P49" s="174">
        <f t="shared" si="16"/>
        <v>2.989670687773745E-4</v>
      </c>
      <c r="Q49" s="174">
        <f t="shared" si="16"/>
        <v>7.3844865988011484E-3</v>
      </c>
      <c r="R49" s="174">
        <f t="shared" si="16"/>
        <v>2.03596573837392E-2</v>
      </c>
      <c r="S49" s="174">
        <f t="shared" si="16"/>
        <v>5.0973885226542346E-3</v>
      </c>
      <c r="T49" s="174">
        <f t="shared" si="16"/>
        <v>6.2932567977637324E-3</v>
      </c>
      <c r="U49" s="174">
        <f t="shared" si="16"/>
        <v>1.6757104204971843E-2</v>
      </c>
      <c r="V49" s="174">
        <f t="shared" si="16"/>
        <v>1.8386474729808529E-3</v>
      </c>
      <c r="W49" s="174">
        <f t="shared" si="16"/>
        <v>9.6865330283869323E-3</v>
      </c>
      <c r="X49" s="174">
        <f t="shared" si="16"/>
        <v>1.1076729898201724E-2</v>
      </c>
      <c r="Y49" s="191">
        <f t="shared" si="16"/>
        <v>1.3692691750003733E-2</v>
      </c>
    </row>
    <row r="50" spans="1:26" x14ac:dyDescent="0.35">
      <c r="A50" s="188" t="s">
        <v>36</v>
      </c>
      <c r="B50" s="174">
        <v>0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74">
        <v>0</v>
      </c>
      <c r="T50" s="174">
        <v>0</v>
      </c>
      <c r="U50" s="174">
        <v>0</v>
      </c>
      <c r="V50" s="174">
        <v>0</v>
      </c>
      <c r="W50" s="174">
        <v>0</v>
      </c>
      <c r="X50" s="174">
        <v>0</v>
      </c>
      <c r="Y50" s="191">
        <v>0</v>
      </c>
    </row>
    <row r="51" spans="1:26" x14ac:dyDescent="0.35">
      <c r="A51" s="188" t="s">
        <v>39</v>
      </c>
      <c r="B51" s="174">
        <f t="shared" ref="B51:Y51" si="17">B36/$Z$36</f>
        <v>0.24430182420603497</v>
      </c>
      <c r="C51" s="174">
        <f t="shared" si="17"/>
        <v>7.0711724298740286E-2</v>
      </c>
      <c r="D51" s="174">
        <f t="shared" si="17"/>
        <v>6.4224237626294436E-2</v>
      </c>
      <c r="E51" s="174">
        <f t="shared" si="17"/>
        <v>3.0778893291186597E-2</v>
      </c>
      <c r="F51" s="174">
        <f t="shared" si="17"/>
        <v>4.1038524388248801E-2</v>
      </c>
      <c r="G51" s="174">
        <f t="shared" si="17"/>
        <v>4.0765861904914116E-2</v>
      </c>
      <c r="H51" s="174">
        <f t="shared" si="17"/>
        <v>6.2063622499732025E-2</v>
      </c>
      <c r="I51" s="174">
        <f t="shared" si="17"/>
        <v>3.9684614126173141E-2</v>
      </c>
      <c r="J51" s="174">
        <f t="shared" si="17"/>
        <v>4.5058885694245682E-2</v>
      </c>
      <c r="K51" s="174">
        <f t="shared" si="17"/>
        <v>2.8321170079335371E-2</v>
      </c>
      <c r="L51" s="174">
        <f t="shared" si="17"/>
        <v>2.4629884184259664E-2</v>
      </c>
      <c r="M51" s="174">
        <f t="shared" si="17"/>
        <v>3.6273512438110306E-2</v>
      </c>
      <c r="N51" s="174">
        <f t="shared" si="17"/>
        <v>2.0568153398032685E-2</v>
      </c>
      <c r="O51" s="174">
        <f t="shared" si="17"/>
        <v>2.7896192691517181E-2</v>
      </c>
      <c r="P51" s="174">
        <f t="shared" si="17"/>
        <v>1.3984764748689808E-2</v>
      </c>
      <c r="Q51" s="174">
        <f t="shared" si="17"/>
        <v>3.5323894823737802E-2</v>
      </c>
      <c r="R51" s="174">
        <f t="shared" si="17"/>
        <v>3.7319032029379848E-2</v>
      </c>
      <c r="S51" s="174">
        <f t="shared" si="17"/>
        <v>2.9960905841182568E-2</v>
      </c>
      <c r="T51" s="174">
        <f t="shared" si="17"/>
        <v>4.1313067302503031E-2</v>
      </c>
      <c r="U51" s="174">
        <f t="shared" si="17"/>
        <v>2.6828107929213051E-2</v>
      </c>
      <c r="V51" s="174">
        <f t="shared" si="17"/>
        <v>2.052114262504395E-2</v>
      </c>
      <c r="W51" s="174">
        <f t="shared" si="17"/>
        <v>7.732331941187642E-3</v>
      </c>
      <c r="X51" s="174">
        <f t="shared" si="17"/>
        <v>7.9749075298095294E-3</v>
      </c>
      <c r="Y51" s="196">
        <f t="shared" si="17"/>
        <v>2.7247444024272598E-3</v>
      </c>
    </row>
    <row r="52" spans="1:26" x14ac:dyDescent="0.35">
      <c r="A52" s="188" t="s">
        <v>40</v>
      </c>
      <c r="B52" s="174">
        <f t="shared" ref="B52:Y52" si="18">B38/$Z$38</f>
        <v>0.34913088909905421</v>
      </c>
      <c r="C52" s="174">
        <f t="shared" si="18"/>
        <v>8.0203900632119379E-2</v>
      </c>
      <c r="D52" s="174">
        <f t="shared" si="18"/>
        <v>2.3076399267902885E-2</v>
      </c>
      <c r="E52" s="174">
        <f t="shared" si="18"/>
        <v>2.4559874808505473E-2</v>
      </c>
      <c r="F52" s="174">
        <f t="shared" si="18"/>
        <v>2.7378792905741307E-2</v>
      </c>
      <c r="G52" s="174">
        <f t="shared" si="18"/>
        <v>4.1905824746340858E-2</v>
      </c>
      <c r="H52" s="174">
        <f t="shared" si="18"/>
        <v>5.6193228194140105E-2</v>
      </c>
      <c r="I52" s="174">
        <f t="shared" si="18"/>
        <v>4.7417370301363712E-2</v>
      </c>
      <c r="J52" s="174">
        <f t="shared" si="18"/>
        <v>3.2179132493406544E-2</v>
      </c>
      <c r="K52" s="174">
        <f t="shared" si="18"/>
        <v>3.107240089700589E-2</v>
      </c>
      <c r="L52" s="174">
        <f t="shared" si="18"/>
        <v>2.2907549145562884E-2</v>
      </c>
      <c r="M52" s="174">
        <f t="shared" si="18"/>
        <v>3.5402735760568523E-2</v>
      </c>
      <c r="N52" s="174">
        <f t="shared" si="18"/>
        <v>1.6228856032556905E-2</v>
      </c>
      <c r="O52" s="174">
        <f t="shared" si="18"/>
        <v>1.6704689555403301E-2</v>
      </c>
      <c r="P52" s="174">
        <f t="shared" si="18"/>
        <v>1.6140683886480177E-2</v>
      </c>
      <c r="Q52" s="174">
        <f t="shared" si="18"/>
        <v>1.5023589981201674E-2</v>
      </c>
      <c r="R52" s="174">
        <f t="shared" si="18"/>
        <v>1.792994005959439E-2</v>
      </c>
      <c r="S52" s="174">
        <f t="shared" si="18"/>
        <v>1.6709315586152337E-2</v>
      </c>
      <c r="T52" s="174">
        <f t="shared" si="18"/>
        <v>2.3192512639703823E-2</v>
      </c>
      <c r="U52" s="174">
        <f t="shared" si="18"/>
        <v>3.7781255730495615E-2</v>
      </c>
      <c r="V52" s="174">
        <f t="shared" si="18"/>
        <v>2.7830848630537638E-2</v>
      </c>
      <c r="W52" s="174">
        <f t="shared" si="18"/>
        <v>2.0909936547511849E-2</v>
      </c>
      <c r="X52" s="174">
        <f t="shared" si="18"/>
        <v>1.8766141377791101E-2</v>
      </c>
      <c r="Y52" s="196">
        <f t="shared" si="18"/>
        <v>1.3541317208593845E-3</v>
      </c>
    </row>
    <row r="55" spans="1:26" ht="15.5" x14ac:dyDescent="0.35">
      <c r="B55" s="109" t="s">
        <v>74</v>
      </c>
      <c r="C55" s="109">
        <v>2000</v>
      </c>
      <c r="D55" s="109">
        <v>2001</v>
      </c>
      <c r="E55" s="109">
        <v>2002</v>
      </c>
      <c r="F55" s="109">
        <v>2003</v>
      </c>
      <c r="G55" s="109">
        <v>2004</v>
      </c>
      <c r="H55" s="109">
        <v>2005</v>
      </c>
      <c r="I55" s="109">
        <v>2006</v>
      </c>
      <c r="J55" s="109">
        <v>2007</v>
      </c>
      <c r="K55" s="109">
        <v>2008</v>
      </c>
      <c r="L55" s="109">
        <v>2009</v>
      </c>
      <c r="M55" s="109">
        <v>2010</v>
      </c>
      <c r="N55" s="109">
        <v>2011</v>
      </c>
      <c r="O55" s="109">
        <v>2012</v>
      </c>
      <c r="P55" s="109">
        <v>2013</v>
      </c>
      <c r="Q55" s="109">
        <v>2014</v>
      </c>
      <c r="R55" s="109">
        <v>2015</v>
      </c>
      <c r="S55" s="109">
        <v>2016</v>
      </c>
      <c r="T55" s="109">
        <v>2017</v>
      </c>
      <c r="U55" s="109">
        <v>2018</v>
      </c>
      <c r="V55" s="109">
        <v>2019</v>
      </c>
      <c r="W55" s="109">
        <v>2020</v>
      </c>
      <c r="X55" s="109">
        <v>2021</v>
      </c>
      <c r="Y55" s="109" t="s">
        <v>109</v>
      </c>
    </row>
    <row r="56" spans="1:26" x14ac:dyDescent="0.35">
      <c r="A56" s="56" t="s">
        <v>64</v>
      </c>
      <c r="B56" s="110">
        <v>37735.469999999936</v>
      </c>
      <c r="C56" s="110">
        <v>8668.7599999999984</v>
      </c>
      <c r="D56" s="110">
        <v>2494.1899999999991</v>
      </c>
      <c r="E56" s="110">
        <v>2654.53</v>
      </c>
      <c r="F56" s="110">
        <v>2959.2099999999996</v>
      </c>
      <c r="G56" s="110">
        <v>4529.3499999999976</v>
      </c>
      <c r="H56" s="110">
        <v>6073.5899999999992</v>
      </c>
      <c r="I56" s="110">
        <v>5125.0599999999986</v>
      </c>
      <c r="J56" s="110">
        <v>3478.0500000000006</v>
      </c>
      <c r="K56" s="110">
        <v>3358.4300000000003</v>
      </c>
      <c r="L56" s="110">
        <v>2475.94</v>
      </c>
      <c r="M56" s="110">
        <v>3826.4700000000012</v>
      </c>
      <c r="N56" s="110">
        <v>1754.08</v>
      </c>
      <c r="O56" s="110">
        <v>1805.5100000000002</v>
      </c>
      <c r="P56" s="110">
        <v>1744.5500000000002</v>
      </c>
      <c r="Q56" s="110">
        <v>1623.8100000000004</v>
      </c>
      <c r="R56" s="110">
        <v>1937.94</v>
      </c>
      <c r="S56" s="110">
        <v>1806.0099999999998</v>
      </c>
      <c r="T56" s="110">
        <v>2506.7399999999993</v>
      </c>
      <c r="U56" s="110">
        <v>4083.55</v>
      </c>
      <c r="V56" s="110">
        <v>3008.0700000000006</v>
      </c>
      <c r="W56" s="110">
        <v>2260.0300000000002</v>
      </c>
      <c r="X56" s="110">
        <v>2028.3199999999995</v>
      </c>
      <c r="Y56" s="110">
        <v>108084.01999999993</v>
      </c>
    </row>
    <row r="57" spans="1:26" x14ac:dyDescent="0.35">
      <c r="A57" s="56" t="s">
        <v>70</v>
      </c>
      <c r="B57" s="110">
        <v>27018.139999999967</v>
      </c>
      <c r="C57" s="110">
        <v>7973.6600000000026</v>
      </c>
      <c r="D57" s="110">
        <v>2340.5100000000002</v>
      </c>
      <c r="E57" s="110">
        <v>2779.16</v>
      </c>
      <c r="F57" s="110">
        <v>2437</v>
      </c>
      <c r="G57" s="110">
        <v>3801.8700000000013</v>
      </c>
      <c r="H57" s="110">
        <v>3006.1799999999976</v>
      </c>
      <c r="I57" s="110">
        <v>1410.9199999999996</v>
      </c>
      <c r="J57" s="110">
        <v>1461.5799999999997</v>
      </c>
      <c r="K57" s="110">
        <v>1414.7199999999996</v>
      </c>
      <c r="L57" s="110">
        <v>1284.1999999999998</v>
      </c>
      <c r="M57" s="110">
        <v>2732.8399999999997</v>
      </c>
      <c r="N57" s="110">
        <v>1521.9100000000003</v>
      </c>
      <c r="O57" s="110">
        <v>1998.0399999999993</v>
      </c>
      <c r="P57" s="110">
        <v>1909.73</v>
      </c>
      <c r="Q57" s="110">
        <v>2520.6299999999992</v>
      </c>
      <c r="R57" s="110">
        <v>3563.0900000000006</v>
      </c>
      <c r="S57" s="110">
        <v>2221.6400000000008</v>
      </c>
      <c r="T57" s="110">
        <v>1804.2799999999995</v>
      </c>
      <c r="U57" s="110">
        <v>1837.3600000000004</v>
      </c>
      <c r="V57" s="110">
        <v>1359.6700000000003</v>
      </c>
      <c r="W57" s="110">
        <v>1205.0300000000002</v>
      </c>
      <c r="X57" s="110">
        <v>850.68000000000006</v>
      </c>
      <c r="Y57" s="110">
        <v>78551.239999999962</v>
      </c>
    </row>
    <row r="58" spans="1:26" x14ac:dyDescent="0.35">
      <c r="A58" s="56" t="s">
        <v>48</v>
      </c>
      <c r="B58" s="110">
        <v>9683.3499999999985</v>
      </c>
      <c r="C58" s="110">
        <v>2655.3399999999988</v>
      </c>
      <c r="D58" s="110">
        <v>656.99</v>
      </c>
      <c r="E58" s="110">
        <v>436.97</v>
      </c>
      <c r="F58" s="110">
        <v>399.24000000000007</v>
      </c>
      <c r="G58" s="110">
        <v>403.16</v>
      </c>
      <c r="H58" s="110">
        <v>848.61</v>
      </c>
      <c r="I58" s="110">
        <v>215.63</v>
      </c>
      <c r="J58" s="110">
        <v>344.78999999999996</v>
      </c>
      <c r="K58" s="110">
        <v>329.12999999999994</v>
      </c>
      <c r="L58" s="110">
        <v>349.21000000000004</v>
      </c>
      <c r="M58" s="110">
        <v>1189.1199999999997</v>
      </c>
      <c r="N58" s="110">
        <v>534.32999999999981</v>
      </c>
      <c r="O58" s="110">
        <v>562.89</v>
      </c>
      <c r="P58" s="110">
        <v>853.89</v>
      </c>
      <c r="Q58" s="110">
        <v>1272.22</v>
      </c>
      <c r="R58" s="110">
        <v>1679.5900000000004</v>
      </c>
      <c r="S58" s="110">
        <v>1336.5599999999997</v>
      </c>
      <c r="T58" s="110">
        <v>1301.4499999999994</v>
      </c>
      <c r="U58" s="110">
        <v>1861.9999999999993</v>
      </c>
      <c r="V58" s="110">
        <v>1309.5400000000002</v>
      </c>
      <c r="W58" s="110">
        <v>1032.96</v>
      </c>
      <c r="X58" s="110">
        <v>743.81000000000006</v>
      </c>
      <c r="Y58" s="110">
        <v>30125.49</v>
      </c>
    </row>
    <row r="59" spans="1:26" x14ac:dyDescent="0.35">
      <c r="A59" s="56" t="s">
        <v>53</v>
      </c>
      <c r="B59" s="110">
        <v>264.55999999999995</v>
      </c>
      <c r="C59" s="110">
        <v>138.91</v>
      </c>
      <c r="D59" s="110">
        <v>46.379999999999995</v>
      </c>
      <c r="E59" s="110">
        <v>34.700000000000003</v>
      </c>
      <c r="F59" s="110">
        <v>93.210000000000008</v>
      </c>
      <c r="G59" s="110">
        <v>42.25</v>
      </c>
      <c r="H59" s="110">
        <v>86.490000000000009</v>
      </c>
      <c r="I59" s="110">
        <v>69.38</v>
      </c>
      <c r="J59" s="110">
        <v>85.81</v>
      </c>
      <c r="K59" s="110">
        <v>63.41</v>
      </c>
      <c r="L59" s="110">
        <v>30.45</v>
      </c>
      <c r="M59" s="110">
        <v>138.84</v>
      </c>
      <c r="N59" s="110">
        <v>62.67</v>
      </c>
      <c r="O59" s="110">
        <v>52.28</v>
      </c>
      <c r="P59" s="110">
        <v>39.230000000000004</v>
      </c>
      <c r="Q59" s="110">
        <v>104.74000000000001</v>
      </c>
      <c r="R59" s="110">
        <v>93.12</v>
      </c>
      <c r="S59" s="110">
        <v>123.53999999999999</v>
      </c>
      <c r="T59" s="110">
        <v>128.78</v>
      </c>
      <c r="U59" s="110">
        <v>133.88</v>
      </c>
      <c r="V59" s="110">
        <v>196.82</v>
      </c>
      <c r="W59" s="110">
        <v>204.71</v>
      </c>
      <c r="X59" s="110">
        <v>99.02000000000001</v>
      </c>
      <c r="Y59" s="110">
        <v>2335.0500000000002</v>
      </c>
      <c r="Z59" s="6"/>
    </row>
    <row r="60" spans="1:26" x14ac:dyDescent="0.35">
      <c r="A60" s="56" t="s">
        <v>111</v>
      </c>
      <c r="B60" s="110">
        <f>SUM(B56:B59)</f>
        <v>74701.519999999902</v>
      </c>
      <c r="C60" s="110">
        <f t="shared" ref="C60:W60" si="19">SUM(C56:C59)</f>
        <v>19436.670000000002</v>
      </c>
      <c r="D60" s="110">
        <f t="shared" si="19"/>
        <v>5538.0699999999988</v>
      </c>
      <c r="E60" s="110">
        <f t="shared" si="19"/>
        <v>5905.3600000000006</v>
      </c>
      <c r="F60" s="110">
        <f t="shared" si="19"/>
        <v>5888.6599999999989</v>
      </c>
      <c r="G60" s="110">
        <f t="shared" si="19"/>
        <v>8776.6299999999992</v>
      </c>
      <c r="H60" s="110">
        <f t="shared" si="19"/>
        <v>10014.869999999997</v>
      </c>
      <c r="I60" s="110">
        <f t="shared" si="19"/>
        <v>6820.989999999998</v>
      </c>
      <c r="J60" s="110">
        <f t="shared" si="19"/>
        <v>5370.2300000000005</v>
      </c>
      <c r="K60" s="110">
        <f t="shared" si="19"/>
        <v>5165.6899999999996</v>
      </c>
      <c r="L60" s="110">
        <f t="shared" si="19"/>
        <v>4139.8</v>
      </c>
      <c r="M60" s="110">
        <f t="shared" si="19"/>
        <v>7887.2700000000013</v>
      </c>
      <c r="N60" s="110">
        <f t="shared" si="19"/>
        <v>3872.9900000000002</v>
      </c>
      <c r="O60" s="110">
        <f t="shared" si="19"/>
        <v>4418.7199999999993</v>
      </c>
      <c r="P60" s="110">
        <f t="shared" si="19"/>
        <v>4547.3999999999996</v>
      </c>
      <c r="Q60" s="110">
        <f t="shared" si="19"/>
        <v>5521.4</v>
      </c>
      <c r="R60" s="110">
        <f t="shared" si="19"/>
        <v>7273.7400000000007</v>
      </c>
      <c r="S60" s="110">
        <f t="shared" si="19"/>
        <v>5487.75</v>
      </c>
      <c r="T60" s="110">
        <f t="shared" si="19"/>
        <v>5741.2499999999973</v>
      </c>
      <c r="U60" s="110">
        <f t="shared" si="19"/>
        <v>7916.79</v>
      </c>
      <c r="V60" s="110">
        <f t="shared" si="19"/>
        <v>5874.1</v>
      </c>
      <c r="W60" s="110">
        <f t="shared" si="19"/>
        <v>4702.7300000000005</v>
      </c>
      <c r="X60" s="110">
        <f t="shared" ref="X60:Y60" si="20">SUM(X56:X59)</f>
        <v>3721.8299999999995</v>
      </c>
      <c r="Y60" s="110">
        <f t="shared" si="20"/>
        <v>219095.79999999987</v>
      </c>
    </row>
    <row r="61" spans="1:26" x14ac:dyDescent="0.35">
      <c r="A61" s="265" t="s">
        <v>112</v>
      </c>
      <c r="B61" s="111">
        <f>B56/$Y$56</f>
        <v>0.34913088909905421</v>
      </c>
      <c r="C61" s="111">
        <f t="shared" ref="C61:X61" si="21">C56/$Y$56</f>
        <v>8.0203900632119379E-2</v>
      </c>
      <c r="D61" s="111">
        <f t="shared" si="21"/>
        <v>2.3076399267902885E-2</v>
      </c>
      <c r="E61" s="111">
        <f t="shared" si="21"/>
        <v>2.4559874808505473E-2</v>
      </c>
      <c r="F61" s="111">
        <f t="shared" si="21"/>
        <v>2.7378792905741307E-2</v>
      </c>
      <c r="G61" s="111">
        <f t="shared" si="21"/>
        <v>4.1905824746340858E-2</v>
      </c>
      <c r="H61" s="111">
        <f t="shared" si="21"/>
        <v>5.6193228194140105E-2</v>
      </c>
      <c r="I61" s="111">
        <f t="shared" si="21"/>
        <v>4.7417370301363712E-2</v>
      </c>
      <c r="J61" s="111">
        <f t="shared" si="21"/>
        <v>3.2179132493406544E-2</v>
      </c>
      <c r="K61" s="111">
        <f t="shared" si="21"/>
        <v>3.107240089700589E-2</v>
      </c>
      <c r="L61" s="111">
        <f t="shared" si="21"/>
        <v>2.2907549145562884E-2</v>
      </c>
      <c r="M61" s="111">
        <f t="shared" si="21"/>
        <v>3.5402735760568523E-2</v>
      </c>
      <c r="N61" s="111">
        <f t="shared" si="21"/>
        <v>1.6228856032556905E-2</v>
      </c>
      <c r="O61" s="111">
        <f t="shared" si="21"/>
        <v>1.6704689555403301E-2</v>
      </c>
      <c r="P61" s="111">
        <f t="shared" si="21"/>
        <v>1.6140683886480177E-2</v>
      </c>
      <c r="Q61" s="111">
        <f t="shared" si="21"/>
        <v>1.5023589981201674E-2</v>
      </c>
      <c r="R61" s="111">
        <f t="shared" si="21"/>
        <v>1.792994005959439E-2</v>
      </c>
      <c r="S61" s="111">
        <f t="shared" si="21"/>
        <v>1.6709315586152337E-2</v>
      </c>
      <c r="T61" s="111">
        <f t="shared" si="21"/>
        <v>2.3192512639703823E-2</v>
      </c>
      <c r="U61" s="111">
        <f t="shared" si="21"/>
        <v>3.7781255730495615E-2</v>
      </c>
      <c r="V61" s="111">
        <f t="shared" si="21"/>
        <v>2.7830848630537638E-2</v>
      </c>
      <c r="W61" s="111">
        <f t="shared" si="21"/>
        <v>2.0909936547511849E-2</v>
      </c>
      <c r="X61" s="111">
        <f t="shared" si="21"/>
        <v>1.8766141377791101E-2</v>
      </c>
      <c r="Y61" s="111">
        <f>Y56/$Y$56</f>
        <v>1</v>
      </c>
    </row>
    <row r="62" spans="1:26" x14ac:dyDescent="0.35">
      <c r="A62" s="266" t="s">
        <v>113</v>
      </c>
      <c r="B62" s="111">
        <f>B57/$Y$57</f>
        <v>0.34395561419526899</v>
      </c>
      <c r="C62" s="111">
        <f t="shared" ref="C62:X62" si="22">C57/$Y$57</f>
        <v>0.1015090277378181</v>
      </c>
      <c r="D62" s="111">
        <f t="shared" si="22"/>
        <v>2.9795965028687026E-2</v>
      </c>
      <c r="E62" s="111">
        <f t="shared" si="22"/>
        <v>3.5380218058938359E-2</v>
      </c>
      <c r="F62" s="111">
        <f t="shared" si="22"/>
        <v>3.1024335198273141E-2</v>
      </c>
      <c r="G62" s="111">
        <f t="shared" si="22"/>
        <v>4.8399872490873512E-2</v>
      </c>
      <c r="H62" s="111">
        <f t="shared" si="22"/>
        <v>3.8270306108471347E-2</v>
      </c>
      <c r="I62" s="111">
        <f t="shared" si="22"/>
        <v>1.7961778833790534E-2</v>
      </c>
      <c r="J62" s="111">
        <f t="shared" si="22"/>
        <v>1.860670818181865E-2</v>
      </c>
      <c r="K62" s="111">
        <f t="shared" si="22"/>
        <v>1.8010154900164534E-2</v>
      </c>
      <c r="L62" s="111">
        <f t="shared" si="22"/>
        <v>1.6348564325655464E-2</v>
      </c>
      <c r="M62" s="111">
        <f t="shared" si="22"/>
        <v>3.479053927092686E-2</v>
      </c>
      <c r="N62" s="111">
        <f t="shared" si="22"/>
        <v>1.9374741888224821E-2</v>
      </c>
      <c r="O62" s="111">
        <f t="shared" si="22"/>
        <v>2.5436135699449178E-2</v>
      </c>
      <c r="P62" s="111">
        <f t="shared" si="22"/>
        <v>2.4311901378004992E-2</v>
      </c>
      <c r="Q62" s="111">
        <f t="shared" si="22"/>
        <v>3.208899057481461E-2</v>
      </c>
      <c r="R62" s="111">
        <f t="shared" si="22"/>
        <v>4.5360073246456738E-2</v>
      </c>
      <c r="S62" s="111">
        <f t="shared" si="22"/>
        <v>2.8282685289245615E-2</v>
      </c>
      <c r="T62" s="111">
        <f t="shared" si="22"/>
        <v>2.2969465536126488E-2</v>
      </c>
      <c r="U62" s="111">
        <f t="shared" si="22"/>
        <v>2.3390591924455952E-2</v>
      </c>
      <c r="V62" s="111">
        <f t="shared" si="22"/>
        <v>1.7309338464930674E-2</v>
      </c>
      <c r="W62" s="111">
        <f t="shared" si="22"/>
        <v>1.5340687174384526E-2</v>
      </c>
      <c r="X62" s="111">
        <f t="shared" si="22"/>
        <v>1.0829618985009027E-2</v>
      </c>
      <c r="Y62" s="111">
        <f>Y57/$Y$57</f>
        <v>1</v>
      </c>
    </row>
    <row r="63" spans="1:26" x14ac:dyDescent="0.35">
      <c r="A63" s="266" t="s">
        <v>114</v>
      </c>
      <c r="B63" s="111">
        <f>B58/$Y$58</f>
        <v>0.3214337758489571</v>
      </c>
      <c r="C63" s="111">
        <f t="shared" ref="C63:X63" si="23">C58/$Y$58</f>
        <v>8.8142632700746071E-2</v>
      </c>
      <c r="D63" s="111">
        <f t="shared" si="23"/>
        <v>2.1808441953973197E-2</v>
      </c>
      <c r="E63" s="111">
        <f t="shared" si="23"/>
        <v>1.4504992283942933E-2</v>
      </c>
      <c r="F63" s="111">
        <f t="shared" si="23"/>
        <v>1.3252564522601958E-2</v>
      </c>
      <c r="G63" s="111">
        <f t="shared" si="23"/>
        <v>1.3382686887416603E-2</v>
      </c>
      <c r="H63" s="111">
        <f t="shared" si="23"/>
        <v>2.8169168368713669E-2</v>
      </c>
      <c r="I63" s="111">
        <f t="shared" si="23"/>
        <v>7.1577258992301862E-3</v>
      </c>
      <c r="J63" s="111">
        <f t="shared" si="23"/>
        <v>1.1445125041949524E-2</v>
      </c>
      <c r="K63" s="111">
        <f t="shared" si="23"/>
        <v>1.0925299472307335E-2</v>
      </c>
      <c r="L63" s="111">
        <f t="shared" si="23"/>
        <v>1.1591844647174204E-2</v>
      </c>
      <c r="M63" s="111">
        <f t="shared" si="23"/>
        <v>3.9472221032753316E-2</v>
      </c>
      <c r="N63" s="111">
        <f t="shared" si="23"/>
        <v>1.7736806936584262E-2</v>
      </c>
      <c r="O63" s="111">
        <f t="shared" si="23"/>
        <v>1.8684841308805267E-2</v>
      </c>
      <c r="P63" s="111">
        <f t="shared" si="23"/>
        <v>2.83444352274436E-2</v>
      </c>
      <c r="Q63" s="111">
        <f t="shared" si="23"/>
        <v>4.2230682388900563E-2</v>
      </c>
      <c r="R63" s="111">
        <f t="shared" si="23"/>
        <v>5.5753118040569642E-2</v>
      </c>
      <c r="S63" s="111">
        <f t="shared" si="23"/>
        <v>4.4366415284863403E-2</v>
      </c>
      <c r="T63" s="111">
        <f t="shared" si="23"/>
        <v>4.3200957063270984E-2</v>
      </c>
      <c r="U63" s="111">
        <f t="shared" si="23"/>
        <v>6.1808123286957298E-2</v>
      </c>
      <c r="V63" s="111">
        <f t="shared" si="23"/>
        <v>4.3469500413105315E-2</v>
      </c>
      <c r="W63" s="111">
        <f t="shared" si="23"/>
        <v>3.4288570907892287E-2</v>
      </c>
      <c r="X63" s="111">
        <f t="shared" si="23"/>
        <v>2.4690386778771067E-2</v>
      </c>
      <c r="Y63" s="111">
        <f>Y58/$Y$58</f>
        <v>1</v>
      </c>
    </row>
    <row r="64" spans="1:26" x14ac:dyDescent="0.35">
      <c r="A64" s="266" t="s">
        <v>115</v>
      </c>
      <c r="B64" s="111">
        <f>B59/$Y$59</f>
        <v>0.11329950108134726</v>
      </c>
      <c r="C64" s="111">
        <f t="shared" ref="C64:X64" si="24">C59/$Y$59</f>
        <v>5.9489090169375383E-2</v>
      </c>
      <c r="D64" s="111">
        <f t="shared" si="24"/>
        <v>1.9862529710284575E-2</v>
      </c>
      <c r="E64" s="111">
        <f t="shared" si="24"/>
        <v>1.4860495492601872E-2</v>
      </c>
      <c r="F64" s="111">
        <f t="shared" si="24"/>
        <v>3.9917774779983296E-2</v>
      </c>
      <c r="G64" s="111">
        <f t="shared" si="24"/>
        <v>1.8093830967216975E-2</v>
      </c>
      <c r="H64" s="111">
        <f t="shared" si="24"/>
        <v>3.7039892079398729E-2</v>
      </c>
      <c r="I64" s="111">
        <f t="shared" si="24"/>
        <v>2.9712425858118667E-2</v>
      </c>
      <c r="J64" s="111">
        <f t="shared" si="24"/>
        <v>3.6748677758506237E-2</v>
      </c>
      <c r="K64" s="111">
        <f t="shared" si="24"/>
        <v>2.7155735423224338E-2</v>
      </c>
      <c r="L64" s="111">
        <f t="shared" si="24"/>
        <v>1.304040598702383E-2</v>
      </c>
      <c r="M64" s="111">
        <f t="shared" si="24"/>
        <v>5.9459112224577629E-2</v>
      </c>
      <c r="N64" s="111">
        <f t="shared" si="24"/>
        <v>2.6838825721076636E-2</v>
      </c>
      <c r="O64" s="111">
        <f t="shared" si="24"/>
        <v>2.2389242200381146E-2</v>
      </c>
      <c r="P64" s="111">
        <f t="shared" si="24"/>
        <v>1.6800496777370933E-2</v>
      </c>
      <c r="Q64" s="111">
        <f t="shared" si="24"/>
        <v>4.4855570544527955E-2</v>
      </c>
      <c r="R64" s="111">
        <f t="shared" si="24"/>
        <v>3.9879231708100468E-2</v>
      </c>
      <c r="S64" s="111">
        <f t="shared" si="24"/>
        <v>5.2906790004496683E-2</v>
      </c>
      <c r="T64" s="111">
        <f t="shared" si="24"/>
        <v>5.5150853300785847E-2</v>
      </c>
      <c r="U64" s="111">
        <f t="shared" si="24"/>
        <v>5.7334960707479489E-2</v>
      </c>
      <c r="V64" s="111">
        <f t="shared" si="24"/>
        <v>8.4289415644204613E-2</v>
      </c>
      <c r="W64" s="111">
        <f t="shared" si="24"/>
        <v>8.7668358279265959E-2</v>
      </c>
      <c r="X64" s="111">
        <f t="shared" si="24"/>
        <v>4.2405944198197043E-2</v>
      </c>
      <c r="Y64" s="111">
        <f>Y59/$Y$59</f>
        <v>1</v>
      </c>
    </row>
    <row r="65" spans="1:26" x14ac:dyDescent="0.35">
      <c r="A65" s="266" t="s">
        <v>116</v>
      </c>
      <c r="B65" s="111">
        <f>B60/$Y$60</f>
        <v>0.34095368327462211</v>
      </c>
      <c r="C65" s="111">
        <f t="shared" ref="C65:X65" si="25">C60/$Y$60</f>
        <v>8.8713110885740451E-2</v>
      </c>
      <c r="D65" s="111">
        <f t="shared" si="25"/>
        <v>2.5276933651854586E-2</v>
      </c>
      <c r="E65" s="111">
        <f t="shared" si="25"/>
        <v>2.6953323614601486E-2</v>
      </c>
      <c r="F65" s="111">
        <f t="shared" si="25"/>
        <v>2.6877101249772942E-2</v>
      </c>
      <c r="G65" s="111">
        <f t="shared" si="25"/>
        <v>4.0058412803896763E-2</v>
      </c>
      <c r="H65" s="111">
        <f t="shared" si="25"/>
        <v>4.5710004482057635E-2</v>
      </c>
      <c r="I65" s="111">
        <f t="shared" si="25"/>
        <v>3.113245438753277E-2</v>
      </c>
      <c r="J65" s="111">
        <f t="shared" si="25"/>
        <v>2.451087606426049E-2</v>
      </c>
      <c r="K65" s="111">
        <f t="shared" si="25"/>
        <v>2.3577311842582115E-2</v>
      </c>
      <c r="L65" s="111">
        <f t="shared" si="25"/>
        <v>1.8894930893243973E-2</v>
      </c>
      <c r="M65" s="111">
        <f t="shared" si="25"/>
        <v>3.5999183918632882E-2</v>
      </c>
      <c r="N65" s="111">
        <f t="shared" si="25"/>
        <v>1.7677153099237879E-2</v>
      </c>
      <c r="O65" s="111">
        <f t="shared" si="25"/>
        <v>2.0167981312284408E-2</v>
      </c>
      <c r="P65" s="111">
        <f t="shared" si="25"/>
        <v>2.0755304300675789E-2</v>
      </c>
      <c r="Q65" s="111">
        <f t="shared" si="25"/>
        <v>2.5200848213429938E-2</v>
      </c>
      <c r="R65" s="111">
        <f t="shared" si="25"/>
        <v>3.3198902032809417E-2</v>
      </c>
      <c r="S65" s="111">
        <f t="shared" si="25"/>
        <v>2.5047262430407169E-2</v>
      </c>
      <c r="T65" s="111">
        <f t="shared" si="25"/>
        <v>2.6204290543223561E-2</v>
      </c>
      <c r="U65" s="111">
        <f t="shared" si="25"/>
        <v>3.6133919500054332E-2</v>
      </c>
      <c r="V65" s="111">
        <f t="shared" si="25"/>
        <v>2.6810646301754774E-2</v>
      </c>
      <c r="W65" s="111">
        <f t="shared" si="25"/>
        <v>2.1464263577850435E-2</v>
      </c>
      <c r="X65" s="111">
        <f t="shared" si="25"/>
        <v>1.6987226592203052E-2</v>
      </c>
      <c r="Y65" s="111">
        <f>Y60/$Y$60</f>
        <v>1</v>
      </c>
      <c r="Z65" s="112"/>
    </row>
    <row r="66" spans="1:26" x14ac:dyDescent="0.35">
      <c r="A66" s="267" t="s">
        <v>117</v>
      </c>
    </row>
    <row r="67" spans="1:26" x14ac:dyDescent="0.35">
      <c r="A67" s="56" t="s">
        <v>64</v>
      </c>
      <c r="B67" s="112">
        <f>B61</f>
        <v>0.34913088909905421</v>
      </c>
      <c r="C67" s="112">
        <f t="shared" ref="C67:X71" si="26">C61+B67</f>
        <v>0.42933478973117356</v>
      </c>
      <c r="D67" s="112">
        <f>D61+C67</f>
        <v>0.45241118899907645</v>
      </c>
      <c r="E67" s="112">
        <f t="shared" si="26"/>
        <v>0.47697106380758192</v>
      </c>
      <c r="F67" s="112">
        <f t="shared" si="26"/>
        <v>0.50434985671332322</v>
      </c>
      <c r="G67" s="112">
        <f t="shared" si="26"/>
        <v>0.54625568145966408</v>
      </c>
      <c r="H67" s="112">
        <f t="shared" si="26"/>
        <v>0.60244890965380415</v>
      </c>
      <c r="I67" s="112">
        <f t="shared" si="26"/>
        <v>0.64986627995516788</v>
      </c>
      <c r="J67" s="112">
        <f t="shared" si="26"/>
        <v>0.68204541244857442</v>
      </c>
      <c r="K67" s="112">
        <f t="shared" si="26"/>
        <v>0.71311781334558033</v>
      </c>
      <c r="L67" s="112">
        <f t="shared" si="26"/>
        <v>0.73602536249114325</v>
      </c>
      <c r="M67" s="112">
        <f t="shared" si="26"/>
        <v>0.77142809825171177</v>
      </c>
      <c r="N67" s="112">
        <f t="shared" si="26"/>
        <v>0.78765695428426863</v>
      </c>
      <c r="O67" s="112">
        <f t="shared" si="26"/>
        <v>0.8043616438396719</v>
      </c>
      <c r="P67" s="112">
        <f t="shared" si="26"/>
        <v>0.82050232772615206</v>
      </c>
      <c r="Q67" s="112">
        <f t="shared" si="26"/>
        <v>0.83552591770735374</v>
      </c>
      <c r="R67" s="112">
        <f t="shared" si="26"/>
        <v>0.8534558577669481</v>
      </c>
      <c r="S67" s="112">
        <f t="shared" si="26"/>
        <v>0.8701651733531004</v>
      </c>
      <c r="T67" s="112">
        <f>T61+S67</f>
        <v>0.89335768599280418</v>
      </c>
      <c r="U67" s="112">
        <f>U61+T67</f>
        <v>0.93113894172329981</v>
      </c>
      <c r="V67" s="112">
        <f>V61+U67</f>
        <v>0.95896979035383745</v>
      </c>
      <c r="W67" s="112">
        <f>W61+V67</f>
        <v>0.97987972690134928</v>
      </c>
      <c r="X67" s="112">
        <f>X61+W67</f>
        <v>0.99864586827914037</v>
      </c>
      <c r="Y67" s="112"/>
    </row>
    <row r="68" spans="1:26" x14ac:dyDescent="0.35">
      <c r="A68" s="56" t="s">
        <v>70</v>
      </c>
      <c r="B68" s="112">
        <f t="shared" ref="B68:B71" si="27">B62</f>
        <v>0.34395561419526899</v>
      </c>
      <c r="C68" s="112">
        <f t="shared" si="26"/>
        <v>0.4454646419330871</v>
      </c>
      <c r="D68" s="112">
        <f t="shared" si="26"/>
        <v>0.47526060696177413</v>
      </c>
      <c r="E68" s="112">
        <f t="shared" si="26"/>
        <v>0.51064082502071251</v>
      </c>
      <c r="F68" s="112">
        <f t="shared" si="26"/>
        <v>0.5416651602189857</v>
      </c>
      <c r="G68" s="112">
        <f t="shared" si="26"/>
        <v>0.59006503270985922</v>
      </c>
      <c r="H68" s="112">
        <f t="shared" si="26"/>
        <v>0.62833533881833059</v>
      </c>
      <c r="I68" s="112">
        <f t="shared" si="26"/>
        <v>0.64629711765212117</v>
      </c>
      <c r="J68" s="112">
        <f t="shared" si="26"/>
        <v>0.66490382583393981</v>
      </c>
      <c r="K68" s="112">
        <f t="shared" si="26"/>
        <v>0.68291398073410436</v>
      </c>
      <c r="L68" s="112">
        <f t="shared" si="26"/>
        <v>0.69926254505975982</v>
      </c>
      <c r="M68" s="112">
        <f t="shared" si="26"/>
        <v>0.73405308433068672</v>
      </c>
      <c r="N68" s="112">
        <f t="shared" si="26"/>
        <v>0.75342782621891158</v>
      </c>
      <c r="O68" s="112">
        <f t="shared" si="26"/>
        <v>0.77886396191836071</v>
      </c>
      <c r="P68" s="112">
        <f t="shared" si="26"/>
        <v>0.8031758632963657</v>
      </c>
      <c r="Q68" s="112">
        <f t="shared" si="26"/>
        <v>0.83526485387118032</v>
      </c>
      <c r="R68" s="112">
        <f t="shared" si="26"/>
        <v>0.88062492711763707</v>
      </c>
      <c r="S68" s="112">
        <f t="shared" si="26"/>
        <v>0.90890761240688267</v>
      </c>
      <c r="T68" s="112">
        <f t="shared" si="26"/>
        <v>0.93187707794300911</v>
      </c>
      <c r="U68" s="112">
        <f t="shared" si="26"/>
        <v>0.95526766986746503</v>
      </c>
      <c r="V68" s="112">
        <f t="shared" si="26"/>
        <v>0.97257700833239569</v>
      </c>
      <c r="W68" s="112">
        <f t="shared" si="26"/>
        <v>0.98791769550678021</v>
      </c>
      <c r="X68" s="112">
        <f t="shared" si="26"/>
        <v>0.99874731449178922</v>
      </c>
    </row>
    <row r="69" spans="1:26" x14ac:dyDescent="0.35">
      <c r="A69" s="56" t="s">
        <v>48</v>
      </c>
      <c r="B69" s="112">
        <f t="shared" si="27"/>
        <v>0.3214337758489571</v>
      </c>
      <c r="C69" s="112">
        <f t="shared" si="26"/>
        <v>0.40957640854970317</v>
      </c>
      <c r="D69" s="112">
        <f t="shared" si="26"/>
        <v>0.43138485050367636</v>
      </c>
      <c r="E69" s="112">
        <f t="shared" si="26"/>
        <v>0.44588984278761928</v>
      </c>
      <c r="F69" s="112">
        <f t="shared" si="26"/>
        <v>0.45914240731022127</v>
      </c>
      <c r="G69" s="112">
        <f t="shared" si="26"/>
        <v>0.47252509419763788</v>
      </c>
      <c r="H69" s="112">
        <f t="shared" si="26"/>
        <v>0.50069426256635152</v>
      </c>
      <c r="I69" s="112">
        <f t="shared" si="26"/>
        <v>0.50785198846558166</v>
      </c>
      <c r="J69" s="112">
        <f t="shared" si="26"/>
        <v>0.51929711350753116</v>
      </c>
      <c r="K69" s="112">
        <f t="shared" si="26"/>
        <v>0.53022241297983852</v>
      </c>
      <c r="L69" s="112">
        <f t="shared" si="26"/>
        <v>0.54181425762701274</v>
      </c>
      <c r="M69" s="112">
        <f t="shared" si="26"/>
        <v>0.58128647865976601</v>
      </c>
      <c r="N69" s="112">
        <f t="shared" si="26"/>
        <v>0.59902328559635032</v>
      </c>
      <c r="O69" s="112">
        <f t="shared" si="26"/>
        <v>0.61770812690515564</v>
      </c>
      <c r="P69" s="112">
        <f t="shared" si="26"/>
        <v>0.64605256213259921</v>
      </c>
      <c r="Q69" s="112">
        <f t="shared" si="26"/>
        <v>0.6882832445214998</v>
      </c>
      <c r="R69" s="112">
        <f t="shared" si="26"/>
        <v>0.7440363625620694</v>
      </c>
      <c r="S69" s="112">
        <f t="shared" si="26"/>
        <v>0.7884027778469328</v>
      </c>
      <c r="T69" s="112">
        <f t="shared" si="26"/>
        <v>0.83160373491020378</v>
      </c>
      <c r="U69" s="112">
        <f t="shared" si="26"/>
        <v>0.89341185819716107</v>
      </c>
      <c r="V69" s="112">
        <f t="shared" si="26"/>
        <v>0.93688135861026633</v>
      </c>
      <c r="W69" s="112">
        <f t="shared" si="26"/>
        <v>0.97116992951815861</v>
      </c>
      <c r="X69" s="112">
        <f t="shared" si="26"/>
        <v>0.99586031629692973</v>
      </c>
    </row>
    <row r="70" spans="1:26" x14ac:dyDescent="0.35">
      <c r="A70" s="56" t="s">
        <v>53</v>
      </c>
      <c r="B70" s="112">
        <f t="shared" si="27"/>
        <v>0.11329950108134726</v>
      </c>
      <c r="C70" s="112">
        <f t="shared" si="26"/>
        <v>0.17278859125072266</v>
      </c>
      <c r="D70" s="112">
        <f t="shared" si="26"/>
        <v>0.19265112096100723</v>
      </c>
      <c r="E70" s="112">
        <f t="shared" si="26"/>
        <v>0.2075116164536091</v>
      </c>
      <c r="F70" s="112">
        <f t="shared" si="26"/>
        <v>0.24742939123359239</v>
      </c>
      <c r="G70" s="112">
        <f t="shared" si="26"/>
        <v>0.26552322220080937</v>
      </c>
      <c r="H70" s="112">
        <f t="shared" si="26"/>
        <v>0.3025631142802081</v>
      </c>
      <c r="I70" s="112">
        <f t="shared" si="26"/>
        <v>0.33227554013832677</v>
      </c>
      <c r="J70" s="112">
        <f t="shared" si="26"/>
        <v>0.36902421789683304</v>
      </c>
      <c r="K70" s="112">
        <f t="shared" si="26"/>
        <v>0.3961799533200574</v>
      </c>
      <c r="L70" s="112">
        <f t="shared" si="26"/>
        <v>0.40922035930708123</v>
      </c>
      <c r="M70" s="112">
        <f t="shared" si="26"/>
        <v>0.46867947153165884</v>
      </c>
      <c r="N70" s="112">
        <f t="shared" si="26"/>
        <v>0.4955182972527355</v>
      </c>
      <c r="O70" s="112">
        <f t="shared" si="26"/>
        <v>0.51790753945311663</v>
      </c>
      <c r="P70" s="112">
        <f t="shared" si="26"/>
        <v>0.53470803623048757</v>
      </c>
      <c r="Q70" s="112">
        <f t="shared" si="26"/>
        <v>0.57956360677501551</v>
      </c>
      <c r="R70" s="112">
        <f t="shared" si="26"/>
        <v>0.61944283848311599</v>
      </c>
      <c r="S70" s="112">
        <f t="shared" si="26"/>
        <v>0.6723496284876127</v>
      </c>
      <c r="T70" s="112">
        <f t="shared" si="26"/>
        <v>0.72750048178839855</v>
      </c>
      <c r="U70" s="112">
        <f t="shared" si="26"/>
        <v>0.784835442495878</v>
      </c>
      <c r="V70" s="112">
        <f t="shared" si="26"/>
        <v>0.86912485814008256</v>
      </c>
      <c r="W70" s="112">
        <f t="shared" si="26"/>
        <v>0.95679321641934856</v>
      </c>
      <c r="X70" s="112">
        <f t="shared" si="26"/>
        <v>0.99919916061754566</v>
      </c>
    </row>
    <row r="71" spans="1:26" x14ac:dyDescent="0.35">
      <c r="A71" s="56" t="s">
        <v>111</v>
      </c>
      <c r="B71" s="112">
        <f t="shared" si="27"/>
        <v>0.34095368327462211</v>
      </c>
      <c r="C71" s="112">
        <f t="shared" si="26"/>
        <v>0.42966679416036258</v>
      </c>
      <c r="D71" s="112">
        <f t="shared" si="26"/>
        <v>0.45494372781221715</v>
      </c>
      <c r="E71" s="112">
        <f t="shared" si="26"/>
        <v>0.48189705142681866</v>
      </c>
      <c r="F71" s="112">
        <f t="shared" si="26"/>
        <v>0.50877415267659165</v>
      </c>
      <c r="G71" s="112">
        <f t="shared" si="26"/>
        <v>0.54883256548048842</v>
      </c>
      <c r="H71" s="112">
        <f t="shared" si="26"/>
        <v>0.59454256996254606</v>
      </c>
      <c r="I71" s="112">
        <f t="shared" si="26"/>
        <v>0.62567502435007882</v>
      </c>
      <c r="J71" s="112">
        <f t="shared" si="26"/>
        <v>0.65018590041433932</v>
      </c>
      <c r="K71" s="112">
        <f t="shared" si="26"/>
        <v>0.67376321225692148</v>
      </c>
      <c r="L71" s="112">
        <f t="shared" si="26"/>
        <v>0.6926581431501655</v>
      </c>
      <c r="M71" s="112">
        <f t="shared" si="26"/>
        <v>0.72865732706879838</v>
      </c>
      <c r="N71" s="112">
        <f t="shared" si="26"/>
        <v>0.74633448016803627</v>
      </c>
      <c r="O71" s="112">
        <f t="shared" si="26"/>
        <v>0.76650246148032064</v>
      </c>
      <c r="P71" s="112">
        <f t="shared" si="26"/>
        <v>0.78725776578099638</v>
      </c>
      <c r="Q71" s="112">
        <f t="shared" si="26"/>
        <v>0.81245861399442632</v>
      </c>
      <c r="R71" s="112">
        <f t="shared" si="26"/>
        <v>0.84565751602723571</v>
      </c>
      <c r="S71" s="112">
        <f t="shared" si="26"/>
        <v>0.87070477845764294</v>
      </c>
      <c r="T71" s="112">
        <f t="shared" si="26"/>
        <v>0.89690906900086653</v>
      </c>
      <c r="U71" s="112">
        <f t="shared" si="26"/>
        <v>0.93304298850092082</v>
      </c>
      <c r="V71" s="112">
        <f t="shared" si="26"/>
        <v>0.9598536348026756</v>
      </c>
      <c r="W71" s="112">
        <f t="shared" si="26"/>
        <v>0.98131789838052608</v>
      </c>
      <c r="X71" s="112">
        <f t="shared" si="26"/>
        <v>0.99830512497272916</v>
      </c>
    </row>
    <row r="73" spans="1:26" x14ac:dyDescent="0.35">
      <c r="C73" s="6"/>
      <c r="D73" s="6"/>
    </row>
    <row r="74" spans="1:26" x14ac:dyDescent="0.35">
      <c r="C74" s="6"/>
      <c r="D74" s="6"/>
      <c r="E74" s="4"/>
      <c r="G74" s="6"/>
      <c r="H74" s="4"/>
    </row>
    <row r="75" spans="1:26" x14ac:dyDescent="0.35">
      <c r="C75" s="6"/>
      <c r="D75" s="6"/>
      <c r="E75" s="4"/>
      <c r="G75" s="6"/>
      <c r="H75" s="4"/>
    </row>
    <row r="76" spans="1:26" x14ac:dyDescent="0.35">
      <c r="C76" s="6"/>
      <c r="D76" s="6"/>
    </row>
    <row r="78" spans="1:26" x14ac:dyDescent="0.35">
      <c r="D78" s="6"/>
    </row>
  </sheetData>
  <hyperlinks>
    <hyperlink ref="B1" location="ÍNDICE!A1" display="ÍNDICE!A1" xr:uid="{4232081A-5427-4B80-96E4-6423B28759A7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autoPageBreaks="0"/>
  </sheetPr>
  <dimension ref="A1:AB50"/>
  <sheetViews>
    <sheetView topLeftCell="X1" zoomScale="70" zoomScaleNormal="70" workbookViewId="0">
      <selection activeCell="BG38" sqref="BG38"/>
    </sheetView>
  </sheetViews>
  <sheetFormatPr baseColWidth="10" defaultRowHeight="14.5" x14ac:dyDescent="0.35"/>
  <cols>
    <col min="1" max="1" width="25" customWidth="1"/>
    <col min="2" max="24" width="10.26953125" customWidth="1"/>
    <col min="25" max="25" width="17.1796875" customWidth="1"/>
    <col min="26" max="26" width="14.81640625" customWidth="1"/>
    <col min="27" max="27" width="17.81640625" customWidth="1"/>
  </cols>
  <sheetData>
    <row r="1" spans="1:28" ht="21" x14ac:dyDescent="0.5">
      <c r="A1" s="337" t="s">
        <v>80</v>
      </c>
      <c r="B1" s="338" t="s">
        <v>79</v>
      </c>
      <c r="F1" s="337"/>
      <c r="G1" s="338"/>
    </row>
    <row r="3" spans="1:28" ht="18.5" x14ac:dyDescent="0.45">
      <c r="A3" s="327" t="s">
        <v>77</v>
      </c>
      <c r="B3" s="327"/>
      <c r="C3" s="327"/>
      <c r="D3" s="327"/>
      <c r="E3" s="327"/>
      <c r="F3" s="327"/>
      <c r="G3" s="327"/>
      <c r="H3" s="327"/>
      <c r="K3" s="50"/>
      <c r="L3" s="48"/>
    </row>
    <row r="4" spans="1:28" ht="31" x14ac:dyDescent="0.35">
      <c r="A4" s="264" t="s">
        <v>134</v>
      </c>
      <c r="B4" s="177" t="s">
        <v>74</v>
      </c>
      <c r="C4" s="177">
        <v>2000</v>
      </c>
      <c r="D4" s="177">
        <v>2001</v>
      </c>
      <c r="E4" s="177">
        <v>2002</v>
      </c>
      <c r="F4" s="177">
        <v>2003</v>
      </c>
      <c r="G4" s="177">
        <v>2004</v>
      </c>
      <c r="H4" s="177">
        <v>2005</v>
      </c>
      <c r="I4" s="177">
        <v>2006</v>
      </c>
      <c r="J4" s="177">
        <v>2007</v>
      </c>
      <c r="K4" s="177">
        <v>2008</v>
      </c>
      <c r="L4" s="177">
        <v>2009</v>
      </c>
      <c r="M4" s="177">
        <v>2010</v>
      </c>
      <c r="N4" s="177">
        <v>2011</v>
      </c>
      <c r="O4" s="177">
        <v>2012</v>
      </c>
      <c r="P4" s="177">
        <v>2013</v>
      </c>
      <c r="Q4" s="177">
        <v>2014</v>
      </c>
      <c r="R4" s="177">
        <v>2015</v>
      </c>
      <c r="S4" s="177">
        <v>2016</v>
      </c>
      <c r="T4" s="177">
        <v>2017</v>
      </c>
      <c r="U4" s="177">
        <v>2018</v>
      </c>
      <c r="V4" s="177">
        <v>2019</v>
      </c>
      <c r="W4" s="177">
        <v>2020</v>
      </c>
      <c r="X4" s="177">
        <v>2021</v>
      </c>
      <c r="Y4" s="264" t="s">
        <v>75</v>
      </c>
      <c r="Z4" s="264" t="s">
        <v>73</v>
      </c>
      <c r="AA4" s="178" t="s">
        <v>76</v>
      </c>
      <c r="AB4" t="s">
        <v>144</v>
      </c>
    </row>
    <row r="5" spans="1:28" x14ac:dyDescent="0.35">
      <c r="A5" s="179" t="s">
        <v>6</v>
      </c>
      <c r="B5" s="180">
        <f>SUM(B6:B12)</f>
        <v>2978.77</v>
      </c>
      <c r="C5" s="180">
        <f t="shared" ref="C5:Z5" si="0">SUM(C6:C12)</f>
        <v>704.39999999999975</v>
      </c>
      <c r="D5" s="180">
        <f t="shared" si="0"/>
        <v>304.15999999999997</v>
      </c>
      <c r="E5" s="180">
        <f t="shared" si="0"/>
        <v>596.39</v>
      </c>
      <c r="F5" s="180">
        <f t="shared" si="0"/>
        <v>374.26</v>
      </c>
      <c r="G5" s="180">
        <f t="shared" si="0"/>
        <v>919.25000000000011</v>
      </c>
      <c r="H5" s="180">
        <f t="shared" si="0"/>
        <v>504.34999999999991</v>
      </c>
      <c r="I5" s="180">
        <f t="shared" si="0"/>
        <v>438.17</v>
      </c>
      <c r="J5" s="180">
        <f t="shared" si="0"/>
        <v>416.77</v>
      </c>
      <c r="K5" s="180">
        <f t="shared" si="0"/>
        <v>461.31</v>
      </c>
      <c r="L5" s="180">
        <f t="shared" si="0"/>
        <v>206.18</v>
      </c>
      <c r="M5" s="180">
        <f t="shared" si="0"/>
        <v>801.94</v>
      </c>
      <c r="N5" s="180">
        <f t="shared" si="0"/>
        <v>323.31</v>
      </c>
      <c r="O5" s="180">
        <f t="shared" si="0"/>
        <v>473.44000000000011</v>
      </c>
      <c r="P5" s="180">
        <f t="shared" si="0"/>
        <v>388.34</v>
      </c>
      <c r="Q5" s="180">
        <f t="shared" si="0"/>
        <v>578.1099999999999</v>
      </c>
      <c r="R5" s="180">
        <f t="shared" si="0"/>
        <v>1154.01</v>
      </c>
      <c r="S5" s="180">
        <f t="shared" si="0"/>
        <v>619.74</v>
      </c>
      <c r="T5" s="180">
        <f t="shared" si="0"/>
        <v>530.58999999999992</v>
      </c>
      <c r="U5" s="180">
        <f t="shared" si="0"/>
        <v>494.84</v>
      </c>
      <c r="V5" s="180">
        <f t="shared" si="0"/>
        <v>505.06000000000017</v>
      </c>
      <c r="W5" s="180">
        <f t="shared" si="0"/>
        <v>348.67</v>
      </c>
      <c r="X5" s="180">
        <f t="shared" si="0"/>
        <v>304.23999999999995</v>
      </c>
      <c r="Y5" s="180">
        <f t="shared" si="0"/>
        <v>14.26</v>
      </c>
      <c r="Z5" s="180">
        <f t="shared" si="0"/>
        <v>14440.56</v>
      </c>
      <c r="AA5" s="181">
        <f>Z5/$Z$30</f>
        <v>0.18383618132571813</v>
      </c>
      <c r="AB5" s="180">
        <f>SUM(C5:X5)</f>
        <v>11447.53</v>
      </c>
    </row>
    <row r="6" spans="1:28" x14ac:dyDescent="0.35">
      <c r="A6" s="147" t="s">
        <v>7</v>
      </c>
      <c r="B6" s="156">
        <v>515.17999999999984</v>
      </c>
      <c r="C6" s="156">
        <v>126.60999999999999</v>
      </c>
      <c r="D6" s="156">
        <v>131.44</v>
      </c>
      <c r="E6" s="156">
        <v>60.139999999999993</v>
      </c>
      <c r="F6" s="156">
        <v>23.86</v>
      </c>
      <c r="G6" s="156">
        <v>167.69</v>
      </c>
      <c r="H6" s="156">
        <v>94.86999999999999</v>
      </c>
      <c r="I6" s="156">
        <v>2.33</v>
      </c>
      <c r="J6" s="156">
        <v>39.520000000000003</v>
      </c>
      <c r="K6" s="156">
        <v>33.75</v>
      </c>
      <c r="L6" s="156">
        <v>20.04</v>
      </c>
      <c r="M6" s="156">
        <v>221.54000000000005</v>
      </c>
      <c r="N6" s="156">
        <v>98.449999999999989</v>
      </c>
      <c r="O6" s="156">
        <v>56.02</v>
      </c>
      <c r="P6" s="156">
        <v>94.32</v>
      </c>
      <c r="Q6" s="156">
        <v>130.11000000000001</v>
      </c>
      <c r="R6" s="156">
        <v>97.519999999999982</v>
      </c>
      <c r="S6" s="156">
        <v>131.22</v>
      </c>
      <c r="T6" s="156">
        <v>41.17</v>
      </c>
      <c r="U6" s="156">
        <v>68.66</v>
      </c>
      <c r="V6" s="156">
        <v>7.8800000000000008</v>
      </c>
      <c r="W6" s="156">
        <v>5.68</v>
      </c>
      <c r="X6" s="156">
        <v>10.79</v>
      </c>
      <c r="Y6" s="156">
        <v>0.82</v>
      </c>
      <c r="Z6" s="156">
        <v>2179.6099999999992</v>
      </c>
      <c r="AA6" s="174">
        <f>Z6/$Z$30</f>
        <v>2.7747620534061587E-2</v>
      </c>
      <c r="AB6" s="180">
        <f t="shared" ref="AB6:AB30" si="1">SUM(C6:X6)</f>
        <v>1663.6100000000004</v>
      </c>
    </row>
    <row r="7" spans="1:28" x14ac:dyDescent="0.35">
      <c r="A7" s="147" t="s">
        <v>8</v>
      </c>
      <c r="B7" s="156">
        <v>44.240000000000009</v>
      </c>
      <c r="C7" s="156">
        <v>6.84</v>
      </c>
      <c r="D7" s="156">
        <v>2.96</v>
      </c>
      <c r="E7" s="156">
        <v>12.43</v>
      </c>
      <c r="F7" s="156">
        <v>51.540000000000006</v>
      </c>
      <c r="G7" s="156">
        <v>9.91</v>
      </c>
      <c r="H7" s="156">
        <v>12.209999999999999</v>
      </c>
      <c r="I7" s="156"/>
      <c r="J7" s="156">
        <v>0.79</v>
      </c>
      <c r="K7" s="156">
        <v>27.93</v>
      </c>
      <c r="L7" s="156">
        <v>0.14000000000000001</v>
      </c>
      <c r="M7" s="156">
        <v>5.29</v>
      </c>
      <c r="N7" s="156"/>
      <c r="O7" s="156">
        <v>10.760000000000002</v>
      </c>
      <c r="P7" s="156">
        <v>3.4299999999999997</v>
      </c>
      <c r="Q7" s="156">
        <v>6.78</v>
      </c>
      <c r="R7" s="156">
        <v>1.75</v>
      </c>
      <c r="S7" s="156">
        <v>2.9099999999999997</v>
      </c>
      <c r="T7" s="156">
        <v>3.2199999999999998</v>
      </c>
      <c r="U7" s="156"/>
      <c r="V7" s="156">
        <v>1.8900000000000001</v>
      </c>
      <c r="W7" s="156"/>
      <c r="X7" s="156">
        <v>19.399999999999999</v>
      </c>
      <c r="Y7" s="156">
        <v>0.06</v>
      </c>
      <c r="Z7" s="156">
        <v>224.48</v>
      </c>
      <c r="AA7" s="174">
        <f t="shared" ref="AA7:AA29" si="2">Z7/$Z$30</f>
        <v>2.8577524683251346E-3</v>
      </c>
      <c r="AB7" s="180">
        <f t="shared" si="1"/>
        <v>180.18</v>
      </c>
    </row>
    <row r="8" spans="1:28" x14ac:dyDescent="0.35">
      <c r="A8" s="147" t="s">
        <v>9</v>
      </c>
      <c r="B8" s="156">
        <v>12.09</v>
      </c>
      <c r="C8" s="156">
        <v>0.5</v>
      </c>
      <c r="D8" s="156">
        <v>6.75</v>
      </c>
      <c r="E8" s="156">
        <v>20.66</v>
      </c>
      <c r="F8" s="156">
        <v>22.19</v>
      </c>
      <c r="G8" s="156">
        <v>8.24</v>
      </c>
      <c r="H8" s="156">
        <v>8.6999999999999993</v>
      </c>
      <c r="I8" s="156">
        <v>23.86</v>
      </c>
      <c r="J8" s="156">
        <v>33.68</v>
      </c>
      <c r="K8" s="156"/>
      <c r="L8" s="156"/>
      <c r="M8" s="156">
        <v>4.29</v>
      </c>
      <c r="N8" s="156">
        <v>3.58</v>
      </c>
      <c r="O8" s="156">
        <v>1.22</v>
      </c>
      <c r="P8" s="156"/>
      <c r="Q8" s="156">
        <v>0.05</v>
      </c>
      <c r="R8" s="156">
        <v>19.41</v>
      </c>
      <c r="S8" s="156"/>
      <c r="T8" s="156"/>
      <c r="U8" s="156">
        <v>20.079999999999998</v>
      </c>
      <c r="V8" s="156">
        <v>5.64</v>
      </c>
      <c r="W8" s="156">
        <v>16.329999999999998</v>
      </c>
      <c r="X8" s="156"/>
      <c r="Y8" s="156">
        <v>0.05</v>
      </c>
      <c r="Z8" s="156">
        <v>207.32</v>
      </c>
      <c r="AA8" s="174">
        <f t="shared" si="2"/>
        <v>2.6392963370151772E-3</v>
      </c>
      <c r="AB8" s="180">
        <f t="shared" si="1"/>
        <v>195.18</v>
      </c>
    </row>
    <row r="9" spans="1:28" x14ac:dyDescent="0.35">
      <c r="A9" s="147" t="s">
        <v>10</v>
      </c>
      <c r="B9" s="156">
        <v>4.2399999999999984</v>
      </c>
      <c r="C9" s="156">
        <v>1.0900000000000001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>
        <v>0.05</v>
      </c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>
        <v>0.03</v>
      </c>
      <c r="Z9" s="156">
        <v>5.4099999999999984</v>
      </c>
      <c r="AA9" s="174">
        <f t="shared" si="2"/>
        <v>6.8872241864036774E-5</v>
      </c>
      <c r="AB9" s="180">
        <f t="shared" si="1"/>
        <v>1.1400000000000001</v>
      </c>
    </row>
    <row r="10" spans="1:28" x14ac:dyDescent="0.35">
      <c r="A10" s="147" t="s">
        <v>11</v>
      </c>
      <c r="B10" s="156">
        <v>1955.7100000000003</v>
      </c>
      <c r="C10" s="156">
        <v>363.4899999999999</v>
      </c>
      <c r="D10" s="156">
        <v>153.13</v>
      </c>
      <c r="E10" s="156">
        <v>443.15</v>
      </c>
      <c r="F10" s="156">
        <v>142.01000000000002</v>
      </c>
      <c r="G10" s="156">
        <v>424.38000000000005</v>
      </c>
      <c r="H10" s="156">
        <v>250.78999999999996</v>
      </c>
      <c r="I10" s="156">
        <v>180.61</v>
      </c>
      <c r="J10" s="156">
        <v>181.74</v>
      </c>
      <c r="K10" s="156">
        <v>290.19</v>
      </c>
      <c r="L10" s="156">
        <v>139.5</v>
      </c>
      <c r="M10" s="156">
        <v>521.74</v>
      </c>
      <c r="N10" s="156">
        <v>159.86000000000001</v>
      </c>
      <c r="O10" s="156">
        <v>330.34000000000009</v>
      </c>
      <c r="P10" s="156">
        <v>261.09999999999997</v>
      </c>
      <c r="Q10" s="156">
        <v>283.59999999999997</v>
      </c>
      <c r="R10" s="156">
        <v>614.68999999999994</v>
      </c>
      <c r="S10" s="156">
        <v>296.60000000000002</v>
      </c>
      <c r="T10" s="156">
        <v>170.06</v>
      </c>
      <c r="U10" s="156">
        <v>229.08999999999997</v>
      </c>
      <c r="V10" s="156">
        <v>242.49000000000007</v>
      </c>
      <c r="W10" s="156">
        <v>168.4</v>
      </c>
      <c r="X10" s="156">
        <v>46.269999999999996</v>
      </c>
      <c r="Y10" s="156">
        <v>12.99</v>
      </c>
      <c r="Z10" s="156">
        <v>7861.9300000000012</v>
      </c>
      <c r="AA10" s="174">
        <f t="shared" si="2"/>
        <v>0.10008664408098464</v>
      </c>
      <c r="AB10" s="180">
        <f t="shared" si="1"/>
        <v>5893.2300000000014</v>
      </c>
    </row>
    <row r="11" spans="1:28" x14ac:dyDescent="0.35">
      <c r="A11" s="147" t="s">
        <v>13</v>
      </c>
      <c r="B11" s="156">
        <v>285.35000000000002</v>
      </c>
      <c r="C11" s="156">
        <v>30.689999999999998</v>
      </c>
      <c r="D11" s="156">
        <v>1.5</v>
      </c>
      <c r="E11" s="156">
        <v>0.22</v>
      </c>
      <c r="F11" s="156">
        <v>8.23</v>
      </c>
      <c r="G11" s="156">
        <v>10.450000000000001</v>
      </c>
      <c r="H11" s="156">
        <v>10.5</v>
      </c>
      <c r="I11" s="156">
        <v>3.3200000000000003</v>
      </c>
      <c r="J11" s="156">
        <v>3.78</v>
      </c>
      <c r="K11" s="156">
        <v>18.13</v>
      </c>
      <c r="L11" s="156">
        <v>8.4599999999999991</v>
      </c>
      <c r="M11" s="156">
        <v>12.99</v>
      </c>
      <c r="N11" s="156">
        <v>1.98</v>
      </c>
      <c r="O11" s="156">
        <v>8.2200000000000006</v>
      </c>
      <c r="P11" s="156">
        <v>5.01</v>
      </c>
      <c r="Q11" s="156">
        <v>17.23</v>
      </c>
      <c r="R11" s="156">
        <v>10.759999999999998</v>
      </c>
      <c r="S11" s="156">
        <v>11.66</v>
      </c>
      <c r="T11" s="156">
        <v>7.8599999999999994</v>
      </c>
      <c r="U11" s="156">
        <v>6.43</v>
      </c>
      <c r="V11" s="156">
        <v>5.2200000000000006</v>
      </c>
      <c r="W11" s="156">
        <v>10.050000000000001</v>
      </c>
      <c r="X11" s="156">
        <v>1.9</v>
      </c>
      <c r="Y11" s="156">
        <v>0.13</v>
      </c>
      <c r="Z11" s="156">
        <v>480.07000000000011</v>
      </c>
      <c r="AA11" s="174">
        <f t="shared" si="2"/>
        <v>6.1115521537279394E-3</v>
      </c>
      <c r="AB11" s="180">
        <f t="shared" si="1"/>
        <v>194.58999999999997</v>
      </c>
    </row>
    <row r="12" spans="1:28" x14ac:dyDescent="0.35">
      <c r="A12" s="147" t="s">
        <v>14</v>
      </c>
      <c r="B12" s="156">
        <v>161.96000000000006</v>
      </c>
      <c r="C12" s="156">
        <v>175.17999999999998</v>
      </c>
      <c r="D12" s="156">
        <v>8.379999999999999</v>
      </c>
      <c r="E12" s="156">
        <v>59.789999999999992</v>
      </c>
      <c r="F12" s="156">
        <v>126.43</v>
      </c>
      <c r="G12" s="156">
        <v>298.58000000000004</v>
      </c>
      <c r="H12" s="156">
        <v>127.27999999999999</v>
      </c>
      <c r="I12" s="156">
        <v>228.05</v>
      </c>
      <c r="J12" s="156">
        <v>157.26</v>
      </c>
      <c r="K12" s="156">
        <v>91.309999999999988</v>
      </c>
      <c r="L12" s="156">
        <v>38.04</v>
      </c>
      <c r="M12" s="156">
        <v>36.090000000000003</v>
      </c>
      <c r="N12" s="156">
        <v>59.39</v>
      </c>
      <c r="O12" s="156">
        <v>66.88</v>
      </c>
      <c r="P12" s="156">
        <v>24.48</v>
      </c>
      <c r="Q12" s="156">
        <v>140.33999999999997</v>
      </c>
      <c r="R12" s="156">
        <v>409.88000000000005</v>
      </c>
      <c r="S12" s="156">
        <v>177.34999999999997</v>
      </c>
      <c r="T12" s="156">
        <v>308.27999999999997</v>
      </c>
      <c r="U12" s="156">
        <v>170.57999999999998</v>
      </c>
      <c r="V12" s="156">
        <v>241.94000000000008</v>
      </c>
      <c r="W12" s="156">
        <v>148.21</v>
      </c>
      <c r="X12" s="156">
        <v>225.87999999999997</v>
      </c>
      <c r="Y12" s="156">
        <v>0.18</v>
      </c>
      <c r="Z12" s="156">
        <v>3481.74</v>
      </c>
      <c r="AA12" s="174">
        <f t="shared" si="2"/>
        <v>4.4324443509739637E-2</v>
      </c>
      <c r="AB12" s="180">
        <f t="shared" si="1"/>
        <v>3319.6</v>
      </c>
    </row>
    <row r="13" spans="1:28" x14ac:dyDescent="0.35">
      <c r="A13" s="179" t="s">
        <v>16</v>
      </c>
      <c r="B13" s="180">
        <f>SUM(B14:B16)</f>
        <v>21191.159999999967</v>
      </c>
      <c r="C13" s="180">
        <f t="shared" ref="C13:Z13" si="3">SUM(C14:C16)</f>
        <v>6063.5700000000033</v>
      </c>
      <c r="D13" s="180">
        <f t="shared" si="3"/>
        <v>1462.0500000000006</v>
      </c>
      <c r="E13" s="180">
        <f t="shared" si="3"/>
        <v>1543.82</v>
      </c>
      <c r="F13" s="180">
        <f t="shared" si="3"/>
        <v>1435.52</v>
      </c>
      <c r="G13" s="180">
        <f t="shared" si="3"/>
        <v>2279.9100000000012</v>
      </c>
      <c r="H13" s="180">
        <f t="shared" si="3"/>
        <v>2006.8399999999976</v>
      </c>
      <c r="I13" s="180">
        <f t="shared" si="3"/>
        <v>706.08999999999969</v>
      </c>
      <c r="J13" s="180">
        <f t="shared" si="3"/>
        <v>937.41999999999985</v>
      </c>
      <c r="K13" s="180">
        <f t="shared" si="3"/>
        <v>786.72999999999979</v>
      </c>
      <c r="L13" s="180">
        <f t="shared" si="3"/>
        <v>920.65999999999963</v>
      </c>
      <c r="M13" s="180">
        <f t="shared" si="3"/>
        <v>1546.35</v>
      </c>
      <c r="N13" s="180">
        <f t="shared" si="3"/>
        <v>851.02000000000032</v>
      </c>
      <c r="O13" s="180">
        <f t="shared" si="3"/>
        <v>1220.2799999999993</v>
      </c>
      <c r="P13" s="180">
        <f t="shared" si="3"/>
        <v>1140.9000000000001</v>
      </c>
      <c r="Q13" s="180">
        <f t="shared" si="3"/>
        <v>1429.4899999999993</v>
      </c>
      <c r="R13" s="180">
        <f t="shared" si="3"/>
        <v>1697.6000000000006</v>
      </c>
      <c r="S13" s="180">
        <f t="shared" si="3"/>
        <v>1063.0900000000006</v>
      </c>
      <c r="T13" s="180">
        <f t="shared" si="3"/>
        <v>990.48999999999978</v>
      </c>
      <c r="U13" s="180">
        <f t="shared" si="3"/>
        <v>985.36000000000024</v>
      </c>
      <c r="V13" s="180">
        <f t="shared" si="3"/>
        <v>681.47</v>
      </c>
      <c r="W13" s="180">
        <f t="shared" si="3"/>
        <v>664.58000000000015</v>
      </c>
      <c r="X13" s="180">
        <f t="shared" si="3"/>
        <v>430.96000000000004</v>
      </c>
      <c r="Y13" s="180">
        <f t="shared" si="3"/>
        <v>60.40000000000002</v>
      </c>
      <c r="Z13" s="180">
        <f t="shared" si="3"/>
        <v>52095.759999999973</v>
      </c>
      <c r="AA13" s="181">
        <f>Z13/$Z$30</f>
        <v>0.66320735356946614</v>
      </c>
      <c r="AB13" s="180">
        <f t="shared" si="1"/>
        <v>30844.200000000004</v>
      </c>
    </row>
    <row r="14" spans="1:28" x14ac:dyDescent="0.35">
      <c r="A14" s="147" t="s">
        <v>17</v>
      </c>
      <c r="B14" s="156">
        <v>1211.6400000000001</v>
      </c>
      <c r="C14" s="156">
        <v>327.85000000000008</v>
      </c>
      <c r="D14" s="156">
        <v>45.140000000000008</v>
      </c>
      <c r="E14" s="156">
        <v>89.490000000000009</v>
      </c>
      <c r="F14" s="156">
        <v>66.519999999999968</v>
      </c>
      <c r="G14" s="156">
        <v>318.27000000000015</v>
      </c>
      <c r="H14" s="156">
        <v>305.02000000000004</v>
      </c>
      <c r="I14" s="156">
        <v>102.05000000000003</v>
      </c>
      <c r="J14" s="156">
        <v>34.6</v>
      </c>
      <c r="K14" s="156">
        <v>143.74</v>
      </c>
      <c r="L14" s="156">
        <v>87.59</v>
      </c>
      <c r="M14" s="156">
        <v>498.05999999999995</v>
      </c>
      <c r="N14" s="156">
        <v>169.36000000000004</v>
      </c>
      <c r="O14" s="156">
        <v>290.16000000000008</v>
      </c>
      <c r="P14" s="156">
        <v>226.71999999999997</v>
      </c>
      <c r="Q14" s="156">
        <v>219.99</v>
      </c>
      <c r="R14" s="156">
        <v>398.69000000000011</v>
      </c>
      <c r="S14" s="156">
        <v>226.94999999999996</v>
      </c>
      <c r="T14" s="156">
        <v>160.49</v>
      </c>
      <c r="U14" s="156">
        <v>134.52000000000001</v>
      </c>
      <c r="V14" s="156">
        <v>92.259999999999991</v>
      </c>
      <c r="W14" s="156">
        <v>33.650000000000006</v>
      </c>
      <c r="X14" s="156">
        <v>46.150000000000006</v>
      </c>
      <c r="Y14" s="156">
        <v>9.1999999999999993</v>
      </c>
      <c r="Z14" s="156">
        <v>5238.1100000000006</v>
      </c>
      <c r="AA14" s="174">
        <f t="shared" si="2"/>
        <v>6.6683988693240256E-2</v>
      </c>
      <c r="AB14" s="180">
        <f t="shared" si="1"/>
        <v>4017.2700000000004</v>
      </c>
    </row>
    <row r="15" spans="1:28" x14ac:dyDescent="0.35">
      <c r="A15" s="147" t="s">
        <v>18</v>
      </c>
      <c r="B15" s="156">
        <v>9420.2900000000009</v>
      </c>
      <c r="C15" s="156">
        <v>3005.9200000000051</v>
      </c>
      <c r="D15" s="156">
        <v>693.43000000000086</v>
      </c>
      <c r="E15" s="156">
        <v>683.14999999999941</v>
      </c>
      <c r="F15" s="156">
        <v>546.37000000000012</v>
      </c>
      <c r="G15" s="156">
        <v>836.71</v>
      </c>
      <c r="H15" s="156">
        <v>705.29999999999939</v>
      </c>
      <c r="I15" s="156">
        <v>167.25999999999996</v>
      </c>
      <c r="J15" s="156">
        <v>408.27999999999992</v>
      </c>
      <c r="K15" s="156">
        <v>196.49000000000007</v>
      </c>
      <c r="L15" s="156">
        <v>306.57</v>
      </c>
      <c r="M15" s="156">
        <v>350.39</v>
      </c>
      <c r="N15" s="156">
        <v>124.84000000000002</v>
      </c>
      <c r="O15" s="156">
        <v>210.90000000000006</v>
      </c>
      <c r="P15" s="156">
        <v>200.04000000000005</v>
      </c>
      <c r="Q15" s="156">
        <v>292.62999999999994</v>
      </c>
      <c r="R15" s="156">
        <v>405.7999999999999</v>
      </c>
      <c r="S15" s="156">
        <v>240.79000000000005</v>
      </c>
      <c r="T15" s="156">
        <v>295.7399999999999</v>
      </c>
      <c r="U15" s="156">
        <v>288.50999999999993</v>
      </c>
      <c r="V15" s="156">
        <v>176.42000000000007</v>
      </c>
      <c r="W15" s="156">
        <v>184.49000000000004</v>
      </c>
      <c r="X15" s="156">
        <v>83.730000000000018</v>
      </c>
      <c r="Y15" s="156">
        <v>25.549999999999997</v>
      </c>
      <c r="Z15" s="156">
        <v>19849.600000000009</v>
      </c>
      <c r="AA15" s="174">
        <f t="shared" si="2"/>
        <v>0.25269620186772374</v>
      </c>
      <c r="AB15" s="180">
        <f t="shared" si="1"/>
        <v>10403.760000000004</v>
      </c>
    </row>
    <row r="16" spans="1:28" x14ac:dyDescent="0.35">
      <c r="A16" s="147" t="s">
        <v>19</v>
      </c>
      <c r="B16" s="156">
        <v>10559.229999999965</v>
      </c>
      <c r="C16" s="156">
        <v>2729.7999999999984</v>
      </c>
      <c r="D16" s="156">
        <v>723.47999999999968</v>
      </c>
      <c r="E16" s="156">
        <v>771.18000000000052</v>
      </c>
      <c r="F16" s="156">
        <v>822.63</v>
      </c>
      <c r="G16" s="156">
        <v>1124.930000000001</v>
      </c>
      <c r="H16" s="156">
        <v>996.51999999999816</v>
      </c>
      <c r="I16" s="156">
        <v>436.77999999999975</v>
      </c>
      <c r="J16" s="156">
        <v>494.53999999999996</v>
      </c>
      <c r="K16" s="156">
        <v>446.49999999999977</v>
      </c>
      <c r="L16" s="156">
        <v>526.49999999999966</v>
      </c>
      <c r="M16" s="156">
        <v>697.90000000000009</v>
      </c>
      <c r="N16" s="156">
        <v>556.82000000000028</v>
      </c>
      <c r="O16" s="156">
        <v>719.21999999999923</v>
      </c>
      <c r="P16" s="156">
        <v>714.1400000000001</v>
      </c>
      <c r="Q16" s="156">
        <v>916.86999999999932</v>
      </c>
      <c r="R16" s="156">
        <v>893.11000000000058</v>
      </c>
      <c r="S16" s="156">
        <v>595.3500000000007</v>
      </c>
      <c r="T16" s="156">
        <v>534.25999999999988</v>
      </c>
      <c r="U16" s="156">
        <v>562.33000000000027</v>
      </c>
      <c r="V16" s="156">
        <v>412.79</v>
      </c>
      <c r="W16" s="156">
        <v>446.44000000000005</v>
      </c>
      <c r="X16" s="156">
        <v>301.08000000000004</v>
      </c>
      <c r="Y16" s="156">
        <v>25.650000000000016</v>
      </c>
      <c r="Z16" s="156">
        <v>27008.049999999963</v>
      </c>
      <c r="AA16" s="174">
        <f t="shared" si="2"/>
        <v>0.34382716300850213</v>
      </c>
      <c r="AB16" s="180">
        <f t="shared" si="1"/>
        <v>16423.169999999998</v>
      </c>
    </row>
    <row r="17" spans="1:28" x14ac:dyDescent="0.35">
      <c r="A17" s="179" t="s">
        <v>23</v>
      </c>
      <c r="B17" s="180">
        <f>SUM(B18:B19)</f>
        <v>2242.8999999999978</v>
      </c>
      <c r="C17" s="180">
        <f t="shared" ref="C17:Z17" si="4">SUM(C18:C19)</f>
        <v>885.44999999999936</v>
      </c>
      <c r="D17" s="180">
        <f t="shared" si="4"/>
        <v>311.15999999999997</v>
      </c>
      <c r="E17" s="180">
        <f t="shared" si="4"/>
        <v>421.61999999999995</v>
      </c>
      <c r="F17" s="180">
        <f t="shared" si="4"/>
        <v>329.38</v>
      </c>
      <c r="G17" s="180">
        <f t="shared" si="4"/>
        <v>270.32</v>
      </c>
      <c r="H17" s="180">
        <f t="shared" si="4"/>
        <v>265.82999999999993</v>
      </c>
      <c r="I17" s="180">
        <f t="shared" si="4"/>
        <v>105.99000000000002</v>
      </c>
      <c r="J17" s="180">
        <f t="shared" si="4"/>
        <v>38.799999999999997</v>
      </c>
      <c r="K17" s="180">
        <f t="shared" si="4"/>
        <v>42.11</v>
      </c>
      <c r="L17" s="180">
        <f t="shared" si="4"/>
        <v>46.629999999999995</v>
      </c>
      <c r="M17" s="180">
        <f t="shared" si="4"/>
        <v>143.95999999999995</v>
      </c>
      <c r="N17" s="180">
        <f t="shared" si="4"/>
        <v>38.109999999999992</v>
      </c>
      <c r="O17" s="180">
        <f t="shared" si="4"/>
        <v>32.28</v>
      </c>
      <c r="P17" s="180">
        <f t="shared" si="4"/>
        <v>52.13000000000001</v>
      </c>
      <c r="Q17" s="180">
        <f t="shared" si="4"/>
        <v>75.380000000000038</v>
      </c>
      <c r="R17" s="180">
        <f t="shared" si="4"/>
        <v>65.36</v>
      </c>
      <c r="S17" s="180">
        <f t="shared" si="4"/>
        <v>177.9</v>
      </c>
      <c r="T17" s="180">
        <f t="shared" si="4"/>
        <v>64.320000000000007</v>
      </c>
      <c r="U17" s="180">
        <f t="shared" si="4"/>
        <v>49.13000000000001</v>
      </c>
      <c r="V17" s="180">
        <f t="shared" si="4"/>
        <v>54.529999999999994</v>
      </c>
      <c r="W17" s="180">
        <f t="shared" si="4"/>
        <v>39.059999999999995</v>
      </c>
      <c r="X17" s="180">
        <f t="shared" si="4"/>
        <v>25.43</v>
      </c>
      <c r="Y17" s="180">
        <f t="shared" si="4"/>
        <v>7.0000000000000007E-2</v>
      </c>
      <c r="Z17" s="180">
        <f t="shared" si="4"/>
        <v>5777.8499999999967</v>
      </c>
      <c r="AA17" s="181">
        <f>Z17/$Z$30</f>
        <v>7.3555172394477772E-2</v>
      </c>
      <c r="AB17" s="180">
        <f t="shared" si="1"/>
        <v>3534.880000000001</v>
      </c>
    </row>
    <row r="18" spans="1:28" x14ac:dyDescent="0.35">
      <c r="A18" s="147" t="s">
        <v>24</v>
      </c>
      <c r="B18" s="156">
        <v>0.08</v>
      </c>
      <c r="C18" s="156"/>
      <c r="D18" s="156"/>
      <c r="E18" s="156">
        <v>1.1399999999999999</v>
      </c>
      <c r="F18" s="156"/>
      <c r="G18" s="156">
        <v>0.04</v>
      </c>
      <c r="H18" s="156"/>
      <c r="I18" s="156"/>
      <c r="J18" s="156"/>
      <c r="K18" s="156"/>
      <c r="L18" s="156"/>
      <c r="M18" s="156"/>
      <c r="N18" s="156">
        <v>0.01</v>
      </c>
      <c r="O18" s="156">
        <v>0.34</v>
      </c>
      <c r="P18" s="156">
        <v>7.0000000000000007E-2</v>
      </c>
      <c r="Q18" s="156"/>
      <c r="R18" s="156">
        <v>0.01</v>
      </c>
      <c r="S18" s="156"/>
      <c r="T18" s="156"/>
      <c r="U18" s="156"/>
      <c r="V18" s="156"/>
      <c r="W18" s="156"/>
      <c r="X18" s="156"/>
      <c r="Y18" s="156"/>
      <c r="Z18" s="156">
        <v>1.6900000000000002</v>
      </c>
      <c r="AA18" s="174">
        <f t="shared" si="2"/>
        <v>2.1514618992647355E-5</v>
      </c>
      <c r="AB18" s="180">
        <f t="shared" si="1"/>
        <v>1.61</v>
      </c>
    </row>
    <row r="19" spans="1:28" x14ac:dyDescent="0.35">
      <c r="A19" s="147" t="s">
        <v>26</v>
      </c>
      <c r="B19" s="156">
        <v>2242.8199999999979</v>
      </c>
      <c r="C19" s="156">
        <v>885.44999999999936</v>
      </c>
      <c r="D19" s="156">
        <v>311.15999999999997</v>
      </c>
      <c r="E19" s="156">
        <v>420.47999999999996</v>
      </c>
      <c r="F19" s="156">
        <v>329.38</v>
      </c>
      <c r="G19" s="156">
        <v>270.27999999999997</v>
      </c>
      <c r="H19" s="156">
        <v>265.82999999999993</v>
      </c>
      <c r="I19" s="156">
        <v>105.99000000000002</v>
      </c>
      <c r="J19" s="156">
        <v>38.799999999999997</v>
      </c>
      <c r="K19" s="156">
        <v>42.11</v>
      </c>
      <c r="L19" s="156">
        <v>46.629999999999995</v>
      </c>
      <c r="M19" s="156">
        <v>143.95999999999995</v>
      </c>
      <c r="N19" s="156">
        <v>38.099999999999994</v>
      </c>
      <c r="O19" s="156">
        <v>31.94</v>
      </c>
      <c r="P19" s="156">
        <v>52.060000000000009</v>
      </c>
      <c r="Q19" s="156">
        <v>75.380000000000038</v>
      </c>
      <c r="R19" s="156">
        <v>65.349999999999994</v>
      </c>
      <c r="S19" s="156">
        <v>177.9</v>
      </c>
      <c r="T19" s="156">
        <v>64.320000000000007</v>
      </c>
      <c r="U19" s="156">
        <v>49.13000000000001</v>
      </c>
      <c r="V19" s="156">
        <v>54.529999999999994</v>
      </c>
      <c r="W19" s="156">
        <v>39.059999999999995</v>
      </c>
      <c r="X19" s="156">
        <v>25.43</v>
      </c>
      <c r="Y19" s="156">
        <v>7.0000000000000007E-2</v>
      </c>
      <c r="Z19" s="156">
        <v>5776.1599999999971</v>
      </c>
      <c r="AA19" s="174">
        <f t="shared" si="2"/>
        <v>7.3533657775485137E-2</v>
      </c>
      <c r="AB19" s="180">
        <f t="shared" si="1"/>
        <v>3533.27</v>
      </c>
    </row>
    <row r="20" spans="1:28" x14ac:dyDescent="0.35">
      <c r="A20" s="179" t="s">
        <v>27</v>
      </c>
      <c r="B20" s="180">
        <f>SUM(B21:B22)</f>
        <v>0.13</v>
      </c>
      <c r="C20" s="180">
        <f t="shared" ref="C20:Z20" si="5">SUM(C21:C22)</f>
        <v>0.1</v>
      </c>
      <c r="D20" s="180">
        <f t="shared" si="5"/>
        <v>6.1</v>
      </c>
      <c r="E20" s="180">
        <f t="shared" si="5"/>
        <v>0</v>
      </c>
      <c r="F20" s="180">
        <f t="shared" si="5"/>
        <v>0</v>
      </c>
      <c r="G20" s="180">
        <f t="shared" si="5"/>
        <v>0.24</v>
      </c>
      <c r="H20" s="180">
        <f t="shared" si="5"/>
        <v>0</v>
      </c>
      <c r="I20" s="180">
        <f t="shared" si="5"/>
        <v>7.0000000000000007E-2</v>
      </c>
      <c r="J20" s="180">
        <f t="shared" si="5"/>
        <v>0</v>
      </c>
      <c r="K20" s="180">
        <f t="shared" si="5"/>
        <v>0.12</v>
      </c>
      <c r="L20" s="180">
        <f t="shared" si="5"/>
        <v>0</v>
      </c>
      <c r="M20" s="180">
        <f t="shared" si="5"/>
        <v>0.06</v>
      </c>
      <c r="N20" s="180">
        <f t="shared" si="5"/>
        <v>0</v>
      </c>
      <c r="O20" s="180">
        <f t="shared" si="5"/>
        <v>0</v>
      </c>
      <c r="P20" s="180">
        <f t="shared" si="5"/>
        <v>0</v>
      </c>
      <c r="Q20" s="180">
        <f t="shared" si="5"/>
        <v>7.0000000000000007E-2</v>
      </c>
      <c r="R20" s="180">
        <f t="shared" si="5"/>
        <v>0</v>
      </c>
      <c r="S20" s="180">
        <f t="shared" si="5"/>
        <v>0.01</v>
      </c>
      <c r="T20" s="180">
        <f t="shared" si="5"/>
        <v>0</v>
      </c>
      <c r="U20" s="180">
        <f t="shared" si="5"/>
        <v>0.1</v>
      </c>
      <c r="V20" s="180">
        <f t="shared" si="5"/>
        <v>0</v>
      </c>
      <c r="W20" s="180">
        <f t="shared" si="5"/>
        <v>0</v>
      </c>
      <c r="X20" s="180">
        <f t="shared" si="5"/>
        <v>0</v>
      </c>
      <c r="Y20" s="180">
        <f t="shared" si="5"/>
        <v>0.08</v>
      </c>
      <c r="Z20" s="180">
        <f t="shared" si="5"/>
        <v>7.08</v>
      </c>
      <c r="AA20" s="181">
        <f>Z20/$Z$30</f>
        <v>9.0132249981031518E-5</v>
      </c>
      <c r="AB20" s="180">
        <f t="shared" si="1"/>
        <v>6.8699999999999992</v>
      </c>
    </row>
    <row r="21" spans="1:28" x14ac:dyDescent="0.35">
      <c r="A21" s="147" t="s">
        <v>28</v>
      </c>
      <c r="B21" s="156"/>
      <c r="C21" s="156"/>
      <c r="D21" s="156">
        <v>6.1</v>
      </c>
      <c r="E21" s="156"/>
      <c r="F21" s="156"/>
      <c r="G21" s="156">
        <v>0.24</v>
      </c>
      <c r="H21" s="156"/>
      <c r="I21" s="156"/>
      <c r="J21" s="156"/>
      <c r="K21" s="156"/>
      <c r="L21" s="156"/>
      <c r="M21" s="156">
        <v>0.06</v>
      </c>
      <c r="N21" s="156"/>
      <c r="O21" s="156"/>
      <c r="P21" s="156"/>
      <c r="Q21" s="156">
        <v>7.0000000000000007E-2</v>
      </c>
      <c r="R21" s="156"/>
      <c r="S21" s="156"/>
      <c r="T21" s="156"/>
      <c r="U21" s="156"/>
      <c r="V21" s="156"/>
      <c r="W21" s="156"/>
      <c r="X21" s="156"/>
      <c r="Y21" s="156"/>
      <c r="Z21" s="156">
        <v>6.47</v>
      </c>
      <c r="AA21" s="174">
        <f t="shared" si="2"/>
        <v>8.2366618273626256E-5</v>
      </c>
      <c r="AB21" s="180">
        <f t="shared" si="1"/>
        <v>6.47</v>
      </c>
    </row>
    <row r="22" spans="1:28" x14ac:dyDescent="0.35">
      <c r="A22" s="147" t="s">
        <v>29</v>
      </c>
      <c r="B22" s="156">
        <v>0.13</v>
      </c>
      <c r="C22" s="156">
        <v>0.1</v>
      </c>
      <c r="D22" s="156"/>
      <c r="E22" s="156"/>
      <c r="F22" s="156"/>
      <c r="G22" s="156"/>
      <c r="H22" s="156"/>
      <c r="I22" s="156">
        <v>7.0000000000000007E-2</v>
      </c>
      <c r="J22" s="156"/>
      <c r="K22" s="156">
        <v>0.12</v>
      </c>
      <c r="L22" s="156"/>
      <c r="M22" s="156"/>
      <c r="N22" s="156"/>
      <c r="O22" s="156"/>
      <c r="P22" s="156"/>
      <c r="Q22" s="156"/>
      <c r="R22" s="156"/>
      <c r="S22" s="156">
        <v>0.01</v>
      </c>
      <c r="T22" s="156"/>
      <c r="U22" s="156">
        <v>0.1</v>
      </c>
      <c r="V22" s="156"/>
      <c r="W22" s="156"/>
      <c r="X22" s="156"/>
      <c r="Y22" s="156">
        <v>0.08</v>
      </c>
      <c r="Z22" s="156">
        <v>0.61</v>
      </c>
      <c r="AA22" s="174">
        <f t="shared" si="2"/>
        <v>7.7656317074052584E-6</v>
      </c>
      <c r="AB22" s="180">
        <f t="shared" si="1"/>
        <v>0.4</v>
      </c>
    </row>
    <row r="23" spans="1:28" x14ac:dyDescent="0.35">
      <c r="A23" s="179" t="s">
        <v>35</v>
      </c>
      <c r="B23" s="180">
        <v>27.860000000000003</v>
      </c>
      <c r="C23" s="180">
        <v>0.34</v>
      </c>
      <c r="D23" s="180">
        <v>2.75</v>
      </c>
      <c r="E23" s="180"/>
      <c r="F23" s="180"/>
      <c r="G23" s="180"/>
      <c r="H23" s="180"/>
      <c r="I23" s="180"/>
      <c r="J23" s="180"/>
      <c r="K23" s="180">
        <v>2.06</v>
      </c>
      <c r="L23" s="180"/>
      <c r="M23" s="180">
        <v>1.24</v>
      </c>
      <c r="N23" s="180">
        <v>4.08</v>
      </c>
      <c r="O23" s="180"/>
      <c r="P23" s="180">
        <v>5.3</v>
      </c>
      <c r="Q23" s="180">
        <v>3.11</v>
      </c>
      <c r="R23" s="180"/>
      <c r="S23" s="180"/>
      <c r="T23" s="180">
        <v>0.34</v>
      </c>
      <c r="U23" s="180"/>
      <c r="V23" s="180">
        <v>1.39</v>
      </c>
      <c r="W23" s="180"/>
      <c r="X23" s="180">
        <v>3.4400000000000004</v>
      </c>
      <c r="Y23" s="180">
        <v>0.5</v>
      </c>
      <c r="Z23" s="180">
        <v>52.410000000000004</v>
      </c>
      <c r="AA23" s="181">
        <f>Z23/$Z$30</f>
        <v>6.6720779964772061E-4</v>
      </c>
      <c r="AB23" s="180">
        <f t="shared" si="1"/>
        <v>24.05</v>
      </c>
    </row>
    <row r="24" spans="1:28" x14ac:dyDescent="0.35">
      <c r="A24" s="147" t="s">
        <v>35</v>
      </c>
      <c r="B24" s="156">
        <v>27.860000000000003</v>
      </c>
      <c r="C24" s="156">
        <v>0.34</v>
      </c>
      <c r="D24" s="156">
        <v>2.75</v>
      </c>
      <c r="E24" s="156"/>
      <c r="F24" s="156"/>
      <c r="G24" s="156"/>
      <c r="H24" s="156"/>
      <c r="I24" s="156"/>
      <c r="J24" s="156"/>
      <c r="K24" s="156">
        <v>2.06</v>
      </c>
      <c r="L24" s="156"/>
      <c r="M24" s="156">
        <v>1.24</v>
      </c>
      <c r="N24" s="156">
        <v>4.08</v>
      </c>
      <c r="O24" s="156"/>
      <c r="P24" s="156">
        <v>5.3</v>
      </c>
      <c r="Q24" s="156">
        <v>3.11</v>
      </c>
      <c r="R24" s="156"/>
      <c r="S24" s="156"/>
      <c r="T24" s="156">
        <v>0.34</v>
      </c>
      <c r="U24" s="156"/>
      <c r="V24" s="156">
        <v>1.39</v>
      </c>
      <c r="W24" s="156"/>
      <c r="X24" s="156">
        <v>3.4400000000000004</v>
      </c>
      <c r="Y24" s="156">
        <v>0.5</v>
      </c>
      <c r="Z24" s="156">
        <v>52.410000000000004</v>
      </c>
      <c r="AA24" s="174">
        <f t="shared" si="2"/>
        <v>6.6720779964772061E-4</v>
      </c>
      <c r="AB24" s="180">
        <f t="shared" si="1"/>
        <v>24.05</v>
      </c>
    </row>
    <row r="25" spans="1:28" x14ac:dyDescent="0.35">
      <c r="A25" s="179" t="s">
        <v>36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1">
        <f>Z25/$Z$30</f>
        <v>0</v>
      </c>
      <c r="AB25" s="180">
        <f t="shared" si="1"/>
        <v>0</v>
      </c>
    </row>
    <row r="26" spans="1:28" x14ac:dyDescent="0.35">
      <c r="A26" s="147" t="s">
        <v>37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74">
        <f t="shared" si="2"/>
        <v>0</v>
      </c>
      <c r="AB26" s="180">
        <f t="shared" si="1"/>
        <v>0</v>
      </c>
    </row>
    <row r="27" spans="1:28" x14ac:dyDescent="0.35">
      <c r="A27" s="147" t="s">
        <v>38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74">
        <f t="shared" si="2"/>
        <v>0</v>
      </c>
      <c r="AB27" s="180">
        <f t="shared" si="1"/>
        <v>0</v>
      </c>
    </row>
    <row r="28" spans="1:28" x14ac:dyDescent="0.35">
      <c r="A28" s="179" t="s">
        <v>39</v>
      </c>
      <c r="B28" s="180">
        <v>577.31999999999994</v>
      </c>
      <c r="C28" s="180">
        <v>319.79999999999995</v>
      </c>
      <c r="D28" s="180">
        <v>254.29</v>
      </c>
      <c r="E28" s="180">
        <v>217.33</v>
      </c>
      <c r="F28" s="180">
        <v>297.84000000000003</v>
      </c>
      <c r="G28" s="180">
        <v>332.15</v>
      </c>
      <c r="H28" s="180">
        <v>229.15999999999997</v>
      </c>
      <c r="I28" s="180">
        <v>160.59999999999997</v>
      </c>
      <c r="J28" s="180">
        <v>68.59</v>
      </c>
      <c r="K28" s="180">
        <v>122.39000000000001</v>
      </c>
      <c r="L28" s="180">
        <v>110.73000000000002</v>
      </c>
      <c r="M28" s="180">
        <v>239.28999999999996</v>
      </c>
      <c r="N28" s="180">
        <v>305.39</v>
      </c>
      <c r="O28" s="180">
        <v>272.04000000000002</v>
      </c>
      <c r="P28" s="180">
        <v>323.05999999999995</v>
      </c>
      <c r="Q28" s="180">
        <v>434.47</v>
      </c>
      <c r="R28" s="180">
        <v>646.11999999999989</v>
      </c>
      <c r="S28" s="180">
        <v>360.90000000000003</v>
      </c>
      <c r="T28" s="180">
        <v>218.54</v>
      </c>
      <c r="U28" s="180">
        <v>307.93</v>
      </c>
      <c r="V28" s="180">
        <v>117.22</v>
      </c>
      <c r="W28" s="180">
        <v>152.72000000000003</v>
      </c>
      <c r="X28" s="180">
        <v>86.61</v>
      </c>
      <c r="Y28" s="180">
        <v>23.089999999999996</v>
      </c>
      <c r="Z28" s="180">
        <v>6177.58</v>
      </c>
      <c r="AA28" s="181">
        <f>Z28/$Z$30</f>
        <v>7.8643952660709129E-2</v>
      </c>
      <c r="AB28" s="180">
        <f t="shared" si="1"/>
        <v>5577.1699999999992</v>
      </c>
    </row>
    <row r="29" spans="1:28" x14ac:dyDescent="0.35">
      <c r="A29" s="147" t="s">
        <v>39</v>
      </c>
      <c r="B29" s="156">
        <v>577.31999999999994</v>
      </c>
      <c r="C29" s="156">
        <v>319.79999999999995</v>
      </c>
      <c r="D29" s="156">
        <v>254.29</v>
      </c>
      <c r="E29" s="156">
        <v>217.33</v>
      </c>
      <c r="F29" s="156">
        <v>297.84000000000003</v>
      </c>
      <c r="G29" s="156">
        <v>332.15</v>
      </c>
      <c r="H29" s="156">
        <v>229.15999999999997</v>
      </c>
      <c r="I29" s="156">
        <v>160.59999999999997</v>
      </c>
      <c r="J29" s="156">
        <v>68.59</v>
      </c>
      <c r="K29" s="156">
        <v>122.39000000000001</v>
      </c>
      <c r="L29" s="156">
        <v>110.73000000000002</v>
      </c>
      <c r="M29" s="156">
        <v>239.28999999999996</v>
      </c>
      <c r="N29" s="156">
        <v>305.39</v>
      </c>
      <c r="O29" s="156">
        <v>272.04000000000002</v>
      </c>
      <c r="P29" s="156">
        <v>323.05999999999995</v>
      </c>
      <c r="Q29" s="156">
        <v>434.47</v>
      </c>
      <c r="R29" s="156">
        <v>646.11999999999989</v>
      </c>
      <c r="S29" s="156">
        <v>360.90000000000003</v>
      </c>
      <c r="T29" s="156">
        <v>218.54</v>
      </c>
      <c r="U29" s="156">
        <v>307.93</v>
      </c>
      <c r="V29" s="156">
        <v>117.22</v>
      </c>
      <c r="W29" s="156">
        <v>152.72000000000003</v>
      </c>
      <c r="X29" s="156">
        <v>86.61</v>
      </c>
      <c r="Y29" s="156">
        <v>23.089999999999996</v>
      </c>
      <c r="Z29" s="156">
        <v>6177.58</v>
      </c>
      <c r="AA29" s="174">
        <f t="shared" si="2"/>
        <v>7.8643952660709129E-2</v>
      </c>
      <c r="AB29" s="180">
        <f t="shared" si="1"/>
        <v>5577.1699999999992</v>
      </c>
    </row>
    <row r="30" spans="1:28" x14ac:dyDescent="0.35">
      <c r="A30" s="183" t="s">
        <v>40</v>
      </c>
      <c r="B30" s="184">
        <f>SUM(B5,B13,B17,B20,B23,B25,B28)</f>
        <v>27018.139999999967</v>
      </c>
      <c r="C30" s="184">
        <f t="shared" ref="C30:Z30" si="6">SUM(C5,C13,C17,C20,C23,C25,C28)</f>
        <v>7973.6600000000026</v>
      </c>
      <c r="D30" s="184">
        <f t="shared" si="6"/>
        <v>2340.5100000000002</v>
      </c>
      <c r="E30" s="184">
        <f t="shared" si="6"/>
        <v>2779.16</v>
      </c>
      <c r="F30" s="184">
        <f t="shared" si="6"/>
        <v>2437</v>
      </c>
      <c r="G30" s="184">
        <f t="shared" si="6"/>
        <v>3801.8700000000013</v>
      </c>
      <c r="H30" s="184">
        <f t="shared" si="6"/>
        <v>3006.1799999999976</v>
      </c>
      <c r="I30" s="184">
        <f t="shared" si="6"/>
        <v>1410.9199999999996</v>
      </c>
      <c r="J30" s="184">
        <f t="shared" si="6"/>
        <v>1461.5799999999997</v>
      </c>
      <c r="K30" s="184">
        <f t="shared" si="6"/>
        <v>1414.7199999999996</v>
      </c>
      <c r="L30" s="184">
        <f t="shared" si="6"/>
        <v>1284.1999999999998</v>
      </c>
      <c r="M30" s="184">
        <f t="shared" si="6"/>
        <v>2732.8399999999997</v>
      </c>
      <c r="N30" s="184">
        <f t="shared" si="6"/>
        <v>1521.9100000000003</v>
      </c>
      <c r="O30" s="184">
        <f t="shared" si="6"/>
        <v>1998.0399999999993</v>
      </c>
      <c r="P30" s="184">
        <f t="shared" si="6"/>
        <v>1909.73</v>
      </c>
      <c r="Q30" s="184">
        <f t="shared" si="6"/>
        <v>2520.6299999999992</v>
      </c>
      <c r="R30" s="184">
        <f t="shared" si="6"/>
        <v>3563.0900000000006</v>
      </c>
      <c r="S30" s="184">
        <f t="shared" si="6"/>
        <v>2221.6400000000008</v>
      </c>
      <c r="T30" s="184">
        <f t="shared" si="6"/>
        <v>1804.2799999999995</v>
      </c>
      <c r="U30" s="184">
        <f t="shared" si="6"/>
        <v>1837.3600000000004</v>
      </c>
      <c r="V30" s="184">
        <f t="shared" si="6"/>
        <v>1359.6700000000003</v>
      </c>
      <c r="W30" s="184">
        <f t="shared" si="6"/>
        <v>1205.0300000000002</v>
      </c>
      <c r="X30" s="184">
        <f t="shared" si="6"/>
        <v>850.68000000000006</v>
      </c>
      <c r="Y30" s="184">
        <f t="shared" si="6"/>
        <v>98.4</v>
      </c>
      <c r="Z30" s="184">
        <f t="shared" si="6"/>
        <v>78551.239999999976</v>
      </c>
      <c r="AA30" s="187">
        <v>1</v>
      </c>
      <c r="AB30" s="180">
        <f t="shared" si="1"/>
        <v>51434.7</v>
      </c>
    </row>
    <row r="33" spans="1:25" ht="15.5" x14ac:dyDescent="0.35">
      <c r="A33" s="108" t="s">
        <v>110</v>
      </c>
      <c r="B33" s="192" t="s">
        <v>74</v>
      </c>
      <c r="C33" s="192">
        <v>2000</v>
      </c>
      <c r="D33" s="192">
        <v>2001</v>
      </c>
      <c r="E33" s="192">
        <v>2002</v>
      </c>
      <c r="F33" s="192">
        <v>2003</v>
      </c>
      <c r="G33" s="192">
        <v>2004</v>
      </c>
      <c r="H33" s="192">
        <v>2005</v>
      </c>
      <c r="I33" s="192">
        <v>2006</v>
      </c>
      <c r="J33" s="192">
        <v>2007</v>
      </c>
      <c r="K33" s="192">
        <v>2008</v>
      </c>
      <c r="L33" s="192">
        <v>2009</v>
      </c>
      <c r="M33" s="192">
        <v>2010</v>
      </c>
      <c r="N33" s="192">
        <v>2011</v>
      </c>
      <c r="O33" s="192">
        <v>2012</v>
      </c>
      <c r="P33" s="192">
        <v>2013</v>
      </c>
      <c r="Q33" s="192">
        <v>2014</v>
      </c>
      <c r="R33" s="192">
        <v>2015</v>
      </c>
      <c r="S33" s="192">
        <v>2016</v>
      </c>
      <c r="T33" s="192">
        <v>2017</v>
      </c>
      <c r="U33" s="192">
        <v>2018</v>
      </c>
      <c r="V33" s="192">
        <v>2019</v>
      </c>
      <c r="W33" s="192">
        <v>2020</v>
      </c>
      <c r="X33" s="192">
        <v>2021</v>
      </c>
      <c r="Y33" s="190" t="s">
        <v>75</v>
      </c>
    </row>
    <row r="34" spans="1:25" x14ac:dyDescent="0.35">
      <c r="A34" s="188" t="s">
        <v>6</v>
      </c>
      <c r="B34" s="174">
        <f>B5/$Z$5</f>
        <v>0.2062780113790601</v>
      </c>
      <c r="C34" s="174">
        <f t="shared" ref="C34:Y34" si="7">C5/$Z$5</f>
        <v>4.8779271717994302E-2</v>
      </c>
      <c r="D34" s="174">
        <f t="shared" si="7"/>
        <v>2.1062895067781303E-2</v>
      </c>
      <c r="E34" s="174">
        <f t="shared" si="7"/>
        <v>4.1299644889117873E-2</v>
      </c>
      <c r="F34" s="174">
        <f t="shared" si="7"/>
        <v>2.591727744630402E-2</v>
      </c>
      <c r="G34" s="174">
        <f t="shared" si="7"/>
        <v>6.3657503587118511E-2</v>
      </c>
      <c r="H34" s="174">
        <f t="shared" si="7"/>
        <v>3.4925930850327129E-2</v>
      </c>
      <c r="I34" s="174">
        <f t="shared" si="7"/>
        <v>3.0343006088406545E-2</v>
      </c>
      <c r="J34" s="174">
        <f t="shared" si="7"/>
        <v>2.8861069099813303E-2</v>
      </c>
      <c r="K34" s="174">
        <f t="shared" si="7"/>
        <v>3.1945437019062974E-2</v>
      </c>
      <c r="L34" s="174">
        <f t="shared" si="7"/>
        <v>1.4277839640567957E-2</v>
      </c>
      <c r="M34" s="174">
        <f t="shared" si="7"/>
        <v>5.5533857412731924E-2</v>
      </c>
      <c r="N34" s="174">
        <f t="shared" si="7"/>
        <v>2.2389020924396284E-2</v>
      </c>
      <c r="O34" s="174">
        <f t="shared" si="7"/>
        <v>3.2785432143905786E-2</v>
      </c>
      <c r="P34" s="174">
        <f t="shared" si="7"/>
        <v>2.6892308885527984E-2</v>
      </c>
      <c r="Q34" s="174">
        <f t="shared" si="7"/>
        <v>4.0033766003534484E-2</v>
      </c>
      <c r="R34" s="174">
        <f t="shared" si="7"/>
        <v>7.9914490850770334E-2</v>
      </c>
      <c r="S34" s="174">
        <f t="shared" si="7"/>
        <v>4.2916618192092276E-2</v>
      </c>
      <c r="T34" s="174">
        <f t="shared" si="7"/>
        <v>3.674303489615361E-2</v>
      </c>
      <c r="U34" s="174">
        <f t="shared" si="7"/>
        <v>3.4267369132499018E-2</v>
      </c>
      <c r="V34" s="174">
        <f t="shared" si="7"/>
        <v>3.4975097918640285E-2</v>
      </c>
      <c r="W34" s="174">
        <f t="shared" si="7"/>
        <v>2.4145185505271265E-2</v>
      </c>
      <c r="X34" s="174">
        <f t="shared" si="7"/>
        <v>2.1068435019140529E-2</v>
      </c>
      <c r="Y34" s="191">
        <f t="shared" si="7"/>
        <v>9.8749632978222457E-4</v>
      </c>
    </row>
    <row r="35" spans="1:25" x14ac:dyDescent="0.35">
      <c r="A35" s="188" t="s">
        <v>16</v>
      </c>
      <c r="B35" s="174">
        <f>B13/$Z$13</f>
        <v>0.40677321916409276</v>
      </c>
      <c r="C35" s="174">
        <f t="shared" ref="C35:Y35" si="8">C13/$Z$13</f>
        <v>0.11639277361535769</v>
      </c>
      <c r="D35" s="174">
        <f t="shared" si="8"/>
        <v>2.8064663995687966E-2</v>
      </c>
      <c r="E35" s="174">
        <f t="shared" si="8"/>
        <v>2.9634273499417243E-2</v>
      </c>
      <c r="F35" s="174">
        <f t="shared" si="8"/>
        <v>2.7555409499736654E-2</v>
      </c>
      <c r="G35" s="174">
        <f t="shared" si="8"/>
        <v>4.3763830300201062E-2</v>
      </c>
      <c r="H35" s="174">
        <f t="shared" si="8"/>
        <v>3.8522136926306454E-2</v>
      </c>
      <c r="I35" s="174">
        <f t="shared" si="8"/>
        <v>1.3553694196994152E-2</v>
      </c>
      <c r="J35" s="174">
        <f t="shared" si="8"/>
        <v>1.7994170734816045E-2</v>
      </c>
      <c r="K35" s="174">
        <f t="shared" si="8"/>
        <v>1.5101612875980698E-2</v>
      </c>
      <c r="L35" s="174">
        <f t="shared" si="8"/>
        <v>1.7672455493498898E-2</v>
      </c>
      <c r="M35" s="174">
        <f t="shared" si="8"/>
        <v>2.9682837912336835E-2</v>
      </c>
      <c r="N35" s="174">
        <f t="shared" si="8"/>
        <v>1.63356864359019E-2</v>
      </c>
      <c r="O35" s="174">
        <f t="shared" si="8"/>
        <v>2.3423787271747258E-2</v>
      </c>
      <c r="P35" s="174">
        <f t="shared" si="8"/>
        <v>2.1900054822119895E-2</v>
      </c>
      <c r="Q35" s="174">
        <f t="shared" si="8"/>
        <v>2.7439661116374924E-2</v>
      </c>
      <c r="R35" s="174">
        <f t="shared" si="8"/>
        <v>3.2586145206442936E-2</v>
      </c>
      <c r="S35" s="174">
        <f t="shared" si="8"/>
        <v>2.0406459182090848E-2</v>
      </c>
      <c r="T35" s="174">
        <f t="shared" si="8"/>
        <v>1.9012871680919911E-2</v>
      </c>
      <c r="U35" s="174">
        <f t="shared" si="8"/>
        <v>1.8914399175671892E-2</v>
      </c>
      <c r="V35" s="174">
        <f t="shared" si="8"/>
        <v>1.3081102953484129E-2</v>
      </c>
      <c r="W35" s="174">
        <f t="shared" si="8"/>
        <v>1.2756892307550567E-2</v>
      </c>
      <c r="X35" s="174">
        <f t="shared" si="8"/>
        <v>8.2724582576393976E-3</v>
      </c>
      <c r="Y35" s="191">
        <f t="shared" si="8"/>
        <v>1.1594033756298027E-3</v>
      </c>
    </row>
    <row r="36" spans="1:25" x14ac:dyDescent="0.35">
      <c r="A36" s="188" t="s">
        <v>23</v>
      </c>
      <c r="B36" s="174">
        <f>B17/$Z$17</f>
        <v>0.38818937840200057</v>
      </c>
      <c r="C36" s="174">
        <f t="shared" ref="C36:Y36" si="9">C17/$Z$17</f>
        <v>0.15324904592538746</v>
      </c>
      <c r="D36" s="174">
        <f t="shared" si="9"/>
        <v>5.3853942210337784E-2</v>
      </c>
      <c r="E36" s="174">
        <f t="shared" si="9"/>
        <v>7.2971780160440328E-2</v>
      </c>
      <c r="F36" s="174">
        <f t="shared" si="9"/>
        <v>5.7007364331022818E-2</v>
      </c>
      <c r="G36" s="174">
        <f t="shared" si="9"/>
        <v>4.6785569026541039E-2</v>
      </c>
      <c r="H36" s="174">
        <f t="shared" si="9"/>
        <v>4.6008463355746529E-2</v>
      </c>
      <c r="I36" s="174">
        <f t="shared" si="9"/>
        <v>1.834419377450091E-2</v>
      </c>
      <c r="J36" s="174">
        <f t="shared" si="9"/>
        <v>6.7153006741261919E-3</v>
      </c>
      <c r="K36" s="174">
        <f t="shared" si="9"/>
        <v>7.2881781285426281E-3</v>
      </c>
      <c r="L36" s="174">
        <f t="shared" si="9"/>
        <v>8.0704760421263996E-3</v>
      </c>
      <c r="M36" s="174">
        <f t="shared" si="9"/>
        <v>2.4915842398123875E-2</v>
      </c>
      <c r="N36" s="174">
        <f t="shared" si="9"/>
        <v>6.5958790899729161E-3</v>
      </c>
      <c r="O36" s="174">
        <f t="shared" si="9"/>
        <v>5.5868532412575644E-3</v>
      </c>
      <c r="P36" s="174">
        <f t="shared" si="9"/>
        <v>9.0223872201597548E-3</v>
      </c>
      <c r="Q36" s="174">
        <f t="shared" si="9"/>
        <v>1.3046375381846203E-2</v>
      </c>
      <c r="R36" s="174">
        <f t="shared" si="9"/>
        <v>1.131216629022907E-2</v>
      </c>
      <c r="S36" s="174">
        <f t="shared" si="9"/>
        <v>3.0789999740387878E-2</v>
      </c>
      <c r="T36" s="174">
        <f t="shared" si="9"/>
        <v>1.1132168540200948E-2</v>
      </c>
      <c r="U36" s="174">
        <f t="shared" si="9"/>
        <v>8.503162941232472E-3</v>
      </c>
      <c r="V36" s="174">
        <f t="shared" si="9"/>
        <v>9.4377666433015789E-3</v>
      </c>
      <c r="W36" s="174">
        <f t="shared" si="9"/>
        <v>6.760300111633223E-3</v>
      </c>
      <c r="X36" s="174">
        <f t="shared" si="9"/>
        <v>4.4012911377069351E-3</v>
      </c>
      <c r="Y36" s="191">
        <f t="shared" si="9"/>
        <v>1.2115233174969936E-5</v>
      </c>
    </row>
    <row r="37" spans="1:25" x14ac:dyDescent="0.35">
      <c r="A37" s="188" t="s">
        <v>27</v>
      </c>
      <c r="B37" s="174">
        <f>B20/$Z$20</f>
        <v>1.8361581920903956E-2</v>
      </c>
      <c r="C37" s="174">
        <f t="shared" ref="C37:Y37" si="10">C20/$Z$20</f>
        <v>1.4124293785310734E-2</v>
      </c>
      <c r="D37" s="174">
        <f t="shared" si="10"/>
        <v>0.86158192090395469</v>
      </c>
      <c r="E37" s="174">
        <f t="shared" si="10"/>
        <v>0</v>
      </c>
      <c r="F37" s="174">
        <f t="shared" si="10"/>
        <v>0</v>
      </c>
      <c r="G37" s="174">
        <f t="shared" si="10"/>
        <v>3.3898305084745763E-2</v>
      </c>
      <c r="H37" s="174">
        <f t="shared" si="10"/>
        <v>0</v>
      </c>
      <c r="I37" s="174">
        <f t="shared" si="10"/>
        <v>9.887005649717515E-3</v>
      </c>
      <c r="J37" s="174">
        <f t="shared" si="10"/>
        <v>0</v>
      </c>
      <c r="K37" s="174">
        <f t="shared" si="10"/>
        <v>1.6949152542372881E-2</v>
      </c>
      <c r="L37" s="174">
        <f t="shared" si="10"/>
        <v>0</v>
      </c>
      <c r="M37" s="174">
        <f t="shared" si="10"/>
        <v>8.4745762711864406E-3</v>
      </c>
      <c r="N37" s="174">
        <f t="shared" si="10"/>
        <v>0</v>
      </c>
      <c r="O37" s="174">
        <f t="shared" si="10"/>
        <v>0</v>
      </c>
      <c r="P37" s="174">
        <f t="shared" si="10"/>
        <v>0</v>
      </c>
      <c r="Q37" s="174">
        <f t="shared" si="10"/>
        <v>9.887005649717515E-3</v>
      </c>
      <c r="R37" s="174">
        <f t="shared" si="10"/>
        <v>0</v>
      </c>
      <c r="S37" s="174">
        <f t="shared" si="10"/>
        <v>1.4124293785310734E-3</v>
      </c>
      <c r="T37" s="174">
        <f t="shared" si="10"/>
        <v>0</v>
      </c>
      <c r="U37" s="174">
        <f t="shared" si="10"/>
        <v>1.4124293785310734E-2</v>
      </c>
      <c r="V37" s="174">
        <f t="shared" si="10"/>
        <v>0</v>
      </c>
      <c r="W37" s="174">
        <f t="shared" si="10"/>
        <v>0</v>
      </c>
      <c r="X37" s="174">
        <f t="shared" si="10"/>
        <v>0</v>
      </c>
      <c r="Y37" s="191">
        <f t="shared" si="10"/>
        <v>1.1299435028248588E-2</v>
      </c>
    </row>
    <row r="38" spans="1:25" x14ac:dyDescent="0.35">
      <c r="A38" s="188" t="s">
        <v>35</v>
      </c>
      <c r="B38" s="174">
        <f>B23/$Z$23</f>
        <v>0.53157794314062201</v>
      </c>
      <c r="C38" s="174">
        <f t="shared" ref="C38:Y38" si="11">C23/$Z$23</f>
        <v>6.4873115817592059E-3</v>
      </c>
      <c r="D38" s="174">
        <f t="shared" si="11"/>
        <v>5.2470902499522985E-2</v>
      </c>
      <c r="E38" s="174">
        <f t="shared" si="11"/>
        <v>0</v>
      </c>
      <c r="F38" s="174">
        <f t="shared" si="11"/>
        <v>0</v>
      </c>
      <c r="G38" s="174">
        <f t="shared" si="11"/>
        <v>0</v>
      </c>
      <c r="H38" s="174">
        <f t="shared" si="11"/>
        <v>0</v>
      </c>
      <c r="I38" s="174">
        <f t="shared" si="11"/>
        <v>0</v>
      </c>
      <c r="J38" s="174">
        <f t="shared" si="11"/>
        <v>0</v>
      </c>
      <c r="K38" s="174">
        <f t="shared" si="11"/>
        <v>3.9305476054188132E-2</v>
      </c>
      <c r="L38" s="174">
        <f t="shared" si="11"/>
        <v>0</v>
      </c>
      <c r="M38" s="174">
        <f t="shared" si="11"/>
        <v>2.3659606945239456E-2</v>
      </c>
      <c r="N38" s="174">
        <f t="shared" si="11"/>
        <v>7.784773898111047E-2</v>
      </c>
      <c r="O38" s="174">
        <f t="shared" si="11"/>
        <v>0</v>
      </c>
      <c r="P38" s="174">
        <f t="shared" si="11"/>
        <v>0.10112573936271703</v>
      </c>
      <c r="Q38" s="174">
        <f t="shared" si="11"/>
        <v>5.9339820644915088E-2</v>
      </c>
      <c r="R38" s="174">
        <f t="shared" si="11"/>
        <v>0</v>
      </c>
      <c r="S38" s="174">
        <f t="shared" si="11"/>
        <v>0</v>
      </c>
      <c r="T38" s="174">
        <f t="shared" si="11"/>
        <v>6.4873115817592059E-3</v>
      </c>
      <c r="U38" s="174">
        <f t="shared" si="11"/>
        <v>0</v>
      </c>
      <c r="V38" s="174">
        <f t="shared" si="11"/>
        <v>2.6521656172486162E-2</v>
      </c>
      <c r="W38" s="174">
        <f t="shared" si="11"/>
        <v>0</v>
      </c>
      <c r="X38" s="174">
        <f t="shared" si="11"/>
        <v>6.5636328944857852E-2</v>
      </c>
      <c r="Y38" s="191">
        <f t="shared" si="11"/>
        <v>9.5401640908223621E-3</v>
      </c>
    </row>
    <row r="39" spans="1:25" x14ac:dyDescent="0.35">
      <c r="A39" s="188" t="s">
        <v>36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91"/>
    </row>
    <row r="40" spans="1:25" x14ac:dyDescent="0.35">
      <c r="A40" s="188" t="s">
        <v>39</v>
      </c>
      <c r="B40" s="174">
        <f>B28/$Z$28</f>
        <v>9.3454071011625908E-2</v>
      </c>
      <c r="C40" s="174">
        <f t="shared" ref="C40:Y40" si="12">C28/$Z$28</f>
        <v>5.1767844366240497E-2</v>
      </c>
      <c r="D40" s="174">
        <f t="shared" si="12"/>
        <v>4.1163368179772661E-2</v>
      </c>
      <c r="E40" s="174">
        <f t="shared" si="12"/>
        <v>3.5180442827126485E-2</v>
      </c>
      <c r="F40" s="174">
        <f t="shared" si="12"/>
        <v>4.8213054302817616E-2</v>
      </c>
      <c r="G40" s="174">
        <f t="shared" si="12"/>
        <v>5.3767009087701004E-2</v>
      </c>
      <c r="H40" s="174">
        <f t="shared" si="12"/>
        <v>3.7095432191893908E-2</v>
      </c>
      <c r="I40" s="174">
        <f t="shared" si="12"/>
        <v>2.5997235163283998E-2</v>
      </c>
      <c r="J40" s="174">
        <f t="shared" si="12"/>
        <v>1.1103053299188356E-2</v>
      </c>
      <c r="K40" s="174">
        <f t="shared" si="12"/>
        <v>1.9811965203202553E-2</v>
      </c>
      <c r="L40" s="174">
        <f t="shared" si="12"/>
        <v>1.7924494705046316E-2</v>
      </c>
      <c r="M40" s="174">
        <f t="shared" si="12"/>
        <v>3.8735232890549365E-2</v>
      </c>
      <c r="N40" s="174">
        <f t="shared" si="12"/>
        <v>4.9435215731726663E-2</v>
      </c>
      <c r="O40" s="174">
        <f t="shared" si="12"/>
        <v>4.4036661605353557E-2</v>
      </c>
      <c r="P40" s="174">
        <f t="shared" si="12"/>
        <v>5.2295559102431687E-2</v>
      </c>
      <c r="Q40" s="174">
        <f t="shared" si="12"/>
        <v>7.0330129273922806E-2</v>
      </c>
      <c r="R40" s="174">
        <f t="shared" si="12"/>
        <v>0.10459111820486337</v>
      </c>
      <c r="S40" s="174">
        <f t="shared" si="12"/>
        <v>5.842093505871232E-2</v>
      </c>
      <c r="T40" s="174">
        <f t="shared" si="12"/>
        <v>3.5376312407123828E-2</v>
      </c>
      <c r="U40" s="174">
        <f t="shared" si="12"/>
        <v>4.984637997403514E-2</v>
      </c>
      <c r="V40" s="174">
        <f t="shared" si="12"/>
        <v>1.8975067906850256E-2</v>
      </c>
      <c r="W40" s="174">
        <f t="shared" si="12"/>
        <v>2.4721654758012041E-2</v>
      </c>
      <c r="X40" s="174">
        <f t="shared" si="12"/>
        <v>1.4020053159975265E-2</v>
      </c>
      <c r="Y40" s="191">
        <f t="shared" si="12"/>
        <v>3.7377095885443808E-3</v>
      </c>
    </row>
    <row r="41" spans="1:25" x14ac:dyDescent="0.35">
      <c r="A41" s="188" t="s">
        <v>40</v>
      </c>
      <c r="B41" s="174">
        <f>B30/$Z$30</f>
        <v>0.34395561419526893</v>
      </c>
      <c r="C41" s="174">
        <f t="shared" ref="C41:Y41" si="13">C30/$Z$30</f>
        <v>0.10150902773781807</v>
      </c>
      <c r="D41" s="174">
        <f t="shared" si="13"/>
        <v>2.9795965028687019E-2</v>
      </c>
      <c r="E41" s="174">
        <f t="shared" si="13"/>
        <v>3.5380218058938352E-2</v>
      </c>
      <c r="F41" s="174">
        <f t="shared" si="13"/>
        <v>3.1024335198273138E-2</v>
      </c>
      <c r="G41" s="174">
        <f t="shared" si="13"/>
        <v>4.8399872490873505E-2</v>
      </c>
      <c r="H41" s="174">
        <f t="shared" si="13"/>
        <v>3.827030610847134E-2</v>
      </c>
      <c r="I41" s="174">
        <f t="shared" si="13"/>
        <v>1.7961778833790531E-2</v>
      </c>
      <c r="J41" s="174">
        <f t="shared" si="13"/>
        <v>1.8606708181818647E-2</v>
      </c>
      <c r="K41" s="174">
        <f t="shared" si="13"/>
        <v>1.801015490016453E-2</v>
      </c>
      <c r="L41" s="174">
        <f t="shared" si="13"/>
        <v>1.634856432565546E-2</v>
      </c>
      <c r="M41" s="174">
        <f t="shared" si="13"/>
        <v>3.479053927092686E-2</v>
      </c>
      <c r="N41" s="174">
        <f t="shared" si="13"/>
        <v>1.9374741888224817E-2</v>
      </c>
      <c r="O41" s="174">
        <f t="shared" si="13"/>
        <v>2.5436135699449174E-2</v>
      </c>
      <c r="P41" s="174">
        <f t="shared" si="13"/>
        <v>2.4311901378004989E-2</v>
      </c>
      <c r="Q41" s="174">
        <f t="shared" si="13"/>
        <v>3.2088990574814603E-2</v>
      </c>
      <c r="R41" s="174">
        <f t="shared" si="13"/>
        <v>4.5360073246456731E-2</v>
      </c>
      <c r="S41" s="174">
        <f t="shared" si="13"/>
        <v>2.8282685289245612E-2</v>
      </c>
      <c r="T41" s="174">
        <f t="shared" si="13"/>
        <v>2.2969465536126485E-2</v>
      </c>
      <c r="U41" s="174">
        <f t="shared" si="13"/>
        <v>2.3390591924455948E-2</v>
      </c>
      <c r="V41" s="174">
        <f t="shared" si="13"/>
        <v>1.7309338464930671E-2</v>
      </c>
      <c r="W41" s="174">
        <f t="shared" si="13"/>
        <v>1.5340687174384523E-2</v>
      </c>
      <c r="X41" s="174">
        <f t="shared" si="13"/>
        <v>1.0829618985009025E-2</v>
      </c>
      <c r="Y41" s="191">
        <f t="shared" si="13"/>
        <v>1.2526855082109465E-3</v>
      </c>
    </row>
    <row r="45" spans="1:25" x14ac:dyDescent="0.35">
      <c r="F45" s="6"/>
    </row>
    <row r="46" spans="1:25" x14ac:dyDescent="0.35">
      <c r="J46" s="6"/>
    </row>
    <row r="47" spans="1:25" x14ac:dyDescent="0.35">
      <c r="J47" s="6"/>
    </row>
    <row r="48" spans="1:25" x14ac:dyDescent="0.35">
      <c r="D48" s="6"/>
      <c r="E48" s="4"/>
    </row>
    <row r="49" spans="4:4" x14ac:dyDescent="0.35">
      <c r="D49" s="6"/>
    </row>
    <row r="50" spans="4:4" x14ac:dyDescent="0.35">
      <c r="D50" s="6"/>
    </row>
  </sheetData>
  <mergeCells count="1">
    <mergeCell ref="A3:H3"/>
  </mergeCells>
  <hyperlinks>
    <hyperlink ref="B1" location="ÍNDICE!A1" display="ÍNDICE!A1" xr:uid="{73DA5ABD-7DC3-4368-8A31-C4DAAF4478CA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ÍNDICE</vt:lpstr>
      <vt:lpstr>CÍTRICOS</vt:lpstr>
      <vt:lpstr>RSU REGEPA</vt:lpstr>
      <vt:lpstr>NAR-REPR</vt:lpstr>
      <vt:lpstr>LIM-REPR</vt:lpstr>
      <vt:lpstr>PC-REPR</vt:lpstr>
      <vt:lpstr>POM-REPR</vt:lpstr>
      <vt:lpstr>NAR-EDAD</vt:lpstr>
      <vt:lpstr>PC-EDAD</vt:lpstr>
      <vt:lpstr>CLE-EDAD</vt:lpstr>
      <vt:lpstr>MAN-EDAD</vt:lpstr>
      <vt:lpstr>MH-EDAD</vt:lpstr>
      <vt:lpstr>SAT-EDAD</vt:lpstr>
      <vt:lpstr>LIM-EDAD</vt:lpstr>
      <vt:lpstr>POM-EDAD</vt:lpstr>
      <vt:lpstr>NAR-VAR</vt:lpstr>
      <vt:lpstr>PC-VAR</vt:lpstr>
      <vt:lpstr>LIM-VAR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Castañera Lagares, Virginia</dc:creator>
  <cp:lastModifiedBy>Jimenez Sánchez, Anibal</cp:lastModifiedBy>
  <dcterms:created xsi:type="dcterms:W3CDTF">2022-02-09T11:02:32Z</dcterms:created>
  <dcterms:modified xsi:type="dcterms:W3CDTF">2022-09-29T12:00:36Z</dcterms:modified>
</cp:coreProperties>
</file>