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52" tabRatio="851" activeTab="0"/>
  </bookViews>
  <sheets>
    <sheet name="Cos. cereal" sheetId="1" r:id="rId1"/>
    <sheet name="Metodología" sheetId="2" r:id="rId2"/>
  </sheets>
  <definedNames>
    <definedName name="_xlnm.Print_Area" localSheetId="0">'Cos. cereal'!$A$1:$K$57</definedName>
    <definedName name="_xlnm.Print_Area" localSheetId="1">'Metodología'!$A$1:$A$33</definedName>
  </definedNames>
  <calcPr fullCalcOnLoad="1"/>
</workbook>
</file>

<file path=xl/sharedStrings.xml><?xml version="1.0" encoding="utf-8"?>
<sst xmlns="http://schemas.openxmlformats.org/spreadsheetml/2006/main" count="141" uniqueCount="101">
  <si>
    <t>OPERACIÓN:</t>
  </si>
  <si>
    <t xml:space="preserve">APERO: </t>
  </si>
  <si>
    <t>t/ha</t>
  </si>
  <si>
    <t>Eficiencia de trabajo</t>
  </si>
  <si>
    <t>Pot (kW)</t>
  </si>
  <si>
    <t>Pot (kWh/t)</t>
  </si>
  <si>
    <t>Cp(t/h)</t>
  </si>
  <si>
    <t>Anchura de trabajo</t>
  </si>
  <si>
    <t>m</t>
  </si>
  <si>
    <t>Baja</t>
  </si>
  <si>
    <t>Velocidad de trabajo</t>
  </si>
  <si>
    <t>km/h</t>
  </si>
  <si>
    <t>Media</t>
  </si>
  <si>
    <t>Alta</t>
  </si>
  <si>
    <t>kW</t>
  </si>
  <si>
    <t>CV</t>
  </si>
  <si>
    <t>Nivel de carga de trabajo (%)</t>
  </si>
  <si>
    <t>RESULTADOS MAPA</t>
  </si>
  <si>
    <t>t/h</t>
  </si>
  <si>
    <t>consumos</t>
  </si>
  <si>
    <t>Capacidad trabajo teórica</t>
  </si>
  <si>
    <t>h/ha</t>
  </si>
  <si>
    <t>Eficiencia</t>
  </si>
  <si>
    <t>Capacidad trabajo real</t>
  </si>
  <si>
    <t>Consumo combustible</t>
  </si>
  <si>
    <t>ha/h</t>
  </si>
  <si>
    <t>Carga</t>
  </si>
  <si>
    <t>Factor (L/h-kW)</t>
  </si>
  <si>
    <t>COSTES DE UTILIZACIÓN</t>
  </si>
  <si>
    <t xml:space="preserve">Nivel de carga </t>
  </si>
  <si>
    <t>%</t>
  </si>
  <si>
    <t>Consumo de combustible</t>
  </si>
  <si>
    <t>L/h</t>
  </si>
  <si>
    <t>h/año</t>
  </si>
  <si>
    <t>L/ha</t>
  </si>
  <si>
    <t>Consumo de aceite</t>
  </si>
  <si>
    <t>€/h</t>
  </si>
  <si>
    <t>Coste gasóleo</t>
  </si>
  <si>
    <t>€/L</t>
  </si>
  <si>
    <t>Coste combustible</t>
  </si>
  <si>
    <t>€/ha</t>
  </si>
  <si>
    <t>COSTES DE POSESIÓN</t>
  </si>
  <si>
    <t>Horas trabajo anuales</t>
  </si>
  <si>
    <t>Precio adquisición</t>
  </si>
  <si>
    <t>€</t>
  </si>
  <si>
    <t>amort. - desgaste</t>
  </si>
  <si>
    <t>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</si>
  <si>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</si>
  <si>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</si>
  <si>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</si>
  <si>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</si>
  <si>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</si>
  <si>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</si>
  <si>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</si>
  <si>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ASAE combine, small grains</t>
  </si>
  <si>
    <t>rdto secano</t>
  </si>
  <si>
    <t>9 L/ha</t>
  </si>
  <si>
    <t>rdto regadío</t>
  </si>
  <si>
    <t>15 L/ha</t>
  </si>
  <si>
    <t>Cereal</t>
  </si>
  <si>
    <t>Producción (t/ha)</t>
  </si>
  <si>
    <t>CULTIVO:</t>
  </si>
  <si>
    <t>ASAE combine,corn</t>
  </si>
  <si>
    <t>Anchura cabezal (m)</t>
  </si>
  <si>
    <t>Utilización máquina (h/año)</t>
  </si>
  <si>
    <t>AUXILIAR</t>
  </si>
  <si>
    <t>Coste total s/combustible</t>
  </si>
  <si>
    <t>COSTE TOTAL</t>
  </si>
  <si>
    <t>Los datos de partida son:</t>
  </si>
  <si>
    <t>Las hipótesis establecidas para el cálculo de los costes son las siguientes:</t>
  </si>
  <si>
    <t>Potencia motor (kW)</t>
  </si>
  <si>
    <t xml:space="preserve">Potencia Motor </t>
  </si>
  <si>
    <t>Capacidad de trilla necesaria</t>
  </si>
  <si>
    <t>Potencia minima trilla</t>
  </si>
  <si>
    <t>-          Horas de trabajo anuales: Se han estimado dos rangos diferentes de utilización  de la máquina al año, baja (300 h/año) y alta (1.000 h/año)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</si>
  <si>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</si>
  <si>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</si>
  <si>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</si>
  <si>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Eficiencia de la operación: Baja, media o alta (se recomienda escoger alta para esta operación puesto que es la situación más habitual)</t>
  </si>
  <si>
    <t>-          Producción de grano: Alta (5 t/ha), media (3,5 t/ha) y baja (2,0 t/ha)</t>
  </si>
  <si>
    <t>-          Anchura del cabezal: Alta (7 m), media (6m) y baja (4 m)</t>
  </si>
  <si>
    <t>€/kW</t>
  </si>
  <si>
    <t>Velocidad max. teórica</t>
  </si>
  <si>
    <t>Cereal (trigo, cebada... girasol)</t>
  </si>
  <si>
    <t>Recolección de granos y semillas</t>
  </si>
  <si>
    <t>Cosechadora de granos autopropulsada</t>
  </si>
  <si>
    <t>Cosecha de cereales y leguminosas grano (trigo, cebada... girasol)</t>
  </si>
  <si>
    <t xml:space="preserve">-         Capacidad de trilla necesaria (t/h) calculada en función de la producción </t>
  </si>
  <si>
    <t>-          Potencia mínima de trilla calculada con 4 kWh/tonelada de grano</t>
  </si>
  <si>
    <t>-          Velocidad máxima teórica calculada en función de la producción y de la potencia del motor asumiendo que el 30% de la disponible se utiliza en el proceso de sieg-trilla-limpia</t>
  </si>
  <si>
    <t>-          Velocidad de trabajo: se puede ajustar en intervalos de 0,25 km/h utilizando el cursor. Debe ser inferior a la teórica calculada</t>
  </si>
  <si>
    <t>-          Mantenimiento y reparaciones: 10,0 €/ha</t>
  </si>
  <si>
    <t>-          Precio de adquisición: Estimado en 800 €/kW potencia motor</t>
  </si>
  <si>
    <t xml:space="preserve">-          Amortización por desgaste: 5 000 h </t>
  </si>
  <si>
    <t>-          Coste de combustible: 1,00 €/L</t>
  </si>
  <si>
    <t>-          Potencia motor: 240 kW en máquina grande y 190 kW pequeña.</t>
  </si>
  <si>
    <t>Muy alta</t>
  </si>
  <si>
    <t>-          Nivel de carga de la máquina: Medio, alto o muy alto (se recomienda poner un nivel alto para esta operación); en el caso de utilizar picador de paja utilizar la opción "muy alto")</t>
  </si>
  <si>
    <t>ha/año</t>
  </si>
  <si>
    <t>Utilzación anual</t>
  </si>
  <si>
    <t>-          Interés: 5 %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</si>
</sst>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0.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42"/>
      <name val="Arial"/>
      <family val="2"/>
    </font>
    <font>
      <b/>
      <sz val="11"/>
      <color indexed="22"/>
      <name val="Arial"/>
      <family val="2"/>
    </font>
    <font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0" fontId="0" fillId="34" borderId="0" xfId="0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10" fillId="34" borderId="14" xfId="0" applyFont="1" applyFill="1" applyBorder="1" applyAlignment="1">
      <alignment/>
    </xf>
    <xf numFmtId="164" fontId="6" fillId="33" borderId="11" xfId="0" applyNumberFormat="1" applyFont="1" applyFill="1" applyBorder="1" applyAlignment="1" applyProtection="1">
      <alignment horizontal="center"/>
      <protection hidden="1"/>
    </xf>
    <xf numFmtId="0" fontId="8" fillId="33" borderId="12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164" fontId="6" fillId="33" borderId="15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0" fontId="11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1" fillId="34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>
      <alignment horizontal="center" wrapText="1"/>
    </xf>
    <xf numFmtId="0" fontId="13" fillId="33" borderId="15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>
      <alignment/>
    </xf>
    <xf numFmtId="0" fontId="13" fillId="33" borderId="16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2" fontId="16" fillId="33" borderId="0" xfId="0" applyNumberFormat="1" applyFont="1" applyFill="1" applyBorder="1" applyAlignment="1" applyProtection="1">
      <alignment horizontal="center"/>
      <protection hidden="1"/>
    </xf>
    <xf numFmtId="0" fontId="15" fillId="33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2" fontId="16" fillId="33" borderId="19" xfId="0" applyNumberFormat="1" applyFont="1" applyFill="1" applyBorder="1" applyAlignment="1" applyProtection="1">
      <alignment horizontal="center"/>
      <protection hidden="1"/>
    </xf>
    <xf numFmtId="0" fontId="15" fillId="33" borderId="20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2" fontId="16" fillId="34" borderId="0" xfId="0" applyNumberFormat="1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>
      <alignment horizontal="center"/>
    </xf>
    <xf numFmtId="0" fontId="6" fillId="35" borderId="17" xfId="0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2" fontId="13" fillId="33" borderId="22" xfId="0" applyNumberFormat="1" applyFont="1" applyFill="1" applyBorder="1" applyAlignment="1" applyProtection="1">
      <alignment horizontal="center"/>
      <protection hidden="1" locked="0"/>
    </xf>
    <xf numFmtId="0" fontId="8" fillId="33" borderId="23" xfId="0" applyFont="1" applyFill="1" applyBorder="1" applyAlignment="1">
      <alignment horizontal="center"/>
    </xf>
    <xf numFmtId="164" fontId="16" fillId="33" borderId="0" xfId="0" applyNumberFormat="1" applyFont="1" applyFill="1" applyBorder="1" applyAlignment="1" applyProtection="1">
      <alignment horizontal="center"/>
      <protection hidden="1"/>
    </xf>
    <xf numFmtId="0" fontId="15" fillId="33" borderId="18" xfId="0" applyFont="1" applyFill="1" applyBorder="1" applyAlignment="1">
      <alignment horizontal="left"/>
    </xf>
    <xf numFmtId="0" fontId="15" fillId="33" borderId="19" xfId="0" applyFont="1" applyFill="1" applyBorder="1" applyAlignment="1">
      <alignment horizontal="left"/>
    </xf>
    <xf numFmtId="164" fontId="16" fillId="33" borderId="19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165" fontId="6" fillId="36" borderId="15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35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65" fontId="6" fillId="33" borderId="15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horizontal="center"/>
    </xf>
    <xf numFmtId="3" fontId="13" fillId="33" borderId="0" xfId="0" applyNumberFormat="1" applyFont="1" applyFill="1" applyBorder="1" applyAlignment="1" applyProtection="1">
      <alignment horizontal="center"/>
      <protection hidden="1" locked="0"/>
    </xf>
    <xf numFmtId="1" fontId="13" fillId="33" borderId="0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13" fillId="33" borderId="0" xfId="0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/>
    </xf>
    <xf numFmtId="3" fontId="13" fillId="33" borderId="15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 hidden="1" locked="0"/>
    </xf>
    <xf numFmtId="3" fontId="6" fillId="34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>
      <alignment horizontal="center"/>
    </xf>
    <xf numFmtId="3" fontId="8" fillId="33" borderId="15" xfId="0" applyNumberFormat="1" applyFont="1" applyFill="1" applyBorder="1" applyAlignment="1" applyProtection="1">
      <alignment horizontal="center"/>
      <protection hidden="1"/>
    </xf>
    <xf numFmtId="164" fontId="13" fillId="33" borderId="22" xfId="0" applyNumberFormat="1" applyFont="1" applyFill="1" applyBorder="1" applyAlignment="1" applyProtection="1">
      <alignment horizontal="center"/>
      <protection hidden="1" locked="0"/>
    </xf>
    <xf numFmtId="0" fontId="8" fillId="33" borderId="22" xfId="0" applyFont="1" applyFill="1" applyBorder="1" applyAlignment="1">
      <alignment horizontal="center"/>
    </xf>
    <xf numFmtId="2" fontId="6" fillId="33" borderId="22" xfId="0" applyNumberFormat="1" applyFont="1" applyFill="1" applyBorder="1" applyAlignment="1" applyProtection="1">
      <alignment horizontal="center"/>
      <protection hidden="1"/>
    </xf>
    <xf numFmtId="0" fontId="8" fillId="33" borderId="23" xfId="0" applyFont="1" applyFill="1" applyBorder="1" applyAlignment="1">
      <alignment/>
    </xf>
    <xf numFmtId="2" fontId="8" fillId="33" borderId="15" xfId="0" applyNumberFormat="1" applyFont="1" applyFill="1" applyBorder="1" applyAlignment="1" applyProtection="1">
      <alignment horizontal="center"/>
      <protection hidden="1"/>
    </xf>
    <xf numFmtId="0" fontId="16" fillId="33" borderId="13" xfId="0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left"/>
    </xf>
    <xf numFmtId="3" fontId="6" fillId="34" borderId="14" xfId="0" applyNumberFormat="1" applyFont="1" applyFill="1" applyBorder="1" applyAlignment="1">
      <alignment horizontal="center"/>
    </xf>
    <xf numFmtId="164" fontId="14" fillId="37" borderId="15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15" fillId="0" borderId="15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 vertical="center"/>
    </xf>
    <xf numFmtId="2" fontId="16" fillId="34" borderId="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1" fontId="8" fillId="34" borderId="2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8" fillId="38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5" borderId="24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left"/>
    </xf>
    <xf numFmtId="0" fontId="8" fillId="33" borderId="24" xfId="0" applyFont="1" applyFill="1" applyBorder="1" applyAlignment="1" applyProtection="1">
      <alignment horizontal="center"/>
      <protection hidden="1"/>
    </xf>
    <xf numFmtId="0" fontId="8" fillId="33" borderId="21" xfId="0" applyFont="1" applyFill="1" applyBorder="1" applyAlignment="1" applyProtection="1">
      <alignment horizontal="center"/>
      <protection hidden="1"/>
    </xf>
    <xf numFmtId="0" fontId="8" fillId="33" borderId="26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6.emf" /><Relationship Id="rId5" Type="http://schemas.openxmlformats.org/officeDocument/2006/relationships/image" Target="../media/image8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Relationship Id="rId8" Type="http://schemas.openxmlformats.org/officeDocument/2006/relationships/image" Target="../media/image4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7.emf" /><Relationship Id="rId12" Type="http://schemas.openxmlformats.org/officeDocument/2006/relationships/image" Target="../media/image15.emf" /><Relationship Id="rId13" Type="http://schemas.openxmlformats.org/officeDocument/2006/relationships/image" Target="../media/image18.emf" /><Relationship Id="rId14" Type="http://schemas.openxmlformats.org/officeDocument/2006/relationships/image" Target="../media/image11.emf" /><Relationship Id="rId15" Type="http://schemas.openxmlformats.org/officeDocument/2006/relationships/image" Target="../media/image3.emf" /><Relationship Id="rId16" Type="http://schemas.openxmlformats.org/officeDocument/2006/relationships/image" Target="../media/image7.emf" /><Relationship Id="rId17" Type="http://schemas.openxmlformats.org/officeDocument/2006/relationships/image" Target="../media/image6.emf" /><Relationship Id="rId18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26</xdr:row>
      <xdr:rowOff>19050</xdr:rowOff>
    </xdr:from>
    <xdr:to>
      <xdr:col>7</xdr:col>
      <xdr:colOff>276225</xdr:colOff>
      <xdr:row>27</xdr:row>
      <xdr:rowOff>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50006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27</xdr:row>
      <xdr:rowOff>28575</xdr:rowOff>
    </xdr:from>
    <xdr:to>
      <xdr:col>7</xdr:col>
      <xdr:colOff>276225</xdr:colOff>
      <xdr:row>28</xdr:row>
      <xdr:rowOff>9525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52197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28</xdr:row>
      <xdr:rowOff>19050</xdr:rowOff>
    </xdr:from>
    <xdr:to>
      <xdr:col>7</xdr:col>
      <xdr:colOff>276225</xdr:colOff>
      <xdr:row>29</xdr:row>
      <xdr:rowOff>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4197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31</xdr:row>
      <xdr:rowOff>9525</xdr:rowOff>
    </xdr:from>
    <xdr:to>
      <xdr:col>7</xdr:col>
      <xdr:colOff>276225</xdr:colOff>
      <xdr:row>31</xdr:row>
      <xdr:rowOff>142875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6038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32</xdr:row>
      <xdr:rowOff>9525</xdr:rowOff>
    </xdr:from>
    <xdr:to>
      <xdr:col>7</xdr:col>
      <xdr:colOff>276225</xdr:colOff>
      <xdr:row>32</xdr:row>
      <xdr:rowOff>142875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62450" y="6248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33</xdr:row>
      <xdr:rowOff>9525</xdr:rowOff>
    </xdr:from>
    <xdr:to>
      <xdr:col>7</xdr:col>
      <xdr:colOff>276225</xdr:colOff>
      <xdr:row>33</xdr:row>
      <xdr:rowOff>142875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6457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13</xdr:row>
      <xdr:rowOff>19050</xdr:rowOff>
    </xdr:from>
    <xdr:to>
      <xdr:col>7</xdr:col>
      <xdr:colOff>276225</xdr:colOff>
      <xdr:row>14</xdr:row>
      <xdr:rowOff>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2450" y="22764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14</xdr:row>
      <xdr:rowOff>28575</xdr:rowOff>
    </xdr:from>
    <xdr:to>
      <xdr:col>7</xdr:col>
      <xdr:colOff>276225</xdr:colOff>
      <xdr:row>15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" y="24955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17</xdr:row>
      <xdr:rowOff>19050</xdr:rowOff>
    </xdr:from>
    <xdr:to>
      <xdr:col>7</xdr:col>
      <xdr:colOff>276225</xdr:colOff>
      <xdr:row>18</xdr:row>
      <xdr:rowOff>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62450" y="31146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18</xdr:row>
      <xdr:rowOff>28575</xdr:rowOff>
    </xdr:from>
    <xdr:to>
      <xdr:col>7</xdr:col>
      <xdr:colOff>276225</xdr:colOff>
      <xdr:row>19</xdr:row>
      <xdr:rowOff>9525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62450" y="33337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21</xdr:row>
      <xdr:rowOff>19050</xdr:rowOff>
    </xdr:from>
    <xdr:to>
      <xdr:col>7</xdr:col>
      <xdr:colOff>276225</xdr:colOff>
      <xdr:row>22</xdr:row>
      <xdr:rowOff>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62450" y="39528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22</xdr:row>
      <xdr:rowOff>47625</xdr:rowOff>
    </xdr:from>
    <xdr:to>
      <xdr:col>7</xdr:col>
      <xdr:colOff>276225</xdr:colOff>
      <xdr:row>22</xdr:row>
      <xdr:rowOff>180975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71975" y="4191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42</xdr:row>
      <xdr:rowOff>9525</xdr:rowOff>
    </xdr:from>
    <xdr:to>
      <xdr:col>7</xdr:col>
      <xdr:colOff>228600</xdr:colOff>
      <xdr:row>42</xdr:row>
      <xdr:rowOff>190500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14825" y="83439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43</xdr:row>
      <xdr:rowOff>9525</xdr:rowOff>
    </xdr:from>
    <xdr:to>
      <xdr:col>7</xdr:col>
      <xdr:colOff>228600</xdr:colOff>
      <xdr:row>43</xdr:row>
      <xdr:rowOff>190500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14825" y="85534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</xdr:row>
      <xdr:rowOff>19050</xdr:rowOff>
    </xdr:from>
    <xdr:to>
      <xdr:col>7</xdr:col>
      <xdr:colOff>276225</xdr:colOff>
      <xdr:row>13</xdr:row>
      <xdr:rowOff>0</xdr:rowOff>
    </xdr:to>
    <xdr:pic>
      <xdr:nvPicPr>
        <xdr:cNvPr id="16" name="OptionButton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62450" y="20669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20</xdr:row>
      <xdr:rowOff>38100</xdr:rowOff>
    </xdr:from>
    <xdr:to>
      <xdr:col>2</xdr:col>
      <xdr:colOff>1628775</xdr:colOff>
      <xdr:row>20</xdr:row>
      <xdr:rowOff>200025</xdr:rowOff>
    </xdr:to>
    <xdr:pic>
      <xdr:nvPicPr>
        <xdr:cNvPr id="17" name="SpinButton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24025" y="3762375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23</xdr:row>
      <xdr:rowOff>47625</xdr:rowOff>
    </xdr:from>
    <xdr:to>
      <xdr:col>7</xdr:col>
      <xdr:colOff>276225</xdr:colOff>
      <xdr:row>23</xdr:row>
      <xdr:rowOff>180975</xdr:rowOff>
    </xdr:to>
    <xdr:pic>
      <xdr:nvPicPr>
        <xdr:cNvPr id="18" name="OptionButton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71975" y="4400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5324475</xdr:colOff>
      <xdr:row>6</xdr:row>
      <xdr:rowOff>152400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8:AF74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2.8515625" style="8" customWidth="1"/>
    <col min="2" max="2" width="5.7109375" style="8" customWidth="1"/>
    <col min="3" max="3" width="25.28125" style="8" customWidth="1"/>
    <col min="4" max="4" width="10.28125" style="8" customWidth="1"/>
    <col min="5" max="5" width="6.57421875" style="8" customWidth="1"/>
    <col min="6" max="6" width="7.28125" style="8" customWidth="1"/>
    <col min="7" max="7" width="5.421875" style="8" customWidth="1"/>
    <col min="8" max="8" width="5.57421875" style="8" customWidth="1"/>
    <col min="9" max="9" width="10.28125" style="8" customWidth="1"/>
    <col min="10" max="10" width="19.7109375" style="8" customWidth="1"/>
    <col min="11" max="11" width="8.140625" style="8" customWidth="1"/>
    <col min="12" max="12" width="8.00390625" style="8" customWidth="1"/>
    <col min="13" max="13" width="14.57421875" style="9" customWidth="1"/>
    <col min="14" max="14" width="10.140625" style="9" customWidth="1"/>
    <col min="15" max="15" width="10.57421875" style="9" customWidth="1"/>
    <col min="16" max="16" width="7.140625" style="9" customWidth="1"/>
    <col min="17" max="17" width="8.28125" style="9" customWidth="1"/>
    <col min="18" max="19" width="7.140625" style="9" customWidth="1"/>
    <col min="20" max="21" width="7.140625" style="8" customWidth="1"/>
    <col min="22" max="26" width="11.57421875" style="8" customWidth="1"/>
    <col min="27" max="27" width="0" style="10" hidden="1" customWidth="1"/>
    <col min="28" max="29" width="11.421875" style="11" hidden="1" customWidth="1"/>
    <col min="30" max="30" width="11.421875" style="10" hidden="1" customWidth="1"/>
    <col min="31" max="16384" width="11.57421875" style="8" customWidth="1"/>
  </cols>
  <sheetData>
    <row r="1" ht="11.25" customHeight="1"/>
    <row r="2" ht="12" customHeight="1"/>
    <row r="3" ht="11.25" customHeight="1"/>
    <row r="4" ht="11.25" customHeight="1"/>
    <row r="5" ht="14.25"/>
    <row r="6" ht="15" customHeight="1"/>
    <row r="7" ht="14.25"/>
    <row r="8" spans="1:11" ht="15">
      <c r="A8" s="12"/>
      <c r="B8" s="13"/>
      <c r="C8" s="14" t="s">
        <v>61</v>
      </c>
      <c r="D8" s="15" t="s">
        <v>83</v>
      </c>
      <c r="E8" s="16"/>
      <c r="F8" s="13"/>
      <c r="G8" s="13"/>
      <c r="H8" s="13"/>
      <c r="I8" s="13"/>
      <c r="J8" s="13"/>
      <c r="K8" s="17"/>
    </row>
    <row r="9" spans="1:24" ht="13.5">
      <c r="A9" s="18"/>
      <c r="B9" s="19"/>
      <c r="C9" s="20" t="s">
        <v>0</v>
      </c>
      <c r="D9" s="21" t="s">
        <v>84</v>
      </c>
      <c r="E9" s="22"/>
      <c r="F9" s="23"/>
      <c r="G9" s="23"/>
      <c r="H9" s="19"/>
      <c r="I9" s="19"/>
      <c r="J9" s="19"/>
      <c r="K9" s="24"/>
      <c r="M9" s="25"/>
      <c r="N9" s="25"/>
      <c r="O9" s="25"/>
      <c r="P9" s="25"/>
      <c r="Q9" s="25"/>
      <c r="R9" s="25"/>
      <c r="S9" s="25"/>
      <c r="T9" s="26"/>
      <c r="U9" s="26"/>
      <c r="V9" s="26"/>
      <c r="W9" s="26"/>
      <c r="X9" s="26"/>
    </row>
    <row r="10" spans="1:31" ht="13.5">
      <c r="A10" s="18"/>
      <c r="B10" s="19"/>
      <c r="C10" s="20" t="s">
        <v>1</v>
      </c>
      <c r="D10" s="27" t="s">
        <v>85</v>
      </c>
      <c r="E10" s="28"/>
      <c r="F10" s="28"/>
      <c r="G10" s="29"/>
      <c r="H10" s="19"/>
      <c r="I10" s="19"/>
      <c r="J10" s="19"/>
      <c r="K10" s="24"/>
      <c r="M10" s="168" t="s">
        <v>65</v>
      </c>
      <c r="N10" s="169"/>
      <c r="O10" s="25"/>
      <c r="P10" s="25"/>
      <c r="Q10" s="25"/>
      <c r="R10" s="25"/>
      <c r="S10" s="25"/>
      <c r="T10" s="26"/>
      <c r="U10" s="26"/>
      <c r="V10" s="26"/>
      <c r="W10" s="26"/>
      <c r="X10" s="26"/>
      <c r="AD10" s="32"/>
      <c r="AE10" s="33"/>
    </row>
    <row r="11" spans="1:31" ht="13.5">
      <c r="A11" s="18"/>
      <c r="B11" s="19"/>
      <c r="C11" s="20"/>
      <c r="D11" s="27"/>
      <c r="E11" s="28"/>
      <c r="F11" s="28"/>
      <c r="G11" s="29"/>
      <c r="H11" s="19"/>
      <c r="I11" s="19"/>
      <c r="J11" s="19"/>
      <c r="K11" s="24"/>
      <c r="M11" s="30"/>
      <c r="N11" s="31"/>
      <c r="O11" s="25"/>
      <c r="P11" s="25"/>
      <c r="Q11" s="25"/>
      <c r="R11" s="25"/>
      <c r="S11" s="25"/>
      <c r="T11" s="26"/>
      <c r="U11" s="26"/>
      <c r="V11" s="26"/>
      <c r="W11" s="26"/>
      <c r="X11" s="26"/>
      <c r="AD11" s="32"/>
      <c r="AE11" s="33"/>
    </row>
    <row r="12" spans="1:30" ht="16.5" customHeight="1">
      <c r="A12" s="18"/>
      <c r="B12" s="19"/>
      <c r="C12" s="19"/>
      <c r="D12" s="19"/>
      <c r="E12" s="19"/>
      <c r="F12" s="19"/>
      <c r="G12" s="19"/>
      <c r="H12" s="19"/>
      <c r="I12" s="170" t="s">
        <v>60</v>
      </c>
      <c r="J12" s="171"/>
      <c r="K12" s="34"/>
      <c r="M12" s="25"/>
      <c r="N12" s="25"/>
      <c r="O12" s="25"/>
      <c r="P12" s="25"/>
      <c r="Q12" s="25"/>
      <c r="R12" s="25"/>
      <c r="S12" s="25"/>
      <c r="T12" s="26"/>
      <c r="U12" s="26"/>
      <c r="V12" s="26"/>
      <c r="W12" s="26"/>
      <c r="X12" s="26"/>
      <c r="AD12" s="32"/>
    </row>
    <row r="13" spans="1:30" ht="16.5" customHeight="1">
      <c r="A13" s="18"/>
      <c r="B13" s="174" t="str">
        <f>IF($AE$10="Cynara","Producción en MS","Producción de grano")</f>
        <v>Producción de grano</v>
      </c>
      <c r="C13" s="175" t="b">
        <f>IF($AE$10="Cereal",2.5,IF($AE$10="Maíz",7,IF($AE$10="Girasol",1.5,IF($AE$10="Cynara",10))))</f>
        <v>0</v>
      </c>
      <c r="D13" s="35">
        <f>IF(K13=TRUE,J13,IF(K14=TRUE,J14,J15))</f>
        <v>3.5</v>
      </c>
      <c r="E13" s="36" t="s">
        <v>2</v>
      </c>
      <c r="F13" s="19"/>
      <c r="G13" s="19"/>
      <c r="H13" s="37"/>
      <c r="I13" s="38" t="s">
        <v>9</v>
      </c>
      <c r="J13" s="39">
        <v>2</v>
      </c>
      <c r="K13" s="40" t="b">
        <v>0</v>
      </c>
      <c r="L13" s="41"/>
      <c r="M13" s="25"/>
      <c r="N13" s="25"/>
      <c r="O13" s="25"/>
      <c r="P13" s="25"/>
      <c r="Q13" s="25"/>
      <c r="R13" s="25"/>
      <c r="S13" s="25"/>
      <c r="T13" s="26"/>
      <c r="U13" s="26"/>
      <c r="V13" s="26"/>
      <c r="W13" s="26"/>
      <c r="X13" s="26"/>
      <c r="AD13" s="32"/>
    </row>
    <row r="14" spans="1:30" ht="16.5" customHeight="1">
      <c r="A14" s="18"/>
      <c r="B14" s="176" t="s">
        <v>7</v>
      </c>
      <c r="C14" s="177"/>
      <c r="D14" s="44">
        <f>IF(K22=TRUE,J22,IF(K23=TRUE,J23,J24))</f>
        <v>6</v>
      </c>
      <c r="E14" s="45" t="s">
        <v>8</v>
      </c>
      <c r="F14" s="19"/>
      <c r="G14" s="19"/>
      <c r="H14" s="37"/>
      <c r="I14" s="46" t="s">
        <v>12</v>
      </c>
      <c r="J14" s="39">
        <v>3.5</v>
      </c>
      <c r="K14" s="47" t="b">
        <v>1</v>
      </c>
      <c r="L14" s="41"/>
      <c r="M14" s="25"/>
      <c r="N14" s="25"/>
      <c r="O14" s="25"/>
      <c r="P14" s="25"/>
      <c r="Q14" s="25"/>
      <c r="R14" s="25"/>
      <c r="S14" s="25"/>
      <c r="T14" s="26"/>
      <c r="U14" s="26"/>
      <c r="V14" s="26"/>
      <c r="W14" s="26"/>
      <c r="X14" s="26"/>
      <c r="AD14" s="32"/>
    </row>
    <row r="15" spans="1:24" ht="16.5" customHeight="1">
      <c r="A15" s="18"/>
      <c r="B15" s="42" t="s">
        <v>72</v>
      </c>
      <c r="C15" s="43"/>
      <c r="D15" s="48">
        <f>0.1*D13*D14*D21</f>
        <v>10.5</v>
      </c>
      <c r="E15" s="45" t="s">
        <v>18</v>
      </c>
      <c r="F15" s="19"/>
      <c r="G15" s="19"/>
      <c r="H15" s="37"/>
      <c r="I15" s="46" t="s">
        <v>13</v>
      </c>
      <c r="J15" s="39">
        <v>5</v>
      </c>
      <c r="K15" s="47" t="b">
        <v>0</v>
      </c>
      <c r="L15" s="41"/>
      <c r="M15" s="159" t="s">
        <v>54</v>
      </c>
      <c r="N15" s="50" t="s">
        <v>4</v>
      </c>
      <c r="O15" s="50" t="s">
        <v>5</v>
      </c>
      <c r="P15" s="50" t="s">
        <v>6</v>
      </c>
      <c r="Q15" s="25" t="s">
        <v>4</v>
      </c>
      <c r="R15" s="25"/>
      <c r="S15" s="25"/>
      <c r="T15" s="26"/>
      <c r="U15" s="26"/>
      <c r="V15" s="26"/>
      <c r="W15" s="26"/>
      <c r="X15" s="26"/>
    </row>
    <row r="16" spans="1:28" ht="16.5" customHeight="1">
      <c r="A16" s="18"/>
      <c r="B16" s="42" t="s">
        <v>73</v>
      </c>
      <c r="C16" s="51"/>
      <c r="D16" s="48">
        <f>+D15*F16</f>
        <v>42</v>
      </c>
      <c r="E16" s="45" t="s">
        <v>14</v>
      </c>
      <c r="F16" s="52">
        <v>4</v>
      </c>
      <c r="G16" s="19"/>
      <c r="H16" s="19"/>
      <c r="I16" s="19"/>
      <c r="J16" s="19"/>
      <c r="K16" s="47"/>
      <c r="L16" s="41"/>
      <c r="M16" s="159"/>
      <c r="N16" s="53">
        <v>20</v>
      </c>
      <c r="O16" s="54">
        <v>3.6</v>
      </c>
      <c r="P16" s="54">
        <f>D15</f>
        <v>10.5</v>
      </c>
      <c r="Q16" s="55">
        <f>P16*O16</f>
        <v>37.800000000000004</v>
      </c>
      <c r="R16" s="25"/>
      <c r="S16" s="25"/>
      <c r="T16" s="26"/>
      <c r="U16" s="26"/>
      <c r="V16" s="26"/>
      <c r="W16" s="56"/>
      <c r="X16" s="26"/>
      <c r="AB16" s="11" t="b">
        <v>1</v>
      </c>
    </row>
    <row r="17" spans="1:28" ht="16.5" customHeight="1">
      <c r="A17" s="18"/>
      <c r="B17" s="57"/>
      <c r="C17" s="58"/>
      <c r="D17" s="48"/>
      <c r="E17" s="45"/>
      <c r="F17" s="59"/>
      <c r="G17" s="19"/>
      <c r="H17" s="19"/>
      <c r="I17" s="170" t="s">
        <v>70</v>
      </c>
      <c r="J17" s="171"/>
      <c r="K17" s="47"/>
      <c r="L17" s="41"/>
      <c r="M17" s="25"/>
      <c r="N17" s="50"/>
      <c r="O17" s="50"/>
      <c r="P17" s="25"/>
      <c r="Q17" s="25"/>
      <c r="R17" s="25"/>
      <c r="S17" s="25"/>
      <c r="T17" s="26"/>
      <c r="U17" s="26"/>
      <c r="V17" s="26"/>
      <c r="W17" s="26"/>
      <c r="X17" s="26"/>
      <c r="AB17" s="11" t="b">
        <v>0</v>
      </c>
    </row>
    <row r="18" spans="1:32" ht="16.5" customHeight="1">
      <c r="A18" s="18"/>
      <c r="B18" s="42" t="s">
        <v>71</v>
      </c>
      <c r="C18" s="43"/>
      <c r="D18" s="48">
        <f>IF(K18,J18,J19)</f>
        <v>190</v>
      </c>
      <c r="E18" s="45" t="s">
        <v>14</v>
      </c>
      <c r="F18" s="59"/>
      <c r="G18" s="19"/>
      <c r="H18" s="37"/>
      <c r="I18" s="46" t="s">
        <v>9</v>
      </c>
      <c r="J18" s="60">
        <v>190</v>
      </c>
      <c r="K18" s="40" t="b">
        <v>1</v>
      </c>
      <c r="L18" s="41"/>
      <c r="M18" s="159" t="s">
        <v>62</v>
      </c>
      <c r="N18" s="50" t="s">
        <v>4</v>
      </c>
      <c r="O18" s="50" t="s">
        <v>5</v>
      </c>
      <c r="P18" s="50" t="s">
        <v>6</v>
      </c>
      <c r="Q18" s="25" t="s">
        <v>4</v>
      </c>
      <c r="R18" s="25"/>
      <c r="S18" s="25"/>
      <c r="T18" s="26"/>
      <c r="U18" s="26"/>
      <c r="V18" s="26"/>
      <c r="W18" s="26"/>
      <c r="X18" s="26"/>
      <c r="AF18" s="61"/>
    </row>
    <row r="19" spans="1:24" ht="16.5" customHeight="1">
      <c r="A19" s="18"/>
      <c r="B19" s="57"/>
      <c r="C19" s="58"/>
      <c r="D19" s="48">
        <f>D18*1.36</f>
        <v>258.40000000000003</v>
      </c>
      <c r="E19" s="45" t="s">
        <v>15</v>
      </c>
      <c r="F19" s="59"/>
      <c r="G19" s="19"/>
      <c r="H19" s="37"/>
      <c r="I19" s="46" t="s">
        <v>13</v>
      </c>
      <c r="J19" s="60">
        <v>240</v>
      </c>
      <c r="K19" s="47" t="b">
        <v>0</v>
      </c>
      <c r="L19" s="41"/>
      <c r="M19" s="159"/>
      <c r="N19" s="53">
        <v>35</v>
      </c>
      <c r="O19" s="54">
        <v>1.6</v>
      </c>
      <c r="P19" s="54">
        <f>D15</f>
        <v>10.5</v>
      </c>
      <c r="Q19" s="55">
        <f>P19*O19</f>
        <v>16.8</v>
      </c>
      <c r="R19" s="25"/>
      <c r="S19" s="25"/>
      <c r="T19" s="26"/>
      <c r="U19" s="26"/>
      <c r="V19" s="26"/>
      <c r="W19" s="26"/>
      <c r="X19" s="26"/>
    </row>
    <row r="20" spans="1:29" ht="16.5" customHeight="1">
      <c r="A20" s="18"/>
      <c r="B20" s="176" t="s">
        <v>82</v>
      </c>
      <c r="C20" s="177"/>
      <c r="D20" s="62">
        <f>+D18*0.3*D21/(D16)</f>
        <v>6.785714285714286</v>
      </c>
      <c r="E20" s="45" t="s">
        <v>11</v>
      </c>
      <c r="F20" s="59"/>
      <c r="G20" s="19"/>
      <c r="H20" s="19"/>
      <c r="I20" s="19"/>
      <c r="J20" s="19"/>
      <c r="K20" s="47"/>
      <c r="L20" s="41"/>
      <c r="M20" s="49"/>
      <c r="N20" s="53"/>
      <c r="O20" s="63"/>
      <c r="P20" s="63"/>
      <c r="Q20" s="50"/>
      <c r="R20" s="25"/>
      <c r="S20" s="25"/>
      <c r="T20" s="26"/>
      <c r="U20" s="26"/>
      <c r="V20" s="26"/>
      <c r="W20" s="26"/>
      <c r="X20" s="26"/>
      <c r="AB20" s="11" t="b">
        <v>1</v>
      </c>
      <c r="AC20" s="11" t="b">
        <v>1</v>
      </c>
    </row>
    <row r="21" spans="1:29" ht="16.5" customHeight="1">
      <c r="A21" s="18"/>
      <c r="B21" s="176" t="s">
        <v>10</v>
      </c>
      <c r="C21" s="177"/>
      <c r="D21" s="64">
        <f>+F21/4</f>
        <v>5</v>
      </c>
      <c r="E21" s="45" t="s">
        <v>11</v>
      </c>
      <c r="F21" s="52">
        <v>20</v>
      </c>
      <c r="G21" s="19"/>
      <c r="H21" s="19"/>
      <c r="I21" s="170" t="s">
        <v>63</v>
      </c>
      <c r="J21" s="171"/>
      <c r="K21" s="47"/>
      <c r="L21" s="41"/>
      <c r="M21" s="25"/>
      <c r="N21" s="25"/>
      <c r="O21" s="25"/>
      <c r="P21" s="50"/>
      <c r="Q21" s="25"/>
      <c r="R21" s="65"/>
      <c r="S21" s="65"/>
      <c r="T21" s="26"/>
      <c r="U21" s="26"/>
      <c r="V21" s="26"/>
      <c r="W21" s="26"/>
      <c r="X21" s="26"/>
      <c r="AB21" s="11" t="b">
        <v>1</v>
      </c>
      <c r="AC21" s="11" t="b">
        <v>0</v>
      </c>
    </row>
    <row r="22" spans="1:24" ht="16.5" customHeight="1">
      <c r="A22" s="18"/>
      <c r="B22" s="57"/>
      <c r="C22" s="58"/>
      <c r="D22" s="48"/>
      <c r="E22" s="45"/>
      <c r="F22" s="59"/>
      <c r="G22" s="19"/>
      <c r="H22" s="37"/>
      <c r="I22" s="46" t="s">
        <v>9</v>
      </c>
      <c r="J22" s="66">
        <v>5</v>
      </c>
      <c r="K22" s="47" t="b">
        <v>0</v>
      </c>
      <c r="L22" s="67"/>
      <c r="M22" s="173" t="s">
        <v>17</v>
      </c>
      <c r="N22" s="173"/>
      <c r="O22" s="50"/>
      <c r="P22" s="50"/>
      <c r="Q22" s="65"/>
      <c r="R22" s="65"/>
      <c r="S22" s="65"/>
      <c r="T22" s="26"/>
      <c r="U22" s="26"/>
      <c r="V22" s="26"/>
      <c r="W22" s="26"/>
      <c r="X22" s="26"/>
    </row>
    <row r="23" spans="1:28" ht="16.5" customHeight="1">
      <c r="A23" s="18"/>
      <c r="B23" s="176" t="s">
        <v>20</v>
      </c>
      <c r="C23" s="177"/>
      <c r="D23" s="68">
        <f>10/(D14*D21)</f>
        <v>0.3333333333333333</v>
      </c>
      <c r="E23" s="45" t="s">
        <v>21</v>
      </c>
      <c r="F23" s="19"/>
      <c r="G23" s="19"/>
      <c r="H23" s="37"/>
      <c r="I23" s="69" t="s">
        <v>12</v>
      </c>
      <c r="J23" s="70">
        <v>6</v>
      </c>
      <c r="K23" s="47" t="b">
        <v>1</v>
      </c>
      <c r="L23" s="67"/>
      <c r="M23" s="25" t="s">
        <v>59</v>
      </c>
      <c r="N23" s="25" t="s">
        <v>19</v>
      </c>
      <c r="O23" s="50"/>
      <c r="P23" s="50"/>
      <c r="Q23" s="65"/>
      <c r="R23" s="65"/>
      <c r="S23" s="65"/>
      <c r="T23" s="26"/>
      <c r="U23" s="26"/>
      <c r="V23" s="26"/>
      <c r="W23" s="26"/>
      <c r="X23" s="26"/>
      <c r="AB23" s="11" t="b">
        <v>0</v>
      </c>
    </row>
    <row r="24" spans="1:24" ht="16.5" customHeight="1">
      <c r="A24" s="18"/>
      <c r="B24" s="176" t="s">
        <v>22</v>
      </c>
      <c r="C24" s="177"/>
      <c r="D24" s="71">
        <f>IF(AB23=TRUE,J27,IF(AB25=TRUE,J28,IF(AB26=TRUE,J29)))</f>
        <v>0.85</v>
      </c>
      <c r="E24" s="72"/>
      <c r="F24" s="19"/>
      <c r="G24" s="19"/>
      <c r="H24" s="37"/>
      <c r="I24" s="73" t="s">
        <v>13</v>
      </c>
      <c r="J24" s="66">
        <v>7</v>
      </c>
      <c r="K24" s="47" t="b">
        <v>0</v>
      </c>
      <c r="L24" s="67"/>
      <c r="M24" s="25"/>
      <c r="N24" s="25"/>
      <c r="O24" s="50"/>
      <c r="P24" s="50"/>
      <c r="Q24" s="65"/>
      <c r="R24" s="65"/>
      <c r="S24" s="65"/>
      <c r="T24" s="26"/>
      <c r="U24" s="26"/>
      <c r="V24" s="26"/>
      <c r="W24" s="26"/>
      <c r="X24" s="26"/>
    </row>
    <row r="25" spans="1:28" ht="16.5" customHeight="1">
      <c r="A25" s="18"/>
      <c r="B25" s="57"/>
      <c r="C25" s="58"/>
      <c r="D25" s="48"/>
      <c r="E25" s="45"/>
      <c r="F25" s="19"/>
      <c r="G25" s="19"/>
      <c r="H25" s="19"/>
      <c r="I25" s="74"/>
      <c r="J25" s="75"/>
      <c r="K25" s="47"/>
      <c r="L25" s="67"/>
      <c r="M25" s="25" t="s">
        <v>55</v>
      </c>
      <c r="N25" s="50" t="s">
        <v>56</v>
      </c>
      <c r="O25" s="50"/>
      <c r="P25" s="25"/>
      <c r="Q25" s="65"/>
      <c r="R25" s="65"/>
      <c r="S25" s="65"/>
      <c r="T25" s="26"/>
      <c r="U25" s="26"/>
      <c r="V25" s="26"/>
      <c r="W25" s="26"/>
      <c r="X25" s="26"/>
      <c r="AB25" s="11" t="b">
        <v>0</v>
      </c>
    </row>
    <row r="26" spans="1:28" ht="16.5" customHeight="1">
      <c r="A26" s="18"/>
      <c r="B26" s="160" t="s">
        <v>23</v>
      </c>
      <c r="C26" s="161"/>
      <c r="D26" s="78">
        <f>D23/D24</f>
        <v>0.39215686274509803</v>
      </c>
      <c r="E26" s="79" t="s">
        <v>21</v>
      </c>
      <c r="F26" s="19"/>
      <c r="G26" s="19"/>
      <c r="H26" s="80"/>
      <c r="I26" s="172" t="s">
        <v>3</v>
      </c>
      <c r="J26" s="172"/>
      <c r="K26" s="81"/>
      <c r="L26" s="82"/>
      <c r="M26" s="25" t="s">
        <v>57</v>
      </c>
      <c r="N26" s="50" t="s">
        <v>58</v>
      </c>
      <c r="O26" s="50"/>
      <c r="P26" s="50"/>
      <c r="Q26" s="65"/>
      <c r="R26" s="25"/>
      <c r="S26" s="25"/>
      <c r="T26" s="26"/>
      <c r="U26" s="26"/>
      <c r="V26" s="26"/>
      <c r="W26" s="26"/>
      <c r="X26" s="26"/>
      <c r="AB26" s="11" t="b">
        <v>1</v>
      </c>
    </row>
    <row r="27" spans="1:28" ht="16.5" customHeight="1">
      <c r="A27" s="18"/>
      <c r="B27" s="83"/>
      <c r="C27" s="84"/>
      <c r="D27" s="85">
        <f>1/D26</f>
        <v>2.55</v>
      </c>
      <c r="E27" s="86" t="s">
        <v>25</v>
      </c>
      <c r="F27" s="19"/>
      <c r="G27" s="19"/>
      <c r="H27" s="87"/>
      <c r="I27" s="46" t="s">
        <v>9</v>
      </c>
      <c r="J27" s="60">
        <v>0.65</v>
      </c>
      <c r="K27" s="81"/>
      <c r="M27" s="50"/>
      <c r="N27" s="65"/>
      <c r="O27" s="65"/>
      <c r="P27" s="65"/>
      <c r="Q27" s="25"/>
      <c r="R27" s="25"/>
      <c r="S27" s="25"/>
      <c r="T27" s="26"/>
      <c r="U27" s="26"/>
      <c r="V27" s="26"/>
      <c r="W27" s="26"/>
      <c r="X27" s="26"/>
      <c r="AB27" s="11" t="b">
        <v>0</v>
      </c>
    </row>
    <row r="28" spans="1:28" ht="16.5" customHeight="1">
      <c r="A28" s="18"/>
      <c r="B28" s="19"/>
      <c r="C28" s="88"/>
      <c r="D28" s="89"/>
      <c r="E28" s="90"/>
      <c r="F28" s="19"/>
      <c r="G28" s="19"/>
      <c r="H28" s="87"/>
      <c r="I28" s="46" t="s">
        <v>12</v>
      </c>
      <c r="J28" s="60">
        <v>0.75</v>
      </c>
      <c r="K28" s="24"/>
      <c r="L28" s="82"/>
      <c r="M28" s="25"/>
      <c r="N28" s="25"/>
      <c r="O28" s="65"/>
      <c r="P28" s="65"/>
      <c r="Q28" s="25"/>
      <c r="R28" s="25"/>
      <c r="S28" s="25"/>
      <c r="T28" s="26"/>
      <c r="U28" s="26"/>
      <c r="V28" s="26"/>
      <c r="W28" s="26"/>
      <c r="X28" s="26"/>
      <c r="AB28" s="11" t="b">
        <v>1</v>
      </c>
    </row>
    <row r="29" spans="1:28" ht="16.5" customHeight="1">
      <c r="A29" s="18"/>
      <c r="B29" s="178" t="s">
        <v>28</v>
      </c>
      <c r="C29" s="179"/>
      <c r="D29" s="91"/>
      <c r="E29" s="92"/>
      <c r="F29" s="19"/>
      <c r="G29" s="19"/>
      <c r="H29" s="87"/>
      <c r="I29" s="46" t="s">
        <v>13</v>
      </c>
      <c r="J29" s="60">
        <v>0.85</v>
      </c>
      <c r="K29" s="81"/>
      <c r="L29" s="82"/>
      <c r="M29" s="25"/>
      <c r="N29" s="25"/>
      <c r="O29" s="25"/>
      <c r="P29" s="25"/>
      <c r="Q29" s="25"/>
      <c r="R29" s="25"/>
      <c r="S29" s="25"/>
      <c r="T29" s="26"/>
      <c r="U29" s="26"/>
      <c r="V29" s="26"/>
      <c r="W29" s="26"/>
      <c r="X29" s="26"/>
      <c r="AB29" s="11" t="b">
        <v>0</v>
      </c>
    </row>
    <row r="30" spans="1:24" ht="16.5" customHeight="1">
      <c r="A30" s="18"/>
      <c r="B30" s="176" t="s">
        <v>29</v>
      </c>
      <c r="C30" s="177"/>
      <c r="D30" s="71">
        <f>IF(AB27=TRUE,J32,IF(AB28=TRUE,J33,IF(AB29=TRUE,J34)))</f>
        <v>75</v>
      </c>
      <c r="E30" s="45" t="s">
        <v>30</v>
      </c>
      <c r="F30" s="19"/>
      <c r="G30" s="19"/>
      <c r="H30" s="80"/>
      <c r="I30" s="19"/>
      <c r="J30" s="19"/>
      <c r="K30" s="81"/>
      <c r="L30" s="82"/>
      <c r="M30" s="25"/>
      <c r="N30" s="25"/>
      <c r="O30" s="25"/>
      <c r="P30" s="25"/>
      <c r="Q30" s="25"/>
      <c r="R30" s="93"/>
      <c r="S30" s="93"/>
      <c r="T30" s="26"/>
      <c r="U30" s="26"/>
      <c r="V30" s="26"/>
      <c r="W30" s="26"/>
      <c r="X30" s="26"/>
    </row>
    <row r="31" spans="1:28" ht="16.5" customHeight="1">
      <c r="A31" s="18"/>
      <c r="B31" s="176" t="s">
        <v>31</v>
      </c>
      <c r="C31" s="177"/>
      <c r="D31" s="68">
        <f>IF(D30=J32,J38*D18,IF(D30=J33,J39*D18,IF(D30=J34,J40*D18)))</f>
        <v>39.33</v>
      </c>
      <c r="E31" s="45" t="s">
        <v>32</v>
      </c>
      <c r="F31" s="19"/>
      <c r="G31" s="19"/>
      <c r="H31" s="80"/>
      <c r="I31" s="170" t="s">
        <v>16</v>
      </c>
      <c r="J31" s="171"/>
      <c r="K31" s="81"/>
      <c r="L31" s="82"/>
      <c r="M31" s="25"/>
      <c r="N31" s="25"/>
      <c r="O31" s="25"/>
      <c r="P31" s="25"/>
      <c r="Q31" s="93"/>
      <c r="R31" s="94"/>
      <c r="S31" s="94"/>
      <c r="T31" s="26"/>
      <c r="U31" s="26"/>
      <c r="V31" s="26"/>
      <c r="W31" s="26"/>
      <c r="X31" s="26"/>
      <c r="AB31" s="11" t="b">
        <v>1</v>
      </c>
    </row>
    <row r="32" spans="1:28" ht="16.5" customHeight="1">
      <c r="A32" s="18"/>
      <c r="B32" s="95"/>
      <c r="C32" s="96"/>
      <c r="D32" s="68">
        <f>D31*D26</f>
        <v>15.423529411764704</v>
      </c>
      <c r="E32" s="45" t="s">
        <v>34</v>
      </c>
      <c r="F32" s="19"/>
      <c r="G32" s="19"/>
      <c r="H32" s="87"/>
      <c r="I32" s="46" t="s">
        <v>12</v>
      </c>
      <c r="J32" s="60">
        <v>50</v>
      </c>
      <c r="K32" s="81"/>
      <c r="L32" s="82"/>
      <c r="M32" s="93"/>
      <c r="N32" s="93"/>
      <c r="O32" s="94"/>
      <c r="P32" s="94"/>
      <c r="Q32" s="94"/>
      <c r="R32" s="97"/>
      <c r="S32" s="97"/>
      <c r="T32" s="26"/>
      <c r="U32" s="26"/>
      <c r="V32" s="26"/>
      <c r="W32" s="26"/>
      <c r="X32" s="26"/>
      <c r="Y32" s="51"/>
      <c r="Z32" s="51"/>
      <c r="AB32" s="11" t="b">
        <v>0</v>
      </c>
    </row>
    <row r="33" spans="1:28" ht="16.5" customHeight="1">
      <c r="A33" s="18"/>
      <c r="B33" s="176" t="s">
        <v>35</v>
      </c>
      <c r="C33" s="177"/>
      <c r="D33" s="98">
        <f>D31*0.1/100</f>
        <v>0.03933</v>
      </c>
      <c r="E33" s="45" t="s">
        <v>32</v>
      </c>
      <c r="F33" s="19"/>
      <c r="G33" s="19"/>
      <c r="H33" s="87"/>
      <c r="I33" s="46" t="s">
        <v>13</v>
      </c>
      <c r="J33" s="60">
        <v>75</v>
      </c>
      <c r="K33" s="24"/>
      <c r="L33" s="82"/>
      <c r="M33" s="94"/>
      <c r="N33" s="94"/>
      <c r="O33" s="50"/>
      <c r="P33" s="97"/>
      <c r="Q33" s="97"/>
      <c r="R33" s="50"/>
      <c r="S33" s="50"/>
      <c r="T33" s="26"/>
      <c r="U33" s="26"/>
      <c r="V33" s="26"/>
      <c r="W33" s="26"/>
      <c r="X33" s="26"/>
      <c r="Y33" s="51"/>
      <c r="Z33" s="51"/>
      <c r="AB33" s="11" t="b">
        <v>0</v>
      </c>
    </row>
    <row r="34" spans="1:26" ht="16.5" customHeight="1">
      <c r="A34" s="18"/>
      <c r="B34" s="99"/>
      <c r="C34" s="100"/>
      <c r="D34" s="98">
        <f>D32*0.1/100</f>
        <v>0.015423529411764704</v>
      </c>
      <c r="E34" s="45" t="s">
        <v>34</v>
      </c>
      <c r="F34" s="19"/>
      <c r="G34" s="19"/>
      <c r="H34" s="87"/>
      <c r="I34" s="46" t="s">
        <v>96</v>
      </c>
      <c r="J34" s="60">
        <v>85</v>
      </c>
      <c r="K34" s="81"/>
      <c r="L34" s="82"/>
      <c r="M34" s="97"/>
      <c r="N34" s="97"/>
      <c r="O34" s="50"/>
      <c r="P34" s="50"/>
      <c r="Q34" s="50"/>
      <c r="R34" s="97"/>
      <c r="S34" s="97"/>
      <c r="T34" s="101"/>
      <c r="U34" s="101"/>
      <c r="V34" s="101"/>
      <c r="W34" s="101"/>
      <c r="X34" s="101"/>
      <c r="Y34" s="102"/>
      <c r="Z34" s="102"/>
    </row>
    <row r="35" spans="1:26" ht="16.5" customHeight="1" thickBot="1">
      <c r="A35" s="18"/>
      <c r="B35" s="182" t="s">
        <v>37</v>
      </c>
      <c r="C35" s="183"/>
      <c r="D35" s="103">
        <v>1</v>
      </c>
      <c r="E35" s="104" t="s">
        <v>38</v>
      </c>
      <c r="F35" s="19"/>
      <c r="G35" s="19"/>
      <c r="H35" s="80"/>
      <c r="I35" s="19"/>
      <c r="J35" s="19"/>
      <c r="K35" s="81"/>
      <c r="L35" s="82"/>
      <c r="M35" s="50"/>
      <c r="N35" s="50"/>
      <c r="O35" s="25"/>
      <c r="P35" s="97"/>
      <c r="Q35" s="97"/>
      <c r="R35" s="97"/>
      <c r="S35" s="97"/>
      <c r="T35" s="101"/>
      <c r="U35" s="101"/>
      <c r="V35" s="101"/>
      <c r="W35" s="101"/>
      <c r="X35" s="101"/>
      <c r="Y35" s="102"/>
      <c r="Z35" s="102"/>
    </row>
    <row r="36" spans="1:26" ht="16.5" customHeight="1" thickTop="1">
      <c r="A36" s="18"/>
      <c r="B36" s="76" t="s">
        <v>39</v>
      </c>
      <c r="C36" s="77"/>
      <c r="D36" s="105">
        <f>D35*D31</f>
        <v>39.33</v>
      </c>
      <c r="E36" s="79" t="s">
        <v>36</v>
      </c>
      <c r="F36" s="19"/>
      <c r="G36" s="19"/>
      <c r="H36" s="80"/>
      <c r="I36" s="170" t="s">
        <v>24</v>
      </c>
      <c r="J36" s="171"/>
      <c r="K36" s="81"/>
      <c r="M36" s="97"/>
      <c r="N36" s="97"/>
      <c r="O36" s="25"/>
      <c r="P36" s="97"/>
      <c r="Q36" s="97"/>
      <c r="R36" s="97"/>
      <c r="S36" s="97"/>
      <c r="T36" s="101"/>
      <c r="U36" s="101"/>
      <c r="V36" s="101"/>
      <c r="W36" s="101"/>
      <c r="X36" s="101"/>
      <c r="Y36" s="102"/>
      <c r="Z36" s="102"/>
    </row>
    <row r="37" spans="1:26" ht="16.5" customHeight="1">
      <c r="A37" s="18"/>
      <c r="B37" s="106"/>
      <c r="C37" s="107"/>
      <c r="D37" s="108">
        <f>D32*D35</f>
        <v>15.423529411764704</v>
      </c>
      <c r="E37" s="86" t="s">
        <v>40</v>
      </c>
      <c r="F37" s="19"/>
      <c r="G37" s="19"/>
      <c r="H37" s="80"/>
      <c r="I37" s="46" t="s">
        <v>26</v>
      </c>
      <c r="J37" s="60" t="s">
        <v>27</v>
      </c>
      <c r="K37" s="81"/>
      <c r="L37" s="82"/>
      <c r="M37" s="97"/>
      <c r="N37" s="97"/>
      <c r="O37" s="25"/>
      <c r="P37" s="97"/>
      <c r="Q37" s="97"/>
      <c r="R37" s="97"/>
      <c r="S37" s="97"/>
      <c r="T37" s="101"/>
      <c r="U37" s="101"/>
      <c r="V37" s="101"/>
      <c r="W37" s="101"/>
      <c r="X37" s="101"/>
      <c r="Y37" s="102"/>
      <c r="Z37" s="102"/>
    </row>
    <row r="38" spans="1:18" ht="16.5" customHeight="1">
      <c r="A38" s="18"/>
      <c r="B38" s="19"/>
      <c r="C38" s="19"/>
      <c r="D38" s="109"/>
      <c r="E38" s="22"/>
      <c r="F38" s="19"/>
      <c r="G38" s="19"/>
      <c r="H38" s="80"/>
      <c r="I38" s="46" t="s">
        <v>9</v>
      </c>
      <c r="J38" s="110">
        <v>0.15</v>
      </c>
      <c r="K38" s="24"/>
      <c r="L38" s="82"/>
      <c r="M38" s="111"/>
      <c r="N38" s="112"/>
      <c r="O38" s="113"/>
      <c r="P38" s="111"/>
      <c r="Q38" s="111"/>
      <c r="R38" s="113"/>
    </row>
    <row r="39" spans="1:28" ht="16.5" customHeight="1">
      <c r="A39" s="18"/>
      <c r="B39" s="178" t="s">
        <v>41</v>
      </c>
      <c r="C39" s="179"/>
      <c r="D39" s="91"/>
      <c r="E39" s="114"/>
      <c r="F39" s="179"/>
      <c r="G39" s="185"/>
      <c r="H39" s="80"/>
      <c r="I39" s="46" t="s">
        <v>12</v>
      </c>
      <c r="J39" s="110">
        <v>0.207</v>
      </c>
      <c r="K39" s="81"/>
      <c r="L39" s="82"/>
      <c r="M39" s="111"/>
      <c r="N39" s="111"/>
      <c r="O39" s="113"/>
      <c r="P39" s="113"/>
      <c r="Q39" s="113"/>
      <c r="AB39" s="11" t="b">
        <v>0</v>
      </c>
    </row>
    <row r="40" spans="1:28" ht="16.5" customHeight="1">
      <c r="A40" s="18"/>
      <c r="B40" s="176" t="s">
        <v>42</v>
      </c>
      <c r="C40" s="177"/>
      <c r="D40" s="115">
        <f>IF(AB39=TRUE,J43,J44)</f>
        <v>1000</v>
      </c>
      <c r="E40" s="116" t="s">
        <v>33</v>
      </c>
      <c r="F40" s="100"/>
      <c r="G40" s="117"/>
      <c r="H40" s="80"/>
      <c r="I40" s="46" t="s">
        <v>96</v>
      </c>
      <c r="J40" s="118">
        <v>0.236</v>
      </c>
      <c r="K40" s="81"/>
      <c r="L40" s="82"/>
      <c r="N40" s="113"/>
      <c r="AB40" s="11" t="b">
        <v>1</v>
      </c>
    </row>
    <row r="41" spans="1:14" ht="16.5" customHeight="1">
      <c r="A41" s="18"/>
      <c r="B41" s="95"/>
      <c r="C41" s="96"/>
      <c r="D41" s="71"/>
      <c r="E41" s="119"/>
      <c r="F41" s="100"/>
      <c r="G41" s="117"/>
      <c r="H41" s="80"/>
      <c r="I41" s="19"/>
      <c r="J41" s="19"/>
      <c r="K41" s="81"/>
      <c r="N41" s="113"/>
    </row>
    <row r="42" spans="1:19" ht="16.5" customHeight="1">
      <c r="A42" s="18"/>
      <c r="B42" s="176" t="s">
        <v>43</v>
      </c>
      <c r="C42" s="177"/>
      <c r="D42" s="120">
        <f>+F42*D18</f>
        <v>152000</v>
      </c>
      <c r="E42" s="116" t="s">
        <v>44</v>
      </c>
      <c r="F42" s="121">
        <v>800</v>
      </c>
      <c r="G42" s="122" t="s">
        <v>81</v>
      </c>
      <c r="H42" s="19"/>
      <c r="I42" s="184" t="s">
        <v>64</v>
      </c>
      <c r="J42" s="184"/>
      <c r="K42" s="81"/>
      <c r="R42" s="123"/>
      <c r="S42" s="124"/>
    </row>
    <row r="43" spans="1:18" ht="16.5" customHeight="1">
      <c r="A43" s="18"/>
      <c r="B43" s="99"/>
      <c r="C43" s="100"/>
      <c r="D43" s="125"/>
      <c r="E43" s="119"/>
      <c r="F43" s="100"/>
      <c r="G43" s="117"/>
      <c r="H43" s="37"/>
      <c r="I43" s="46" t="s">
        <v>9</v>
      </c>
      <c r="J43" s="66">
        <v>300</v>
      </c>
      <c r="K43" s="81"/>
      <c r="L43" s="82"/>
      <c r="O43" s="123"/>
      <c r="P43" s="123"/>
      <c r="Q43" s="123"/>
      <c r="R43" s="94"/>
    </row>
    <row r="44" spans="1:18" ht="16.5" customHeight="1">
      <c r="A44" s="18"/>
      <c r="B44" s="176" t="s">
        <v>45</v>
      </c>
      <c r="C44" s="177"/>
      <c r="D44" s="120">
        <v>5000</v>
      </c>
      <c r="E44" s="116" t="s">
        <v>46</v>
      </c>
      <c r="F44" s="68">
        <f>+$D$42/$D44</f>
        <v>30.4</v>
      </c>
      <c r="G44" s="126" t="s">
        <v>36</v>
      </c>
      <c r="H44" s="37"/>
      <c r="I44" s="46" t="s">
        <v>13</v>
      </c>
      <c r="J44" s="127">
        <v>1000</v>
      </c>
      <c r="K44" s="24"/>
      <c r="L44" s="82"/>
      <c r="O44" s="94"/>
      <c r="P44" s="94"/>
      <c r="Q44" s="94"/>
      <c r="R44" s="111"/>
    </row>
    <row r="45" spans="1:18" ht="16.5" customHeight="1">
      <c r="A45" s="18"/>
      <c r="B45" s="176" t="s">
        <v>47</v>
      </c>
      <c r="C45" s="177"/>
      <c r="D45" s="128">
        <v>20</v>
      </c>
      <c r="E45" s="116" t="s">
        <v>48</v>
      </c>
      <c r="F45" s="68">
        <f>+$D$42/($D45*D40)</f>
        <v>7.6</v>
      </c>
      <c r="G45" s="126" t="s">
        <v>36</v>
      </c>
      <c r="H45" s="19"/>
      <c r="I45" s="19"/>
      <c r="J45" s="129"/>
      <c r="K45" s="81"/>
      <c r="L45" s="82"/>
      <c r="O45" s="111"/>
      <c r="P45" s="111"/>
      <c r="Q45" s="111"/>
      <c r="R45" s="130"/>
    </row>
    <row r="46" spans="1:18" ht="16.5" customHeight="1">
      <c r="A46" s="18"/>
      <c r="B46" s="176" t="s">
        <v>49</v>
      </c>
      <c r="C46" s="177"/>
      <c r="D46" s="128">
        <v>5</v>
      </c>
      <c r="E46" s="116" t="s">
        <v>30</v>
      </c>
      <c r="F46" s="68">
        <f>+$D$42*0.006*$D46/D40</f>
        <v>4.56</v>
      </c>
      <c r="G46" s="126" t="s">
        <v>36</v>
      </c>
      <c r="H46" s="80"/>
      <c r="I46" s="19"/>
      <c r="J46" s="19"/>
      <c r="K46" s="81"/>
      <c r="L46" s="82"/>
      <c r="O46" s="130"/>
      <c r="P46" s="130"/>
      <c r="Q46" s="130"/>
      <c r="R46" s="111"/>
    </row>
    <row r="47" spans="1:18" ht="16.5" customHeight="1">
      <c r="A47" s="18"/>
      <c r="B47" s="176" t="s">
        <v>50</v>
      </c>
      <c r="C47" s="177"/>
      <c r="D47" s="128">
        <v>0.2</v>
      </c>
      <c r="E47" s="116" t="s">
        <v>51</v>
      </c>
      <c r="F47" s="68">
        <f>+$D$42*$D47/(100*D40)</f>
        <v>0.304</v>
      </c>
      <c r="G47" s="126" t="s">
        <v>36</v>
      </c>
      <c r="H47" s="19"/>
      <c r="I47" s="180" t="str">
        <f>CONCATENATE("Vida útil para ",D40," h/año")</f>
        <v>Vida útil para 1000 h/año</v>
      </c>
      <c r="J47" s="181"/>
      <c r="K47" s="131"/>
      <c r="O47" s="111"/>
      <c r="P47" s="111"/>
      <c r="Q47" s="111"/>
      <c r="R47" s="111"/>
    </row>
    <row r="48" spans="1:18" ht="16.5" customHeight="1">
      <c r="A48" s="18"/>
      <c r="B48" s="176" t="s">
        <v>52</v>
      </c>
      <c r="C48" s="177"/>
      <c r="D48" s="128">
        <v>0.1</v>
      </c>
      <c r="E48" s="116" t="s">
        <v>51</v>
      </c>
      <c r="F48" s="68">
        <f>+$D$42*$D48/(D40*100)</f>
        <v>0.152</v>
      </c>
      <c r="G48" s="126" t="s">
        <v>36</v>
      </c>
      <c r="H48" s="19"/>
      <c r="I48" s="132" t="s">
        <v>46</v>
      </c>
      <c r="J48" s="133">
        <f>+$D$42/($F$44+$F$45)</f>
        <v>4000</v>
      </c>
      <c r="K48" s="131"/>
      <c r="O48" s="111"/>
      <c r="P48" s="111"/>
      <c r="Q48" s="111"/>
      <c r="R48" s="111"/>
    </row>
    <row r="49" spans="1:18" ht="16.5" customHeight="1" thickBot="1">
      <c r="A49" s="18"/>
      <c r="B49" s="182" t="s">
        <v>53</v>
      </c>
      <c r="C49" s="183"/>
      <c r="D49" s="134">
        <v>10</v>
      </c>
      <c r="E49" s="135" t="s">
        <v>40</v>
      </c>
      <c r="F49" s="136">
        <f>+D49/D26</f>
        <v>25.5</v>
      </c>
      <c r="G49" s="137" t="s">
        <v>36</v>
      </c>
      <c r="H49" s="19"/>
      <c r="I49" s="132" t="s">
        <v>48</v>
      </c>
      <c r="J49" s="138">
        <f>+$D$42/($D$40*($F$44+$F$45))</f>
        <v>4</v>
      </c>
      <c r="K49" s="131"/>
      <c r="O49" s="111"/>
      <c r="P49" s="111"/>
      <c r="Q49" s="111"/>
      <c r="R49" s="111"/>
    </row>
    <row r="50" spans="1:15" ht="16.5" customHeight="1" thickTop="1">
      <c r="A50" s="18"/>
      <c r="B50" s="139"/>
      <c r="C50" s="100"/>
      <c r="D50" s="140" t="s">
        <v>66</v>
      </c>
      <c r="E50" s="141"/>
      <c r="F50" s="78">
        <f>SUM(F44:F49)</f>
        <v>68.516</v>
      </c>
      <c r="G50" s="142" t="s">
        <v>36</v>
      </c>
      <c r="H50" s="19"/>
      <c r="I50" s="19"/>
      <c r="J50" s="19"/>
      <c r="K50" s="81"/>
      <c r="O50" s="113"/>
    </row>
    <row r="51" spans="1:15" ht="16.5" customHeight="1">
      <c r="A51" s="18"/>
      <c r="B51" s="83"/>
      <c r="C51" s="143"/>
      <c r="D51" s="144"/>
      <c r="E51" s="144"/>
      <c r="F51" s="85">
        <f>D26*F50</f>
        <v>26.86901960784314</v>
      </c>
      <c r="G51" s="145" t="s">
        <v>40</v>
      </c>
      <c r="H51" s="19"/>
      <c r="I51" s="19"/>
      <c r="J51" s="19"/>
      <c r="K51" s="81"/>
      <c r="O51" s="113"/>
    </row>
    <row r="52" spans="1:11" ht="16.5" customHeight="1">
      <c r="A52" s="18"/>
      <c r="B52" s="19"/>
      <c r="C52" s="19"/>
      <c r="D52" s="22"/>
      <c r="E52" s="22"/>
      <c r="F52" s="19"/>
      <c r="G52" s="80"/>
      <c r="H52" s="19"/>
      <c r="I52" s="19"/>
      <c r="J52" s="19"/>
      <c r="K52" s="146"/>
    </row>
    <row r="53" spans="1:11" ht="16.5" customHeight="1">
      <c r="A53" s="18"/>
      <c r="B53" s="19"/>
      <c r="C53" s="162" t="s">
        <v>67</v>
      </c>
      <c r="D53" s="163"/>
      <c r="E53" s="164"/>
      <c r="F53" s="147">
        <f>+F50+D36</f>
        <v>107.846</v>
      </c>
      <c r="G53" s="148" t="s">
        <v>36</v>
      </c>
      <c r="H53" s="19"/>
      <c r="I53" s="186" t="s">
        <v>99</v>
      </c>
      <c r="J53" s="186"/>
      <c r="K53" s="24"/>
    </row>
    <row r="54" spans="1:11" ht="16.5" customHeight="1">
      <c r="A54" s="18"/>
      <c r="B54" s="19"/>
      <c r="C54" s="165"/>
      <c r="D54" s="166"/>
      <c r="E54" s="167"/>
      <c r="F54" s="147">
        <f>+F51+D37</f>
        <v>42.29254901960785</v>
      </c>
      <c r="G54" s="149" t="s">
        <v>40</v>
      </c>
      <c r="H54" s="19"/>
      <c r="I54" s="150">
        <f>+D40/D26</f>
        <v>2550</v>
      </c>
      <c r="J54" s="151" t="s">
        <v>98</v>
      </c>
      <c r="K54" s="24"/>
    </row>
    <row r="55" spans="1:11" ht="16.5" customHeight="1">
      <c r="A55" s="18"/>
      <c r="B55" s="19"/>
      <c r="C55" s="19"/>
      <c r="D55" s="19"/>
      <c r="E55" s="19"/>
      <c r="F55" s="19"/>
      <c r="G55" s="19"/>
      <c r="H55" s="19"/>
      <c r="I55" s="19"/>
      <c r="J55" s="152"/>
      <c r="K55" s="153"/>
    </row>
    <row r="56" spans="1:11" ht="16.5" customHeigh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54"/>
    </row>
    <row r="57" spans="1:11" ht="16.5" customHeight="1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7"/>
    </row>
    <row r="58" spans="11:12" ht="16.5" customHeight="1">
      <c r="K58" s="51"/>
      <c r="L58" s="51"/>
    </row>
    <row r="59" spans="11:12" ht="16.5" customHeight="1">
      <c r="K59" s="51"/>
      <c r="L59" s="51"/>
    </row>
    <row r="60" spans="11:12" ht="13.5">
      <c r="K60" s="51"/>
      <c r="L60" s="51"/>
    </row>
    <row r="61" spans="11:12" ht="13.5">
      <c r="K61" s="51"/>
      <c r="L61" s="51"/>
    </row>
    <row r="62" spans="11:12" ht="13.5">
      <c r="K62" s="51"/>
      <c r="L62" s="51"/>
    </row>
    <row r="63" spans="11:12" ht="13.5" customHeight="1">
      <c r="K63" s="51"/>
      <c r="L63" s="51"/>
    </row>
    <row r="64" spans="11:12" ht="15.75" customHeight="1">
      <c r="K64" s="51"/>
      <c r="L64" s="51"/>
    </row>
    <row r="65" spans="11:12" ht="13.5">
      <c r="K65" s="51"/>
      <c r="L65" s="51"/>
    </row>
    <row r="66" spans="11:12" ht="13.5">
      <c r="K66" s="51"/>
      <c r="L66" s="51"/>
    </row>
    <row r="67" spans="11:12" ht="13.5">
      <c r="K67" s="51"/>
      <c r="L67" s="51"/>
    </row>
    <row r="68" spans="11:12" ht="13.5">
      <c r="K68" s="51"/>
      <c r="L68" s="51"/>
    </row>
    <row r="69" spans="11:12" ht="13.5">
      <c r="K69" s="51"/>
      <c r="L69" s="51"/>
    </row>
    <row r="70" spans="11:12" ht="13.5">
      <c r="K70" s="158"/>
      <c r="L70" s="51"/>
    </row>
    <row r="71" spans="11:12" ht="13.5">
      <c r="K71" s="158"/>
      <c r="L71" s="51"/>
    </row>
    <row r="72" spans="11:12" ht="13.5">
      <c r="K72" s="158"/>
      <c r="L72" s="51"/>
    </row>
    <row r="73" spans="11:12" ht="13.5">
      <c r="K73" s="51"/>
      <c r="L73" s="51"/>
    </row>
    <row r="74" spans="11:12" ht="13.5">
      <c r="K74" s="51"/>
      <c r="L74" s="51"/>
    </row>
  </sheetData>
  <sheetProtection/>
  <mergeCells count="36">
    <mergeCell ref="I53:J53"/>
    <mergeCell ref="B48:C48"/>
    <mergeCell ref="B49:C49"/>
    <mergeCell ref="B44:C44"/>
    <mergeCell ref="B45:C45"/>
    <mergeCell ref="B46:C46"/>
    <mergeCell ref="B31:C31"/>
    <mergeCell ref="I47:J47"/>
    <mergeCell ref="B35:C35"/>
    <mergeCell ref="B39:C39"/>
    <mergeCell ref="B40:C40"/>
    <mergeCell ref="B42:C42"/>
    <mergeCell ref="I42:J42"/>
    <mergeCell ref="B47:C47"/>
    <mergeCell ref="F39:G39"/>
    <mergeCell ref="I36:J36"/>
    <mergeCell ref="B33:C33"/>
    <mergeCell ref="B30:C30"/>
    <mergeCell ref="B24:C24"/>
    <mergeCell ref="I12:J12"/>
    <mergeCell ref="I17:J17"/>
    <mergeCell ref="B14:C14"/>
    <mergeCell ref="B20:C20"/>
    <mergeCell ref="B23:C23"/>
    <mergeCell ref="B21:C21"/>
    <mergeCell ref="B29:C29"/>
    <mergeCell ref="M18:M19"/>
    <mergeCell ref="B26:C26"/>
    <mergeCell ref="C53:E54"/>
    <mergeCell ref="M10:N10"/>
    <mergeCell ref="I21:J21"/>
    <mergeCell ref="I31:J31"/>
    <mergeCell ref="I26:J26"/>
    <mergeCell ref="M22:N22"/>
    <mergeCell ref="B13:C13"/>
    <mergeCell ref="M15:M16"/>
  </mergeCells>
  <conditionalFormatting sqref="J32:J34">
    <cfRule type="cellIs" priority="1" dxfId="0" operator="equal" stopIfTrue="1">
      <formula>$D$30</formula>
    </cfRule>
  </conditionalFormatting>
  <conditionalFormatting sqref="J22:J24 N17:O17">
    <cfRule type="cellIs" priority="2" dxfId="0" operator="equal" stopIfTrue="1">
      <formula>$D$14</formula>
    </cfRule>
  </conditionalFormatting>
  <conditionalFormatting sqref="J13:J15">
    <cfRule type="cellIs" priority="3" dxfId="0" operator="equal" stopIfTrue="1">
      <formula>$D$13</formula>
    </cfRule>
  </conditionalFormatting>
  <conditionalFormatting sqref="J27:J29">
    <cfRule type="cellIs" priority="4" dxfId="0" operator="equal" stopIfTrue="1">
      <formula>$D$24</formula>
    </cfRule>
  </conditionalFormatting>
  <conditionalFormatting sqref="J43:J45">
    <cfRule type="cellIs" priority="5" dxfId="0" operator="equal" stopIfTrue="1">
      <formula>$D$40</formula>
    </cfRule>
  </conditionalFormatting>
  <conditionalFormatting sqref="J18:J19 J25">
    <cfRule type="cellIs" priority="6" dxfId="0" operator="equal" stopIfTrue="1">
      <formula>#REF!</formula>
    </cfRule>
  </conditionalFormatting>
  <conditionalFormatting sqref="J38">
    <cfRule type="expression" priority="7" dxfId="0" stopIfTrue="1">
      <formula>$D$30=25</formula>
    </cfRule>
  </conditionalFormatting>
  <conditionalFormatting sqref="J39">
    <cfRule type="expression" priority="8" dxfId="0" stopIfTrue="1">
      <formula>$D$30=50</formula>
    </cfRule>
  </conditionalFormatting>
  <conditionalFormatting sqref="J40">
    <cfRule type="expression" priority="9" dxfId="0" stopIfTrue="1">
      <formula>$D$30=75</formula>
    </cfRule>
  </conditionalFormatting>
  <conditionalFormatting sqref="M25:M26 N23:N26">
    <cfRule type="cellIs" priority="10" dxfId="0" operator="equal" stopIfTrue="1">
      <formula>#REF!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X8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80.00390625" style="3" customWidth="1"/>
  </cols>
  <sheetData>
    <row r="1" s="1" customFormat="1" ht="12.75">
      <c r="A1" s="2"/>
    </row>
    <row r="2" s="1" customFormat="1" ht="12.75">
      <c r="A2" s="2"/>
    </row>
    <row r="3" s="1" customFormat="1" ht="12.75">
      <c r="A3" s="2"/>
    </row>
    <row r="4" s="1" customFormat="1" ht="12.75">
      <c r="A4" s="2"/>
    </row>
    <row r="5" s="1" customFormat="1" ht="12.75">
      <c r="A5" s="2"/>
    </row>
    <row r="6" s="1" customFormat="1" ht="12.75">
      <c r="A6" s="2"/>
    </row>
    <row r="7" s="1" customFormat="1" ht="12.75">
      <c r="A7" s="4"/>
    </row>
    <row r="8" s="1" customFormat="1" ht="12.75">
      <c r="A8" s="4"/>
    </row>
    <row r="9" spans="1:24" ht="12.75">
      <c r="A9" s="5" t="s">
        <v>86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4" t="s">
        <v>68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4" t="s">
        <v>79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4" t="s">
        <v>80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>
      <c r="A14" s="4" t="s">
        <v>87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>
      <c r="A15" s="4" t="s">
        <v>88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7" customHeight="1">
      <c r="A16" s="4" t="s">
        <v>89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7" customHeight="1">
      <c r="A17" s="4" t="s">
        <v>90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5.5" customHeight="1">
      <c r="A18" s="4" t="s">
        <v>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4.75" customHeight="1">
      <c r="A19" s="4" t="s">
        <v>97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>
      <c r="A20" s="4" t="s">
        <v>95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4" t="s">
        <v>69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4" t="s">
        <v>94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4.75" customHeight="1">
      <c r="A25" s="4" t="s">
        <v>74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4" t="s">
        <v>92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4" t="s">
        <v>93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4" t="s">
        <v>75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7" t="s">
        <v>100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4" t="s">
        <v>76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4" t="s">
        <v>77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4" t="s">
        <v>91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="1" customFormat="1" ht="12.75">
      <c r="A37" s="2"/>
    </row>
    <row r="38" s="1" customFormat="1" ht="12.75">
      <c r="A38" s="2"/>
    </row>
    <row r="39" s="1" customFormat="1" ht="12.75">
      <c r="A39" s="2"/>
    </row>
    <row r="40" s="1" customFormat="1" ht="12.75">
      <c r="A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s="1" customFormat="1" ht="12.75">
      <c r="A56" s="2"/>
    </row>
    <row r="57" s="1" customFormat="1" ht="12.75">
      <c r="A57" s="2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  <row r="65" s="1" customFormat="1" ht="12.75">
      <c r="A65" s="2"/>
    </row>
    <row r="66" s="1" customFormat="1" ht="12.75">
      <c r="A66" s="2"/>
    </row>
    <row r="67" s="1" customFormat="1" ht="12.75">
      <c r="A67" s="2"/>
    </row>
    <row r="68" s="1" customFormat="1" ht="12.75">
      <c r="A68" s="2"/>
    </row>
    <row r="69" s="1" customFormat="1" ht="12.75">
      <c r="A69" s="2"/>
    </row>
    <row r="70" s="1" customFormat="1" ht="12.75">
      <c r="A70" s="2"/>
    </row>
    <row r="71" s="1" customFormat="1" ht="12.75">
      <c r="A71" s="2"/>
    </row>
    <row r="72" s="1" customFormat="1" ht="12.75">
      <c r="A72" s="2"/>
    </row>
    <row r="73" s="1" customFormat="1" ht="12.75">
      <c r="A73" s="2"/>
    </row>
    <row r="74" s="1" customFormat="1" ht="12.75">
      <c r="A74" s="2"/>
    </row>
    <row r="75" s="1" customFormat="1" ht="12.75">
      <c r="A75" s="2"/>
    </row>
    <row r="76" s="1" customFormat="1" ht="12.75">
      <c r="A76" s="2"/>
    </row>
    <row r="77" s="1" customFormat="1" ht="12.75">
      <c r="A77" s="2"/>
    </row>
    <row r="78" s="1" customFormat="1" ht="12.75">
      <c r="A78" s="2"/>
    </row>
    <row r="79" s="1" customFormat="1" ht="12.75">
      <c r="A79" s="2"/>
    </row>
    <row r="80" s="1" customFormat="1" ht="12.75">
      <c r="A80" s="2"/>
    </row>
    <row r="81" s="1" customFormat="1" ht="12.75">
      <c r="A81" s="2"/>
    </row>
    <row r="82" s="1" customFormat="1" ht="12.75">
      <c r="A82" s="2"/>
    </row>
    <row r="83" s="1" customFormat="1" ht="12.75">
      <c r="A83" s="2"/>
    </row>
    <row r="84" s="1" customFormat="1" ht="12.75">
      <c r="A84" s="2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2008-09-10T11:18:00Z</cp:lastPrinted>
  <dcterms:created xsi:type="dcterms:W3CDTF">2006-06-06T08:15:00Z</dcterms:created>
  <dcterms:modified xsi:type="dcterms:W3CDTF">2014-06-27T08:53:54Z</dcterms:modified>
  <cp:category/>
  <cp:version/>
  <cp:contentType/>
  <cp:contentStatus/>
</cp:coreProperties>
</file>